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Z:\김채이\각화동농산물도매시장관리사무소\노후전기설비교체공사\2026년\설계\"/>
    </mc:Choice>
  </mc:AlternateContent>
  <xr:revisionPtr revIDLastSave="0" documentId="13_ncr:1_{54036005-15FB-4C40-9F67-4DBF680A245F}" xr6:coauthVersionLast="47" xr6:coauthVersionMax="47" xr10:uidLastSave="{00000000-0000-0000-0000-000000000000}"/>
  <bookViews>
    <workbookView xWindow="28680" yWindow="-120" windowWidth="29040" windowHeight="15720" tabRatio="724" firstSheet="3" activeTab="12" xr2:uid="{00000000-000D-0000-FFFF-FFFF00000000}"/>
  </bookViews>
  <sheets>
    <sheet name="겉표지" sheetId="1" state="hidden" r:id="rId1"/>
    <sheet name="표지" sheetId="2" state="hidden" r:id="rId2"/>
    <sheet name="원가" sheetId="3" state="hidden" r:id="rId3"/>
    <sheet name="결제판" sheetId="20" r:id="rId4"/>
    <sheet name="원가계산서" sheetId="16" r:id="rId5"/>
    <sheet name="총괄표" sheetId="11" r:id="rId6"/>
    <sheet name="내역서" sheetId="10" r:id="rId7"/>
    <sheet name="노임근거" sheetId="8" r:id="rId8"/>
    <sheet name="일대목차 (2)" sheetId="17" r:id="rId9"/>
    <sheet name="일위대가 (2)" sheetId="18" r:id="rId10"/>
    <sheet name="일위노임 (2)" sheetId="19" r:id="rId11"/>
    <sheet name="합산자재" sheetId="6" state="hidden" r:id="rId12"/>
    <sheet name="단가조사" sheetId="7" r:id="rId13"/>
    <sheet name="옵션" sheetId="5" state="hidden" r:id="rId14"/>
    <sheet name="사용설명" sheetId="14" state="hidden" r:id="rId15"/>
  </sheets>
  <externalReferences>
    <externalReference r:id="rId16"/>
    <externalReference r:id="rId17"/>
  </externalReferences>
  <definedNames>
    <definedName name="_xlnm.Print_Area" localSheetId="0">겉표지!$A$1:$I$49</definedName>
    <definedName name="_xlnm.Print_Area" localSheetId="3">결제판!$B$2:$Z$31</definedName>
    <definedName name="_xlnm.Print_Area" localSheetId="6">내역서!$A$1:$Q$108</definedName>
    <definedName name="_xlnm.Print_Area" localSheetId="7">노임근거!$A$1:$T$107</definedName>
    <definedName name="_xlnm.Print_Area" localSheetId="12">단가조사!$A$1:$T$126</definedName>
    <definedName name="_xlnm.Print_Area" localSheetId="2">원가!$A$1:$E$36</definedName>
    <definedName name="_xlnm.Print_Area" localSheetId="4">원가계산서!$A$1:$M$34</definedName>
    <definedName name="_xlnm.Print_Area" localSheetId="10">'일위노임 (2)'!$A$1:$T$237</definedName>
    <definedName name="_xlnm.Print_Area" localSheetId="9">'일위대가 (2)'!$A$1:$Q$341</definedName>
    <definedName name="_xlnm.Print_Area" localSheetId="5">총괄표!$A$1:$Q$29</definedName>
    <definedName name="_xlnm.Print_Area" localSheetId="1">표지!$A$1:$K$45</definedName>
    <definedName name="_xlnm.Print_Titles" localSheetId="6">내역서!$1:$3</definedName>
    <definedName name="_xlnm.Print_Titles" localSheetId="7">노임근거!$1:$3</definedName>
    <definedName name="_xlnm.Print_Titles" localSheetId="12">단가조사!$1:$3</definedName>
    <definedName name="_xlnm.Print_Titles" localSheetId="8">'일대목차 (2)'!$1:$3</definedName>
    <definedName name="_xlnm.Print_Titles" localSheetId="10">'일위노임 (2)'!$1:$3</definedName>
    <definedName name="_xlnm.Print_Titles" localSheetId="9">'일위대가 (2)'!$1:$3</definedName>
    <definedName name="_xlnm.Print_Titles" localSheetId="5">총괄표!$1:$3</definedName>
    <definedName name="_xlnm.Print_Titles" localSheetId="11">합산자재!$1:$3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6" i="20" l="1"/>
  <c r="E11" i="20"/>
  <c r="I80" i="10" l="1"/>
  <c r="P80" i="10" s="1"/>
  <c r="Q31" i="16" l="1"/>
  <c r="R31" i="16" s="1"/>
  <c r="Q30" i="16"/>
  <c r="R30" i="16" s="1"/>
  <c r="Q29" i="16"/>
  <c r="R29" i="16" s="1"/>
  <c r="W104" i="10"/>
  <c r="V104" i="10"/>
  <c r="U104" i="10"/>
  <c r="W103" i="10"/>
  <c r="V103" i="10"/>
  <c r="U103" i="10"/>
  <c r="W102" i="10"/>
  <c r="V102" i="10"/>
  <c r="U102" i="10"/>
  <c r="W101" i="10"/>
  <c r="V101" i="10"/>
  <c r="U101" i="10"/>
  <c r="U99" i="10"/>
  <c r="U98" i="10"/>
  <c r="U97" i="10"/>
  <c r="W96" i="10"/>
  <c r="V96" i="10"/>
  <c r="U96" i="10"/>
  <c r="W85" i="10"/>
  <c r="W84" i="10"/>
  <c r="U87" i="10"/>
  <c r="W87" i="10" s="1"/>
  <c r="R32" i="16" l="1"/>
  <c r="L29" i="16" s="1"/>
  <c r="X96" i="10"/>
  <c r="W99" i="10" s="1"/>
  <c r="X102" i="10"/>
  <c r="X104" i="10" s="1"/>
  <c r="X89" i="10"/>
  <c r="I210" i="19"/>
  <c r="I209" i="19"/>
  <c r="I208" i="19"/>
  <c r="G208" i="19" s="1"/>
  <c r="O208" i="19" s="1"/>
  <c r="I207" i="19"/>
  <c r="G207" i="19" s="1"/>
  <c r="O207" i="19" s="1"/>
  <c r="I206" i="19"/>
  <c r="G206" i="19" s="1"/>
  <c r="O206" i="19" s="1"/>
  <c r="I204" i="19"/>
  <c r="G204" i="19" s="1"/>
  <c r="I202" i="19"/>
  <c r="G202" i="19" s="1"/>
  <c r="G210" i="19"/>
  <c r="O210" i="19" s="1"/>
  <c r="G212" i="19" s="1"/>
  <c r="G324" i="18" s="1"/>
  <c r="N324" i="18" s="1"/>
  <c r="G209" i="19"/>
  <c r="O209" i="19" s="1"/>
  <c r="M326" i="18"/>
  <c r="H326" i="18"/>
  <c r="M325" i="18"/>
  <c r="H325" i="18"/>
  <c r="G325" i="18"/>
  <c r="M324" i="18"/>
  <c r="H324" i="18"/>
  <c r="M323" i="18"/>
  <c r="H323" i="18"/>
  <c r="M322" i="18"/>
  <c r="N322" i="18" s="1"/>
  <c r="K322" i="18"/>
  <c r="L322" i="18" s="1"/>
  <c r="J322" i="18"/>
  <c r="I322" i="18"/>
  <c r="M321" i="18"/>
  <c r="N321" i="18" s="1"/>
  <c r="K321" i="18"/>
  <c r="L321" i="18" s="1"/>
  <c r="J321" i="18"/>
  <c r="I321" i="18"/>
  <c r="M320" i="18"/>
  <c r="N320" i="18" s="1"/>
  <c r="L320" i="18"/>
  <c r="J320" i="18"/>
  <c r="I320" i="18"/>
  <c r="M319" i="18"/>
  <c r="N319" i="18" s="1"/>
  <c r="L319" i="18"/>
  <c r="K319" i="18"/>
  <c r="J319" i="18"/>
  <c r="I319" i="18"/>
  <c r="M318" i="18"/>
  <c r="N318" i="18" s="1"/>
  <c r="K318" i="18"/>
  <c r="L318" i="18" s="1"/>
  <c r="J318" i="18"/>
  <c r="I318" i="18"/>
  <c r="M317" i="18"/>
  <c r="N317" i="18" s="1"/>
  <c r="K317" i="18"/>
  <c r="L317" i="18" s="1"/>
  <c r="J317" i="18"/>
  <c r="I317" i="18"/>
  <c r="M316" i="18"/>
  <c r="N316" i="18" s="1"/>
  <c r="K316" i="18"/>
  <c r="L316" i="18" s="1"/>
  <c r="J316" i="18"/>
  <c r="I316" i="18"/>
  <c r="P316" i="18" s="1"/>
  <c r="M315" i="18"/>
  <c r="J315" i="18"/>
  <c r="I315" i="18"/>
  <c r="P315" i="18" s="1"/>
  <c r="M314" i="18"/>
  <c r="N314" i="18" s="1"/>
  <c r="K314" i="18"/>
  <c r="L314" i="18" s="1"/>
  <c r="J314" i="18"/>
  <c r="I314" i="18"/>
  <c r="M313" i="18"/>
  <c r="J313" i="18"/>
  <c r="I313" i="18"/>
  <c r="P313" i="18" s="1"/>
  <c r="M312" i="18"/>
  <c r="J312" i="18"/>
  <c r="I312" i="18"/>
  <c r="P312" i="18" s="1"/>
  <c r="M311" i="18"/>
  <c r="J311" i="18"/>
  <c r="I311" i="18"/>
  <c r="P311" i="18" s="1"/>
  <c r="M310" i="18"/>
  <c r="N310" i="18" s="1"/>
  <c r="L310" i="18"/>
  <c r="J310" i="18"/>
  <c r="I310" i="18"/>
  <c r="I196" i="19"/>
  <c r="G196" i="19" s="1"/>
  <c r="O196" i="19" s="1"/>
  <c r="I195" i="19"/>
  <c r="G195" i="19" s="1"/>
  <c r="O195" i="19" s="1"/>
  <c r="I194" i="19"/>
  <c r="G194" i="19" s="1"/>
  <c r="O194" i="19" s="1"/>
  <c r="I193" i="19"/>
  <c r="G193" i="19" s="1"/>
  <c r="O193" i="19" s="1"/>
  <c r="I192" i="19"/>
  <c r="G192" i="19" s="1"/>
  <c r="O192" i="19" s="1"/>
  <c r="I190" i="19"/>
  <c r="G190" i="19" s="1"/>
  <c r="O191" i="19" s="1"/>
  <c r="I188" i="19"/>
  <c r="G188" i="19" s="1"/>
  <c r="I186" i="19"/>
  <c r="G186" i="19" s="1"/>
  <c r="I295" i="18"/>
  <c r="P295" i="18" s="1"/>
  <c r="M295" i="18"/>
  <c r="J295" i="18"/>
  <c r="M290" i="18"/>
  <c r="M291" i="18"/>
  <c r="M292" i="18"/>
  <c r="J290" i="18"/>
  <c r="J291" i="18"/>
  <c r="J292" i="18"/>
  <c r="I290" i="18"/>
  <c r="P290" i="18" s="1"/>
  <c r="I291" i="18"/>
  <c r="P291" i="18" s="1"/>
  <c r="I292" i="18"/>
  <c r="P292" i="18" s="1"/>
  <c r="M306" i="18"/>
  <c r="H306" i="18"/>
  <c r="M305" i="18"/>
  <c r="H305" i="18"/>
  <c r="G305" i="18"/>
  <c r="L305" i="18" s="1"/>
  <c r="AE305" i="18" s="1"/>
  <c r="M304" i="18"/>
  <c r="H304" i="18"/>
  <c r="M303" i="18"/>
  <c r="H303" i="18"/>
  <c r="M302" i="18"/>
  <c r="N302" i="18" s="1"/>
  <c r="K302" i="18"/>
  <c r="L302" i="18" s="1"/>
  <c r="J302" i="18"/>
  <c r="I302" i="18"/>
  <c r="M301" i="18"/>
  <c r="N301" i="18" s="1"/>
  <c r="K301" i="18"/>
  <c r="L301" i="18" s="1"/>
  <c r="J301" i="18"/>
  <c r="I301" i="18"/>
  <c r="M300" i="18"/>
  <c r="N300" i="18" s="1"/>
  <c r="L300" i="18"/>
  <c r="J300" i="18"/>
  <c r="I300" i="18"/>
  <c r="M299" i="18"/>
  <c r="N299" i="18" s="1"/>
  <c r="K299" i="18"/>
  <c r="L299" i="18" s="1"/>
  <c r="J299" i="18"/>
  <c r="I299" i="18"/>
  <c r="M298" i="18"/>
  <c r="N298" i="18" s="1"/>
  <c r="K298" i="18"/>
  <c r="L298" i="18" s="1"/>
  <c r="J298" i="18"/>
  <c r="I298" i="18"/>
  <c r="M297" i="18"/>
  <c r="N297" i="18" s="1"/>
  <c r="K297" i="18"/>
  <c r="L297" i="18" s="1"/>
  <c r="J297" i="18"/>
  <c r="I297" i="18"/>
  <c r="M296" i="18"/>
  <c r="N296" i="18" s="1"/>
  <c r="K296" i="18"/>
  <c r="L296" i="18" s="1"/>
  <c r="J296" i="18"/>
  <c r="I296" i="18"/>
  <c r="M294" i="18"/>
  <c r="N294" i="18" s="1"/>
  <c r="L294" i="18"/>
  <c r="J294" i="18"/>
  <c r="I294" i="18"/>
  <c r="M293" i="18"/>
  <c r="N293" i="18" s="1"/>
  <c r="K293" i="18"/>
  <c r="L293" i="18" s="1"/>
  <c r="J293" i="18"/>
  <c r="I293" i="18"/>
  <c r="M289" i="18"/>
  <c r="N289" i="18" s="1"/>
  <c r="L289" i="18"/>
  <c r="J289" i="18"/>
  <c r="I289" i="18"/>
  <c r="I180" i="19"/>
  <c r="G180" i="19" s="1"/>
  <c r="O180" i="19" s="1"/>
  <c r="I179" i="19"/>
  <c r="G179" i="19" s="1"/>
  <c r="O179" i="19" s="1"/>
  <c r="I178" i="19"/>
  <c r="G178" i="19" s="1"/>
  <c r="O178" i="19" s="1"/>
  <c r="I177" i="19"/>
  <c r="G177" i="19" s="1"/>
  <c r="O177" i="19" s="1"/>
  <c r="I176" i="19"/>
  <c r="G176" i="19" s="1"/>
  <c r="O176" i="19" s="1"/>
  <c r="I174" i="19"/>
  <c r="G174" i="19" s="1"/>
  <c r="I172" i="19"/>
  <c r="G172" i="19" s="1"/>
  <c r="M285" i="18"/>
  <c r="H285" i="18"/>
  <c r="M284" i="18"/>
  <c r="H284" i="18"/>
  <c r="G284" i="18"/>
  <c r="L284" i="18" s="1"/>
  <c r="AE284" i="18" s="1"/>
  <c r="M283" i="18"/>
  <c r="H283" i="18"/>
  <c r="M282" i="18"/>
  <c r="H282" i="18"/>
  <c r="M281" i="18"/>
  <c r="N281" i="18" s="1"/>
  <c r="K281" i="18"/>
  <c r="L281" i="18" s="1"/>
  <c r="J281" i="18"/>
  <c r="I281" i="18"/>
  <c r="M280" i="18"/>
  <c r="N280" i="18" s="1"/>
  <c r="K280" i="18"/>
  <c r="L280" i="18" s="1"/>
  <c r="J280" i="18"/>
  <c r="I280" i="18"/>
  <c r="M279" i="18"/>
  <c r="N279" i="18" s="1"/>
  <c r="L279" i="18"/>
  <c r="J279" i="18"/>
  <c r="I279" i="18"/>
  <c r="M278" i="18"/>
  <c r="N278" i="18" s="1"/>
  <c r="K278" i="18"/>
  <c r="L278" i="18" s="1"/>
  <c r="J278" i="18"/>
  <c r="I278" i="18"/>
  <c r="M277" i="18"/>
  <c r="N277" i="18" s="1"/>
  <c r="K277" i="18"/>
  <c r="L277" i="18" s="1"/>
  <c r="J277" i="18"/>
  <c r="I277" i="18"/>
  <c r="M276" i="18"/>
  <c r="N276" i="18" s="1"/>
  <c r="K276" i="18"/>
  <c r="L276" i="18" s="1"/>
  <c r="J276" i="18"/>
  <c r="I276" i="18"/>
  <c r="M275" i="18"/>
  <c r="N275" i="18" s="1"/>
  <c r="K275" i="18"/>
  <c r="L275" i="18" s="1"/>
  <c r="J275" i="18"/>
  <c r="I275" i="18"/>
  <c r="M274" i="18"/>
  <c r="N274" i="18" s="1"/>
  <c r="L274" i="18"/>
  <c r="J274" i="18"/>
  <c r="I274" i="18"/>
  <c r="M273" i="18"/>
  <c r="N273" i="18" s="1"/>
  <c r="K273" i="18"/>
  <c r="L273" i="18" s="1"/>
  <c r="J273" i="18"/>
  <c r="I273" i="18"/>
  <c r="M272" i="18"/>
  <c r="N272" i="18" s="1"/>
  <c r="L272" i="18"/>
  <c r="J272" i="18"/>
  <c r="I272" i="18"/>
  <c r="L15" i="17"/>
  <c r="L16" i="17"/>
  <c r="P16" i="17" s="1"/>
  <c r="I15" i="17"/>
  <c r="I166" i="19"/>
  <c r="G166" i="19" s="1"/>
  <c r="O166" i="19" s="1"/>
  <c r="I165" i="19"/>
  <c r="G165" i="19" s="1"/>
  <c r="O165" i="19" s="1"/>
  <c r="I164" i="19"/>
  <c r="G164" i="19" s="1"/>
  <c r="O164" i="19" s="1"/>
  <c r="I163" i="19"/>
  <c r="G163" i="19" s="1"/>
  <c r="O163" i="19" s="1"/>
  <c r="I162" i="19"/>
  <c r="G162" i="19" s="1"/>
  <c r="O162" i="19" s="1"/>
  <c r="I160" i="19"/>
  <c r="G160" i="19" s="1"/>
  <c r="I158" i="19"/>
  <c r="G158" i="19" s="1"/>
  <c r="O159" i="19" s="1"/>
  <c r="M267" i="18"/>
  <c r="H267" i="18"/>
  <c r="M266" i="18"/>
  <c r="H266" i="18"/>
  <c r="G266" i="18"/>
  <c r="L266" i="18" s="1"/>
  <c r="AE266" i="18" s="1"/>
  <c r="M265" i="18"/>
  <c r="H265" i="18"/>
  <c r="M264" i="18"/>
  <c r="H264" i="18"/>
  <c r="M263" i="18"/>
  <c r="N263" i="18" s="1"/>
  <c r="K263" i="18"/>
  <c r="L263" i="18" s="1"/>
  <c r="J263" i="18"/>
  <c r="I263" i="18"/>
  <c r="M262" i="18"/>
  <c r="N262" i="18" s="1"/>
  <c r="K262" i="18"/>
  <c r="L262" i="18" s="1"/>
  <c r="J262" i="18"/>
  <c r="I262" i="18"/>
  <c r="M261" i="18"/>
  <c r="N261" i="18" s="1"/>
  <c r="L261" i="18"/>
  <c r="J261" i="18"/>
  <c r="I261" i="18"/>
  <c r="M260" i="18"/>
  <c r="N260" i="18" s="1"/>
  <c r="K260" i="18"/>
  <c r="L260" i="18" s="1"/>
  <c r="J260" i="18"/>
  <c r="I260" i="18"/>
  <c r="M259" i="18"/>
  <c r="N259" i="18" s="1"/>
  <c r="K259" i="18"/>
  <c r="L259" i="18" s="1"/>
  <c r="J259" i="18"/>
  <c r="I259" i="18"/>
  <c r="M258" i="18"/>
  <c r="N258" i="18" s="1"/>
  <c r="K258" i="18"/>
  <c r="L258" i="18" s="1"/>
  <c r="J258" i="18"/>
  <c r="I258" i="18"/>
  <c r="M257" i="18"/>
  <c r="N257" i="18" s="1"/>
  <c r="K257" i="18"/>
  <c r="L257" i="18" s="1"/>
  <c r="J257" i="18"/>
  <c r="I257" i="18"/>
  <c r="M256" i="18"/>
  <c r="N256" i="18" s="1"/>
  <c r="L256" i="18"/>
  <c r="J256" i="18"/>
  <c r="I256" i="18"/>
  <c r="M255" i="18"/>
  <c r="N255" i="18" s="1"/>
  <c r="K255" i="18"/>
  <c r="L255" i="18" s="1"/>
  <c r="J255" i="18"/>
  <c r="I255" i="18"/>
  <c r="M254" i="18"/>
  <c r="N254" i="18" s="1"/>
  <c r="L254" i="18"/>
  <c r="J254" i="18"/>
  <c r="I254" i="18"/>
  <c r="I152" i="19"/>
  <c r="G152" i="19" s="1"/>
  <c r="O152" i="19" s="1"/>
  <c r="I150" i="19"/>
  <c r="G150" i="19" s="1"/>
  <c r="O150" i="19" s="1"/>
  <c r="I151" i="19"/>
  <c r="G151" i="19" s="1"/>
  <c r="O151" i="19" s="1"/>
  <c r="I149" i="19"/>
  <c r="G149" i="19" s="1"/>
  <c r="O149" i="19" s="1"/>
  <c r="I148" i="19"/>
  <c r="G148" i="19" s="1"/>
  <c r="O148" i="19" s="1"/>
  <c r="I147" i="19"/>
  <c r="G147" i="19" s="1"/>
  <c r="O147" i="19" s="1"/>
  <c r="I145" i="19"/>
  <c r="G145" i="19" s="1"/>
  <c r="I143" i="19"/>
  <c r="G143" i="19" s="1"/>
  <c r="O144" i="19" s="1"/>
  <c r="M250" i="18"/>
  <c r="H250" i="18"/>
  <c r="M249" i="18"/>
  <c r="H249" i="18"/>
  <c r="G249" i="18"/>
  <c r="M248" i="18"/>
  <c r="H248" i="18"/>
  <c r="M247" i="18"/>
  <c r="H247" i="18"/>
  <c r="M246" i="18"/>
  <c r="N246" i="18" s="1"/>
  <c r="K246" i="18"/>
  <c r="L246" i="18" s="1"/>
  <c r="J246" i="18"/>
  <c r="I246" i="18"/>
  <c r="M245" i="18"/>
  <c r="N245" i="18" s="1"/>
  <c r="K245" i="18"/>
  <c r="L245" i="18" s="1"/>
  <c r="J245" i="18"/>
  <c r="I245" i="18"/>
  <c r="M244" i="18"/>
  <c r="N244" i="18" s="1"/>
  <c r="K244" i="18"/>
  <c r="L244" i="18" s="1"/>
  <c r="J244" i="18"/>
  <c r="I244" i="18"/>
  <c r="M243" i="18"/>
  <c r="N243" i="18" s="1"/>
  <c r="L243" i="18"/>
  <c r="J243" i="18"/>
  <c r="I243" i="18"/>
  <c r="M242" i="18"/>
  <c r="N242" i="18" s="1"/>
  <c r="K242" i="18"/>
  <c r="L242" i="18" s="1"/>
  <c r="J242" i="18"/>
  <c r="I242" i="18"/>
  <c r="M241" i="18"/>
  <c r="N241" i="18" s="1"/>
  <c r="K241" i="18"/>
  <c r="L241" i="18" s="1"/>
  <c r="J241" i="18"/>
  <c r="I241" i="18"/>
  <c r="M240" i="18"/>
  <c r="N240" i="18" s="1"/>
  <c r="K240" i="18"/>
  <c r="L240" i="18" s="1"/>
  <c r="J240" i="18"/>
  <c r="I240" i="18"/>
  <c r="M239" i="18"/>
  <c r="N239" i="18" s="1"/>
  <c r="K239" i="18"/>
  <c r="L239" i="18" s="1"/>
  <c r="J239" i="18"/>
  <c r="I239" i="18"/>
  <c r="M238" i="18"/>
  <c r="N238" i="18" s="1"/>
  <c r="L238" i="18"/>
  <c r="J238" i="18"/>
  <c r="I238" i="18"/>
  <c r="M237" i="18"/>
  <c r="N237" i="18" s="1"/>
  <c r="K237" i="18"/>
  <c r="L237" i="18" s="1"/>
  <c r="J237" i="18"/>
  <c r="I237" i="18"/>
  <c r="M236" i="18"/>
  <c r="N236" i="18" s="1"/>
  <c r="K236" i="18"/>
  <c r="L236" i="18" s="1"/>
  <c r="J236" i="18"/>
  <c r="I236" i="18"/>
  <c r="M235" i="18"/>
  <c r="N235" i="18" s="1"/>
  <c r="L235" i="18"/>
  <c r="J235" i="18"/>
  <c r="I235" i="18"/>
  <c r="M234" i="18"/>
  <c r="N234" i="18" s="1"/>
  <c r="K234" i="18"/>
  <c r="L234" i="18" s="1"/>
  <c r="J234" i="18"/>
  <c r="I234" i="18"/>
  <c r="M233" i="18"/>
  <c r="N233" i="18" s="1"/>
  <c r="K233" i="18"/>
  <c r="L233" i="18" s="1"/>
  <c r="J233" i="18"/>
  <c r="I233" i="18"/>
  <c r="I130" i="19"/>
  <c r="G130" i="19" s="1"/>
  <c r="O130" i="19" s="1"/>
  <c r="I129" i="19"/>
  <c r="G129" i="19" s="1"/>
  <c r="O129" i="19" s="1"/>
  <c r="I128" i="19"/>
  <c r="G128" i="19" s="1"/>
  <c r="O128" i="19" s="1"/>
  <c r="I125" i="19"/>
  <c r="G125" i="19" s="1"/>
  <c r="O125" i="19" s="1"/>
  <c r="I124" i="19"/>
  <c r="G124" i="19" s="1"/>
  <c r="O124" i="19" s="1"/>
  <c r="I123" i="19"/>
  <c r="G123" i="19" s="1"/>
  <c r="O123" i="19" s="1"/>
  <c r="I122" i="19"/>
  <c r="G122" i="19" s="1"/>
  <c r="O122" i="19" s="1"/>
  <c r="I121" i="19"/>
  <c r="G121" i="19" s="1"/>
  <c r="O121" i="19" s="1"/>
  <c r="I118" i="19"/>
  <c r="G118" i="19" s="1"/>
  <c r="O118" i="19" s="1"/>
  <c r="I117" i="19"/>
  <c r="G117" i="19" s="1"/>
  <c r="O117" i="19" s="1"/>
  <c r="I116" i="19"/>
  <c r="G116" i="19" s="1"/>
  <c r="O116" i="19" s="1"/>
  <c r="I115" i="19"/>
  <c r="G115" i="19" s="1"/>
  <c r="O115" i="19" s="1"/>
  <c r="I114" i="19"/>
  <c r="G114" i="19" s="1"/>
  <c r="O114" i="19" s="1"/>
  <c r="I112" i="19"/>
  <c r="G112" i="19" s="1"/>
  <c r="O112" i="19" s="1"/>
  <c r="I113" i="19"/>
  <c r="G113" i="19" s="1"/>
  <c r="O113" i="19" s="1"/>
  <c r="I110" i="19"/>
  <c r="G110" i="19" s="1"/>
  <c r="I109" i="19"/>
  <c r="G109" i="19" s="1"/>
  <c r="O109" i="19" s="1"/>
  <c r="G137" i="19"/>
  <c r="O137" i="19" s="1"/>
  <c r="G136" i="19"/>
  <c r="O136" i="19" s="1"/>
  <c r="G135" i="19"/>
  <c r="O135" i="19" s="1"/>
  <c r="G134" i="19"/>
  <c r="O134" i="19" s="1"/>
  <c r="G133" i="19"/>
  <c r="O133" i="19" s="1"/>
  <c r="G132" i="19"/>
  <c r="O132" i="19" s="1"/>
  <c r="G131" i="19"/>
  <c r="O131" i="19" s="1"/>
  <c r="G127" i="19"/>
  <c r="O127" i="19" s="1"/>
  <c r="G126" i="19"/>
  <c r="O126" i="19" s="1"/>
  <c r="G120" i="19"/>
  <c r="O120" i="19" s="1"/>
  <c r="G119" i="19"/>
  <c r="O119" i="19" s="1"/>
  <c r="I90" i="19"/>
  <c r="G90" i="19" s="1"/>
  <c r="O90" i="19" s="1"/>
  <c r="I89" i="19"/>
  <c r="G89" i="19" s="1"/>
  <c r="O89" i="19" s="1"/>
  <c r="I88" i="19"/>
  <c r="G88" i="19" s="1"/>
  <c r="O88" i="19" s="1"/>
  <c r="I84" i="19"/>
  <c r="G84" i="19" s="1"/>
  <c r="O84" i="19" s="1"/>
  <c r="I85" i="19"/>
  <c r="G85" i="19" s="1"/>
  <c r="O85" i="19" s="1"/>
  <c r="I83" i="19"/>
  <c r="I101" i="19"/>
  <c r="G101" i="19" s="1"/>
  <c r="O101" i="19" s="1"/>
  <c r="I82" i="19"/>
  <c r="G82" i="19" s="1"/>
  <c r="O82" i="19" s="1"/>
  <c r="I81" i="19"/>
  <c r="G81" i="19" s="1"/>
  <c r="O81" i="19" s="1"/>
  <c r="I100" i="19"/>
  <c r="G100" i="19" s="1"/>
  <c r="O100" i="19" s="1"/>
  <c r="I80" i="19"/>
  <c r="G80" i="19" s="1"/>
  <c r="O80" i="19" s="1"/>
  <c r="I79" i="19"/>
  <c r="G79" i="19" s="1"/>
  <c r="O79" i="19" s="1"/>
  <c r="I77" i="19"/>
  <c r="G77" i="19" s="1"/>
  <c r="I76" i="19"/>
  <c r="G76" i="19" s="1"/>
  <c r="O76" i="19" s="1"/>
  <c r="G103" i="19"/>
  <c r="O103" i="19" s="1"/>
  <c r="G102" i="19"/>
  <c r="O102" i="19" s="1"/>
  <c r="I99" i="19"/>
  <c r="G99" i="19" s="1"/>
  <c r="O99" i="19" s="1"/>
  <c r="G98" i="19"/>
  <c r="O98" i="19" s="1"/>
  <c r="G97" i="19"/>
  <c r="O97" i="19" s="1"/>
  <c r="G96" i="19"/>
  <c r="O96" i="19" s="1"/>
  <c r="G95" i="19"/>
  <c r="O95" i="19" s="1"/>
  <c r="G94" i="19"/>
  <c r="O94" i="19" s="1"/>
  <c r="G93" i="19"/>
  <c r="O93" i="19" s="1"/>
  <c r="G92" i="19"/>
  <c r="O92" i="19" s="1"/>
  <c r="G91" i="19"/>
  <c r="O91" i="19" s="1"/>
  <c r="G87" i="19"/>
  <c r="O87" i="19" s="1"/>
  <c r="G86" i="19"/>
  <c r="O86" i="19" s="1"/>
  <c r="G69" i="19"/>
  <c r="O69" i="19" s="1"/>
  <c r="G62" i="19"/>
  <c r="O62" i="19" s="1"/>
  <c r="G57" i="19"/>
  <c r="O57" i="19" s="1"/>
  <c r="G61" i="19"/>
  <c r="O61" i="19" s="1"/>
  <c r="G58" i="19"/>
  <c r="O58" i="19" s="1"/>
  <c r="G59" i="19"/>
  <c r="O59" i="19" s="1"/>
  <c r="G60" i="19"/>
  <c r="O60" i="19" s="1"/>
  <c r="G54" i="19"/>
  <c r="O54" i="19" s="1"/>
  <c r="G44" i="19"/>
  <c r="O44" i="19" s="1"/>
  <c r="I53" i="19"/>
  <c r="G53" i="19" s="1"/>
  <c r="O53" i="19" s="1"/>
  <c r="I52" i="19"/>
  <c r="G52" i="19" s="1"/>
  <c r="O52" i="19" s="1"/>
  <c r="I51" i="19"/>
  <c r="G51" i="19" s="1"/>
  <c r="O51" i="19" s="1"/>
  <c r="G50" i="19"/>
  <c r="O50" i="19" s="1"/>
  <c r="G49" i="19"/>
  <c r="O49" i="19" s="1"/>
  <c r="G55" i="19"/>
  <c r="O55" i="19" s="1"/>
  <c r="I48" i="19"/>
  <c r="G48" i="19" s="1"/>
  <c r="O48" i="19" s="1"/>
  <c r="I47" i="19"/>
  <c r="G47" i="19" s="1"/>
  <c r="O47" i="19" s="1"/>
  <c r="I46" i="19"/>
  <c r="G46" i="19" s="1"/>
  <c r="O46" i="19" s="1"/>
  <c r="I45" i="19"/>
  <c r="G45" i="19" s="1"/>
  <c r="O45" i="19" s="1"/>
  <c r="I43" i="19"/>
  <c r="G43" i="19" s="1"/>
  <c r="O43" i="19" s="1"/>
  <c r="I68" i="19"/>
  <c r="G68" i="19" s="1"/>
  <c r="O68" i="19" s="1"/>
  <c r="I67" i="19"/>
  <c r="G67" i="19" s="1"/>
  <c r="O67" i="19" s="1"/>
  <c r="I42" i="19"/>
  <c r="G42" i="19" s="1"/>
  <c r="O42" i="19" s="1"/>
  <c r="I70" i="19"/>
  <c r="G70" i="19" s="1"/>
  <c r="O70" i="19" s="1"/>
  <c r="I40" i="19"/>
  <c r="G40" i="19" s="1"/>
  <c r="O40" i="19" s="1"/>
  <c r="I39" i="19"/>
  <c r="G39" i="19" s="1"/>
  <c r="O39" i="19" s="1"/>
  <c r="I66" i="19"/>
  <c r="G66" i="19" s="1"/>
  <c r="O66" i="19" s="1"/>
  <c r="G65" i="19"/>
  <c r="O65" i="19" s="1"/>
  <c r="G64" i="19"/>
  <c r="O64" i="19" s="1"/>
  <c r="G63" i="19"/>
  <c r="O63" i="19" s="1"/>
  <c r="G56" i="19"/>
  <c r="O56" i="19" s="1"/>
  <c r="I32" i="19"/>
  <c r="G32" i="19" s="1"/>
  <c r="O32" i="19" s="1"/>
  <c r="I31" i="19"/>
  <c r="G31" i="19" s="1"/>
  <c r="O31" i="19" s="1"/>
  <c r="I33" i="19"/>
  <c r="G33" i="19" s="1"/>
  <c r="O33" i="19" s="1"/>
  <c r="I30" i="19"/>
  <c r="G30" i="19" s="1"/>
  <c r="O30" i="19" s="1"/>
  <c r="I28" i="19"/>
  <c r="G28" i="19" s="1"/>
  <c r="O28" i="19" s="1"/>
  <c r="I27" i="19"/>
  <c r="G27" i="19" s="1"/>
  <c r="O27" i="19" s="1"/>
  <c r="I26" i="19"/>
  <c r="G26" i="19" s="1"/>
  <c r="O26" i="19" s="1"/>
  <c r="I25" i="19"/>
  <c r="G25" i="19" s="1"/>
  <c r="O25" i="19" s="1"/>
  <c r="I23" i="19"/>
  <c r="G23" i="19" s="1"/>
  <c r="I21" i="19"/>
  <c r="G21" i="19" s="1"/>
  <c r="O22" i="19" s="1"/>
  <c r="I29" i="19"/>
  <c r="G29" i="19" s="1"/>
  <c r="O29" i="19" s="1"/>
  <c r="I15" i="19"/>
  <c r="G15" i="19" s="1"/>
  <c r="O15" i="19" s="1"/>
  <c r="I14" i="19"/>
  <c r="G14" i="19" s="1"/>
  <c r="O14" i="19" s="1"/>
  <c r="I13" i="19"/>
  <c r="G13" i="19" s="1"/>
  <c r="O13" i="19" s="1"/>
  <c r="I11" i="19"/>
  <c r="G11" i="19" s="1"/>
  <c r="O12" i="19" s="1"/>
  <c r="I9" i="19"/>
  <c r="G9" i="19" s="1"/>
  <c r="O9" i="19" s="1"/>
  <c r="O203" i="19" l="1"/>
  <c r="O202" i="19"/>
  <c r="N325" i="18"/>
  <c r="O205" i="19"/>
  <c r="G213" i="19" s="1"/>
  <c r="G326" i="18" s="1"/>
  <c r="J326" i="18" s="1"/>
  <c r="O204" i="19"/>
  <c r="P320" i="18"/>
  <c r="P319" i="18"/>
  <c r="P318" i="18"/>
  <c r="P310" i="18"/>
  <c r="P314" i="18"/>
  <c r="P321" i="18"/>
  <c r="P322" i="18"/>
  <c r="P317" i="18"/>
  <c r="L326" i="18"/>
  <c r="AE326" i="18" s="1"/>
  <c r="I325" i="18"/>
  <c r="N326" i="18"/>
  <c r="L325" i="18"/>
  <c r="AE325" i="18" s="1"/>
  <c r="I324" i="18"/>
  <c r="J324" i="18"/>
  <c r="L324" i="18"/>
  <c r="AE324" i="18" s="1"/>
  <c r="N305" i="18"/>
  <c r="P15" i="17"/>
  <c r="O187" i="19"/>
  <c r="O186" i="19"/>
  <c r="G198" i="19"/>
  <c r="G304" i="18" s="1"/>
  <c r="J304" i="18" s="1"/>
  <c r="N284" i="18"/>
  <c r="P274" i="18"/>
  <c r="O188" i="19"/>
  <c r="O189" i="19"/>
  <c r="O190" i="19"/>
  <c r="P289" i="18"/>
  <c r="P294" i="18"/>
  <c r="P296" i="18"/>
  <c r="P302" i="18"/>
  <c r="P297" i="18"/>
  <c r="P293" i="18"/>
  <c r="P299" i="18"/>
  <c r="P300" i="18"/>
  <c r="P298" i="18"/>
  <c r="P301" i="18"/>
  <c r="I305" i="18"/>
  <c r="P281" i="18"/>
  <c r="G168" i="19"/>
  <c r="G265" i="18" s="1"/>
  <c r="J265" i="18" s="1"/>
  <c r="G182" i="19"/>
  <c r="G283" i="18" s="1"/>
  <c r="N283" i="18" s="1"/>
  <c r="P273" i="18"/>
  <c r="P276" i="18"/>
  <c r="P277" i="18"/>
  <c r="O173" i="19"/>
  <c r="O172" i="19"/>
  <c r="O175" i="19"/>
  <c r="O174" i="19"/>
  <c r="P280" i="18"/>
  <c r="P279" i="18"/>
  <c r="P272" i="18"/>
  <c r="P275" i="18"/>
  <c r="P278" i="18"/>
  <c r="I284" i="18"/>
  <c r="O160" i="19"/>
  <c r="O161" i="19"/>
  <c r="G169" i="19" s="1"/>
  <c r="G267" i="18" s="1"/>
  <c r="N267" i="18" s="1"/>
  <c r="O158" i="19"/>
  <c r="N266" i="18"/>
  <c r="G154" i="19"/>
  <c r="G248" i="18" s="1"/>
  <c r="J248" i="18" s="1"/>
  <c r="P259" i="18"/>
  <c r="P258" i="18"/>
  <c r="P263" i="18"/>
  <c r="P261" i="18"/>
  <c r="P256" i="18"/>
  <c r="P262" i="18"/>
  <c r="P260" i="18"/>
  <c r="P257" i="18"/>
  <c r="P254" i="18"/>
  <c r="P255" i="18"/>
  <c r="I266" i="18"/>
  <c r="O146" i="19"/>
  <c r="G155" i="19" s="1"/>
  <c r="G250" i="18" s="1"/>
  <c r="I250" i="18" s="1"/>
  <c r="O145" i="19"/>
  <c r="O143" i="19"/>
  <c r="I249" i="18"/>
  <c r="P244" i="18"/>
  <c r="P240" i="18"/>
  <c r="P238" i="18"/>
  <c r="P242" i="18"/>
  <c r="L249" i="18"/>
  <c r="AE249" i="18" s="1"/>
  <c r="P233" i="18"/>
  <c r="P235" i="18"/>
  <c r="N249" i="18"/>
  <c r="P236" i="18"/>
  <c r="P243" i="18"/>
  <c r="P246" i="18"/>
  <c r="P241" i="18"/>
  <c r="P245" i="18"/>
  <c r="P234" i="18"/>
  <c r="P237" i="18"/>
  <c r="P239" i="18"/>
  <c r="G139" i="19"/>
  <c r="G227" i="18" s="1"/>
  <c r="O110" i="19"/>
  <c r="G138" i="19" s="1"/>
  <c r="G226" i="18" s="1"/>
  <c r="O111" i="19"/>
  <c r="G140" i="19" s="1"/>
  <c r="G229" i="18" s="1"/>
  <c r="O78" i="19"/>
  <c r="G106" i="19" s="1"/>
  <c r="G177" i="18" s="1"/>
  <c r="O77" i="19"/>
  <c r="O41" i="19"/>
  <c r="G73" i="19" s="1"/>
  <c r="G125" i="18" s="1"/>
  <c r="G83" i="19" s="1"/>
  <c r="O83" i="19" s="1"/>
  <c r="G105" i="19" s="1"/>
  <c r="G175" i="18" s="1"/>
  <c r="G71" i="19"/>
  <c r="G122" i="18" s="1"/>
  <c r="G72" i="19"/>
  <c r="G123" i="18" s="1"/>
  <c r="G35" i="19"/>
  <c r="G54" i="18" s="1"/>
  <c r="O23" i="19"/>
  <c r="O24" i="19"/>
  <c r="G36" i="19" s="1"/>
  <c r="G56" i="18" s="1"/>
  <c r="O21" i="19"/>
  <c r="G17" i="19"/>
  <c r="J27" i="18" s="1"/>
  <c r="O11" i="19"/>
  <c r="G16" i="19" s="1"/>
  <c r="J26" i="18" s="1"/>
  <c r="O10" i="19"/>
  <c r="G18" i="19" s="1"/>
  <c r="J29" i="18" s="1"/>
  <c r="G5" i="7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4" i="7"/>
  <c r="G211" i="19" l="1"/>
  <c r="G323" i="18" s="1"/>
  <c r="I326" i="18"/>
  <c r="P326" i="18" s="1"/>
  <c r="P325" i="18"/>
  <c r="P324" i="18"/>
  <c r="P305" i="18"/>
  <c r="I304" i="18"/>
  <c r="P284" i="18"/>
  <c r="N304" i="18"/>
  <c r="L304" i="18"/>
  <c r="AE304" i="18" s="1"/>
  <c r="G197" i="19"/>
  <c r="G303" i="18" s="1"/>
  <c r="G199" i="19"/>
  <c r="G306" i="18" s="1"/>
  <c r="G183" i="19"/>
  <c r="G285" i="18" s="1"/>
  <c r="J285" i="18" s="1"/>
  <c r="L267" i="18"/>
  <c r="AE267" i="18" s="1"/>
  <c r="I265" i="18"/>
  <c r="N265" i="18"/>
  <c r="L265" i="18"/>
  <c r="AE265" i="18" s="1"/>
  <c r="P266" i="18"/>
  <c r="I267" i="18"/>
  <c r="J267" i="18"/>
  <c r="G181" i="19"/>
  <c r="G282" i="18" s="1"/>
  <c r="G167" i="19"/>
  <c r="G264" i="18" s="1"/>
  <c r="L283" i="18"/>
  <c r="AE283" i="18" s="1"/>
  <c r="J283" i="18"/>
  <c r="I283" i="18"/>
  <c r="L250" i="18"/>
  <c r="AE250" i="18" s="1"/>
  <c r="L248" i="18"/>
  <c r="AE248" i="18" s="1"/>
  <c r="N250" i="18"/>
  <c r="N248" i="18"/>
  <c r="G153" i="19"/>
  <c r="G247" i="18" s="1"/>
  <c r="N247" i="18" s="1"/>
  <c r="J250" i="18"/>
  <c r="I248" i="18"/>
  <c r="P249" i="18"/>
  <c r="G104" i="19"/>
  <c r="G174" i="18" s="1"/>
  <c r="G34" i="19"/>
  <c r="G53" i="18" s="1"/>
  <c r="L53" i="18" s="1"/>
  <c r="AE53" i="18" s="1"/>
  <c r="H6" i="19"/>
  <c r="O5" i="19"/>
  <c r="AA5" i="19" s="1"/>
  <c r="H5" i="19"/>
  <c r="M229" i="18"/>
  <c r="N229" i="18" s="1"/>
  <c r="L229" i="18"/>
  <c r="AE229" i="18" s="1"/>
  <c r="J229" i="18"/>
  <c r="H229" i="18"/>
  <c r="I229" i="18" s="1"/>
  <c r="M228" i="18"/>
  <c r="H228" i="18"/>
  <c r="G228" i="18"/>
  <c r="L228" i="18" s="1"/>
  <c r="AE228" i="18" s="1"/>
  <c r="M227" i="18"/>
  <c r="N227" i="18" s="1"/>
  <c r="L227" i="18"/>
  <c r="AE227" i="18" s="1"/>
  <c r="J227" i="18"/>
  <c r="H227" i="18"/>
  <c r="I227" i="18" s="1"/>
  <c r="M226" i="18"/>
  <c r="N226" i="18" s="1"/>
  <c r="L226" i="18"/>
  <c r="AE226" i="18" s="1"/>
  <c r="J226" i="18"/>
  <c r="H226" i="18"/>
  <c r="I226" i="18" s="1"/>
  <c r="M225" i="18"/>
  <c r="N225" i="18" s="1"/>
  <c r="K225" i="18"/>
  <c r="L225" i="18" s="1"/>
  <c r="J225" i="18"/>
  <c r="I225" i="18"/>
  <c r="M224" i="18"/>
  <c r="N224" i="18" s="1"/>
  <c r="L224" i="18"/>
  <c r="J224" i="18"/>
  <c r="I224" i="18"/>
  <c r="M223" i="18"/>
  <c r="N223" i="18" s="1"/>
  <c r="K223" i="18"/>
  <c r="L223" i="18" s="1"/>
  <c r="J223" i="18"/>
  <c r="I223" i="18"/>
  <c r="M222" i="18"/>
  <c r="N222" i="18" s="1"/>
  <c r="K222" i="18"/>
  <c r="L222" i="18" s="1"/>
  <c r="J222" i="18"/>
  <c r="I222" i="18"/>
  <c r="M221" i="18"/>
  <c r="N221" i="18" s="1"/>
  <c r="K221" i="18"/>
  <c r="L221" i="18" s="1"/>
  <c r="J221" i="18"/>
  <c r="I221" i="18"/>
  <c r="M220" i="18"/>
  <c r="N220" i="18" s="1"/>
  <c r="K220" i="18"/>
  <c r="L220" i="18" s="1"/>
  <c r="J220" i="18"/>
  <c r="I220" i="18"/>
  <c r="M219" i="18"/>
  <c r="N219" i="18" s="1"/>
  <c r="K219" i="18"/>
  <c r="L219" i="18" s="1"/>
  <c r="J219" i="18"/>
  <c r="I219" i="18"/>
  <c r="M218" i="18"/>
  <c r="N218" i="18" s="1"/>
  <c r="L218" i="18"/>
  <c r="J218" i="18"/>
  <c r="I218" i="18"/>
  <c r="M217" i="18"/>
  <c r="N217" i="18" s="1"/>
  <c r="L217" i="18"/>
  <c r="J217" i="18"/>
  <c r="I217" i="18"/>
  <c r="M216" i="18"/>
  <c r="N216" i="18" s="1"/>
  <c r="K216" i="18"/>
  <c r="L216" i="18" s="1"/>
  <c r="J216" i="18"/>
  <c r="I216" i="18"/>
  <c r="M215" i="18"/>
  <c r="N215" i="18" s="1"/>
  <c r="K215" i="18"/>
  <c r="L215" i="18" s="1"/>
  <c r="J215" i="18"/>
  <c r="I215" i="18"/>
  <c r="M214" i="18"/>
  <c r="N214" i="18" s="1"/>
  <c r="K214" i="18"/>
  <c r="L214" i="18" s="1"/>
  <c r="J214" i="18"/>
  <c r="I214" i="18"/>
  <c r="M213" i="18"/>
  <c r="N213" i="18" s="1"/>
  <c r="L213" i="18"/>
  <c r="J213" i="18"/>
  <c r="I213" i="18"/>
  <c r="M212" i="18"/>
  <c r="N212" i="18" s="1"/>
  <c r="K212" i="18"/>
  <c r="L212" i="18" s="1"/>
  <c r="J212" i="18"/>
  <c r="I212" i="18"/>
  <c r="M211" i="18"/>
  <c r="N211" i="18" s="1"/>
  <c r="K211" i="18"/>
  <c r="L211" i="18" s="1"/>
  <c r="J211" i="18"/>
  <c r="I211" i="18"/>
  <c r="M210" i="18"/>
  <c r="N210" i="18" s="1"/>
  <c r="K210" i="18"/>
  <c r="L210" i="18" s="1"/>
  <c r="J210" i="18"/>
  <c r="I210" i="18"/>
  <c r="M209" i="18"/>
  <c r="N209" i="18" s="1"/>
  <c r="K209" i="18"/>
  <c r="L209" i="18" s="1"/>
  <c r="J209" i="18"/>
  <c r="I209" i="18"/>
  <c r="M208" i="18"/>
  <c r="N208" i="18" s="1"/>
  <c r="K208" i="18"/>
  <c r="L208" i="18" s="1"/>
  <c r="J208" i="18"/>
  <c r="I208" i="18"/>
  <c r="M207" i="18"/>
  <c r="N207" i="18" s="1"/>
  <c r="L207" i="18"/>
  <c r="J207" i="18"/>
  <c r="I207" i="18"/>
  <c r="M206" i="18"/>
  <c r="N206" i="18" s="1"/>
  <c r="K206" i="18"/>
  <c r="L206" i="18" s="1"/>
  <c r="J206" i="18"/>
  <c r="I206" i="18"/>
  <c r="M205" i="18"/>
  <c r="N205" i="18" s="1"/>
  <c r="L205" i="18"/>
  <c r="J205" i="18"/>
  <c r="I205" i="18"/>
  <c r="M204" i="18"/>
  <c r="N204" i="18" s="1"/>
  <c r="L204" i="18"/>
  <c r="J204" i="18"/>
  <c r="I204" i="18"/>
  <c r="M203" i="18"/>
  <c r="N203" i="18" s="1"/>
  <c r="K203" i="18"/>
  <c r="L203" i="18" s="1"/>
  <c r="J203" i="18"/>
  <c r="I203" i="18"/>
  <c r="M202" i="18"/>
  <c r="N202" i="18" s="1"/>
  <c r="K202" i="18"/>
  <c r="L202" i="18" s="1"/>
  <c r="J202" i="18"/>
  <c r="I202" i="18"/>
  <c r="M201" i="18"/>
  <c r="N201" i="18" s="1"/>
  <c r="K201" i="18"/>
  <c r="L201" i="18" s="1"/>
  <c r="J201" i="18"/>
  <c r="I201" i="18"/>
  <c r="M200" i="18"/>
  <c r="N200" i="18" s="1"/>
  <c r="K200" i="18"/>
  <c r="L200" i="18" s="1"/>
  <c r="J200" i="18"/>
  <c r="I200" i="18"/>
  <c r="M199" i="18"/>
  <c r="N199" i="18" s="1"/>
  <c r="K199" i="18"/>
  <c r="L199" i="18" s="1"/>
  <c r="J199" i="18"/>
  <c r="I199" i="18"/>
  <c r="M198" i="18"/>
  <c r="N198" i="18" s="1"/>
  <c r="L198" i="18"/>
  <c r="J198" i="18"/>
  <c r="I198" i="18"/>
  <c r="M197" i="18"/>
  <c r="N197" i="18" s="1"/>
  <c r="L197" i="18"/>
  <c r="J197" i="18"/>
  <c r="I197" i="18"/>
  <c r="M196" i="18"/>
  <c r="N196" i="18" s="1"/>
  <c r="K196" i="18"/>
  <c r="L196" i="18" s="1"/>
  <c r="J196" i="18"/>
  <c r="I196" i="18"/>
  <c r="M195" i="18"/>
  <c r="N195" i="18" s="1"/>
  <c r="K195" i="18"/>
  <c r="L195" i="18" s="1"/>
  <c r="J195" i="18"/>
  <c r="I195" i="18"/>
  <c r="M194" i="18"/>
  <c r="N194" i="18" s="1"/>
  <c r="K194" i="18"/>
  <c r="L194" i="18" s="1"/>
  <c r="J194" i="18"/>
  <c r="I194" i="18"/>
  <c r="M193" i="18"/>
  <c r="N193" i="18" s="1"/>
  <c r="L193" i="18"/>
  <c r="J193" i="18"/>
  <c r="I193" i="18"/>
  <c r="M192" i="18"/>
  <c r="N192" i="18" s="1"/>
  <c r="K192" i="18"/>
  <c r="L192" i="18" s="1"/>
  <c r="J192" i="18"/>
  <c r="I192" i="18"/>
  <c r="M191" i="18"/>
  <c r="N191" i="18" s="1"/>
  <c r="K191" i="18"/>
  <c r="L191" i="18" s="1"/>
  <c r="J191" i="18"/>
  <c r="I191" i="18"/>
  <c r="M190" i="18"/>
  <c r="N190" i="18" s="1"/>
  <c r="K190" i="18"/>
  <c r="L190" i="18" s="1"/>
  <c r="J190" i="18"/>
  <c r="I190" i="18"/>
  <c r="M189" i="18"/>
  <c r="N189" i="18" s="1"/>
  <c r="K189" i="18"/>
  <c r="L189" i="18" s="1"/>
  <c r="J189" i="18"/>
  <c r="I189" i="18"/>
  <c r="M188" i="18"/>
  <c r="N188" i="18" s="1"/>
  <c r="K188" i="18"/>
  <c r="L188" i="18" s="1"/>
  <c r="J188" i="18"/>
  <c r="I188" i="18"/>
  <c r="M187" i="18"/>
  <c r="N187" i="18" s="1"/>
  <c r="L187" i="18"/>
  <c r="J187" i="18"/>
  <c r="I187" i="18"/>
  <c r="M186" i="18"/>
  <c r="N186" i="18" s="1"/>
  <c r="K186" i="18"/>
  <c r="L186" i="18" s="1"/>
  <c r="J186" i="18"/>
  <c r="I186" i="18"/>
  <c r="M185" i="18"/>
  <c r="N185" i="18" s="1"/>
  <c r="K185" i="18"/>
  <c r="L185" i="18" s="1"/>
  <c r="J185" i="18"/>
  <c r="I185" i="18"/>
  <c r="M184" i="18"/>
  <c r="N184" i="18" s="1"/>
  <c r="L184" i="18"/>
  <c r="J184" i="18"/>
  <c r="I184" i="18"/>
  <c r="M183" i="18"/>
  <c r="N183" i="18" s="1"/>
  <c r="K183" i="18"/>
  <c r="L183" i="18" s="1"/>
  <c r="J183" i="18"/>
  <c r="I183" i="18"/>
  <c r="M182" i="18"/>
  <c r="N182" i="18" s="1"/>
  <c r="K182" i="18"/>
  <c r="L182" i="18" s="1"/>
  <c r="J182" i="18"/>
  <c r="I182" i="18"/>
  <c r="M181" i="18"/>
  <c r="N181" i="18" s="1"/>
  <c r="K181" i="18"/>
  <c r="L181" i="18" s="1"/>
  <c r="J181" i="18"/>
  <c r="I181" i="18"/>
  <c r="M177" i="18"/>
  <c r="N177" i="18" s="1"/>
  <c r="L177" i="18"/>
  <c r="AE177" i="18" s="1"/>
  <c r="J177" i="18"/>
  <c r="H177" i="18"/>
  <c r="I177" i="18" s="1"/>
  <c r="M176" i="18"/>
  <c r="H176" i="18"/>
  <c r="G176" i="18"/>
  <c r="M175" i="18"/>
  <c r="N175" i="18" s="1"/>
  <c r="L175" i="18"/>
  <c r="AE175" i="18" s="1"/>
  <c r="J175" i="18"/>
  <c r="H175" i="18"/>
  <c r="I175" i="18" s="1"/>
  <c r="M174" i="18"/>
  <c r="H174" i="18"/>
  <c r="M173" i="18"/>
  <c r="N173" i="18" s="1"/>
  <c r="K173" i="18"/>
  <c r="L173" i="18" s="1"/>
  <c r="J173" i="18"/>
  <c r="I173" i="18"/>
  <c r="M172" i="18"/>
  <c r="N172" i="18" s="1"/>
  <c r="L172" i="18"/>
  <c r="J172" i="18"/>
  <c r="I172" i="18"/>
  <c r="M171" i="18"/>
  <c r="N171" i="18" s="1"/>
  <c r="K171" i="18"/>
  <c r="L171" i="18" s="1"/>
  <c r="J171" i="18"/>
  <c r="I171" i="18"/>
  <c r="M170" i="18"/>
  <c r="N170" i="18" s="1"/>
  <c r="K170" i="18"/>
  <c r="L170" i="18" s="1"/>
  <c r="J170" i="18"/>
  <c r="I170" i="18"/>
  <c r="M169" i="18"/>
  <c r="N169" i="18" s="1"/>
  <c r="K169" i="18"/>
  <c r="L169" i="18" s="1"/>
  <c r="J169" i="18"/>
  <c r="I169" i="18"/>
  <c r="M168" i="18"/>
  <c r="N168" i="18" s="1"/>
  <c r="K168" i="18"/>
  <c r="L168" i="18" s="1"/>
  <c r="J168" i="18"/>
  <c r="I168" i="18"/>
  <c r="M167" i="18"/>
  <c r="N167" i="18" s="1"/>
  <c r="K167" i="18"/>
  <c r="L167" i="18" s="1"/>
  <c r="J167" i="18"/>
  <c r="I167" i="18"/>
  <c r="M166" i="18"/>
  <c r="N166" i="18" s="1"/>
  <c r="L166" i="18"/>
  <c r="J166" i="18"/>
  <c r="I166" i="18"/>
  <c r="M165" i="18"/>
  <c r="N165" i="18" s="1"/>
  <c r="L165" i="18"/>
  <c r="J165" i="18"/>
  <c r="I165" i="18"/>
  <c r="M164" i="18"/>
  <c r="N164" i="18" s="1"/>
  <c r="K164" i="18"/>
  <c r="L164" i="18" s="1"/>
  <c r="J164" i="18"/>
  <c r="I164" i="18"/>
  <c r="M163" i="18"/>
  <c r="N163" i="18" s="1"/>
  <c r="K163" i="18"/>
  <c r="L163" i="18" s="1"/>
  <c r="J163" i="18"/>
  <c r="I163" i="18"/>
  <c r="M162" i="18"/>
  <c r="N162" i="18" s="1"/>
  <c r="K162" i="18"/>
  <c r="L162" i="18" s="1"/>
  <c r="J162" i="18"/>
  <c r="I162" i="18"/>
  <c r="M161" i="18"/>
  <c r="N161" i="18" s="1"/>
  <c r="L161" i="18"/>
  <c r="J161" i="18"/>
  <c r="I161" i="18"/>
  <c r="M160" i="18"/>
  <c r="N160" i="18" s="1"/>
  <c r="K160" i="18"/>
  <c r="L160" i="18" s="1"/>
  <c r="J160" i="18"/>
  <c r="I160" i="18"/>
  <c r="M159" i="18"/>
  <c r="N159" i="18" s="1"/>
  <c r="K159" i="18"/>
  <c r="L159" i="18" s="1"/>
  <c r="J159" i="18"/>
  <c r="I159" i="18"/>
  <c r="M158" i="18"/>
  <c r="N158" i="18" s="1"/>
  <c r="K158" i="18"/>
  <c r="L158" i="18" s="1"/>
  <c r="J158" i="18"/>
  <c r="I158" i="18"/>
  <c r="M157" i="18"/>
  <c r="N157" i="18" s="1"/>
  <c r="K157" i="18"/>
  <c r="L157" i="18" s="1"/>
  <c r="J157" i="18"/>
  <c r="I157" i="18"/>
  <c r="M156" i="18"/>
  <c r="N156" i="18" s="1"/>
  <c r="K156" i="18"/>
  <c r="L156" i="18" s="1"/>
  <c r="J156" i="18"/>
  <c r="I156" i="18"/>
  <c r="M155" i="18"/>
  <c r="N155" i="18" s="1"/>
  <c r="L155" i="18"/>
  <c r="J155" i="18"/>
  <c r="I155" i="18"/>
  <c r="M154" i="18"/>
  <c r="N154" i="18" s="1"/>
  <c r="K154" i="18"/>
  <c r="L154" i="18" s="1"/>
  <c r="J154" i="18"/>
  <c r="I154" i="18"/>
  <c r="M153" i="18"/>
  <c r="N153" i="18" s="1"/>
  <c r="L153" i="18"/>
  <c r="J153" i="18"/>
  <c r="I153" i="18"/>
  <c r="M152" i="18"/>
  <c r="N152" i="18" s="1"/>
  <c r="L152" i="18"/>
  <c r="J152" i="18"/>
  <c r="I152" i="18"/>
  <c r="M151" i="18"/>
  <c r="N151" i="18" s="1"/>
  <c r="K151" i="18"/>
  <c r="L151" i="18" s="1"/>
  <c r="J151" i="18"/>
  <c r="I151" i="18"/>
  <c r="M150" i="18"/>
  <c r="N150" i="18" s="1"/>
  <c r="K150" i="18"/>
  <c r="L150" i="18" s="1"/>
  <c r="J150" i="18"/>
  <c r="I150" i="18"/>
  <c r="M149" i="18"/>
  <c r="N149" i="18" s="1"/>
  <c r="K149" i="18"/>
  <c r="L149" i="18" s="1"/>
  <c r="J149" i="18"/>
  <c r="I149" i="18"/>
  <c r="M148" i="18"/>
  <c r="N148" i="18" s="1"/>
  <c r="K148" i="18"/>
  <c r="L148" i="18" s="1"/>
  <c r="J148" i="18"/>
  <c r="I148" i="18"/>
  <c r="M147" i="18"/>
  <c r="N147" i="18" s="1"/>
  <c r="K147" i="18"/>
  <c r="L147" i="18" s="1"/>
  <c r="J147" i="18"/>
  <c r="I147" i="18"/>
  <c r="M146" i="18"/>
  <c r="N146" i="18" s="1"/>
  <c r="L146" i="18"/>
  <c r="J146" i="18"/>
  <c r="I146" i="18"/>
  <c r="M145" i="18"/>
  <c r="N145" i="18" s="1"/>
  <c r="L145" i="18"/>
  <c r="J145" i="18"/>
  <c r="I145" i="18"/>
  <c r="M144" i="18"/>
  <c r="N144" i="18" s="1"/>
  <c r="K144" i="18"/>
  <c r="L144" i="18" s="1"/>
  <c r="J144" i="18"/>
  <c r="I144" i="18"/>
  <c r="M143" i="18"/>
  <c r="N143" i="18" s="1"/>
  <c r="K143" i="18"/>
  <c r="L143" i="18" s="1"/>
  <c r="J143" i="18"/>
  <c r="I143" i="18"/>
  <c r="M142" i="18"/>
  <c r="N142" i="18" s="1"/>
  <c r="K142" i="18"/>
  <c r="L142" i="18" s="1"/>
  <c r="J142" i="18"/>
  <c r="I142" i="18"/>
  <c r="M141" i="18"/>
  <c r="N141" i="18" s="1"/>
  <c r="L141" i="18"/>
  <c r="J141" i="18"/>
  <c r="I141" i="18"/>
  <c r="M140" i="18"/>
  <c r="N140" i="18" s="1"/>
  <c r="K140" i="18"/>
  <c r="L140" i="18" s="1"/>
  <c r="J140" i="18"/>
  <c r="I140" i="18"/>
  <c r="M139" i="18"/>
  <c r="N139" i="18" s="1"/>
  <c r="K139" i="18"/>
  <c r="L139" i="18" s="1"/>
  <c r="J139" i="18"/>
  <c r="I139" i="18"/>
  <c r="M138" i="18"/>
  <c r="N138" i="18" s="1"/>
  <c r="K138" i="18"/>
  <c r="L138" i="18" s="1"/>
  <c r="J138" i="18"/>
  <c r="I138" i="18"/>
  <c r="M137" i="18"/>
  <c r="N137" i="18" s="1"/>
  <c r="K137" i="18"/>
  <c r="L137" i="18" s="1"/>
  <c r="J137" i="18"/>
  <c r="I137" i="18"/>
  <c r="M136" i="18"/>
  <c r="N136" i="18" s="1"/>
  <c r="K136" i="18"/>
  <c r="L136" i="18" s="1"/>
  <c r="J136" i="18"/>
  <c r="I136" i="18"/>
  <c r="M135" i="18"/>
  <c r="N135" i="18" s="1"/>
  <c r="L135" i="18"/>
  <c r="J135" i="18"/>
  <c r="I135" i="18"/>
  <c r="M134" i="18"/>
  <c r="N134" i="18" s="1"/>
  <c r="K134" i="18"/>
  <c r="L134" i="18" s="1"/>
  <c r="J134" i="18"/>
  <c r="I134" i="18"/>
  <c r="M133" i="18"/>
  <c r="N133" i="18" s="1"/>
  <c r="K133" i="18"/>
  <c r="L133" i="18" s="1"/>
  <c r="J133" i="18"/>
  <c r="I133" i="18"/>
  <c r="M132" i="18"/>
  <c r="N132" i="18" s="1"/>
  <c r="L132" i="18"/>
  <c r="J132" i="18"/>
  <c r="I132" i="18"/>
  <c r="M131" i="18"/>
  <c r="N131" i="18" s="1"/>
  <c r="K131" i="18"/>
  <c r="L131" i="18" s="1"/>
  <c r="J131" i="18"/>
  <c r="I131" i="18"/>
  <c r="M130" i="18"/>
  <c r="N130" i="18" s="1"/>
  <c r="K130" i="18"/>
  <c r="L130" i="18" s="1"/>
  <c r="J130" i="18"/>
  <c r="I130" i="18"/>
  <c r="M129" i="18"/>
  <c r="N129" i="18" s="1"/>
  <c r="K129" i="18"/>
  <c r="L129" i="18" s="1"/>
  <c r="J129" i="18"/>
  <c r="I129" i="18"/>
  <c r="M125" i="18"/>
  <c r="N125" i="18" s="1"/>
  <c r="L125" i="18"/>
  <c r="AE125" i="18" s="1"/>
  <c r="J125" i="18"/>
  <c r="H125" i="18"/>
  <c r="I125" i="18" s="1"/>
  <c r="M124" i="18"/>
  <c r="H124" i="18"/>
  <c r="G124" i="18"/>
  <c r="L124" i="18" s="1"/>
  <c r="AE124" i="18" s="1"/>
  <c r="M123" i="18"/>
  <c r="N123" i="18" s="1"/>
  <c r="L123" i="18"/>
  <c r="AE123" i="18" s="1"/>
  <c r="J123" i="18"/>
  <c r="H123" i="18"/>
  <c r="I123" i="18" s="1"/>
  <c r="M122" i="18"/>
  <c r="N122" i="18" s="1"/>
  <c r="L122" i="18"/>
  <c r="AE122" i="18" s="1"/>
  <c r="J122" i="18"/>
  <c r="H122" i="18"/>
  <c r="I122" i="18" s="1"/>
  <c r="M121" i="18"/>
  <c r="N121" i="18" s="1"/>
  <c r="K121" i="18"/>
  <c r="L121" i="18" s="1"/>
  <c r="J121" i="18"/>
  <c r="I121" i="18"/>
  <c r="M120" i="18"/>
  <c r="N120" i="18" s="1"/>
  <c r="K120" i="18"/>
  <c r="L120" i="18" s="1"/>
  <c r="J120" i="18"/>
  <c r="I120" i="18"/>
  <c r="M119" i="18"/>
  <c r="N119" i="18" s="1"/>
  <c r="K119" i="18"/>
  <c r="L119" i="18" s="1"/>
  <c r="J119" i="18"/>
  <c r="I119" i="18"/>
  <c r="M118" i="18"/>
  <c r="N118" i="18" s="1"/>
  <c r="K118" i="18"/>
  <c r="L118" i="18" s="1"/>
  <c r="J118" i="18"/>
  <c r="I118" i="18"/>
  <c r="M117" i="18"/>
  <c r="N117" i="18" s="1"/>
  <c r="L117" i="18"/>
  <c r="J117" i="18"/>
  <c r="I117" i="18"/>
  <c r="M116" i="18"/>
  <c r="N116" i="18" s="1"/>
  <c r="L116" i="18"/>
  <c r="J116" i="18"/>
  <c r="I116" i="18"/>
  <c r="M115" i="18"/>
  <c r="N115" i="18" s="1"/>
  <c r="K115" i="18"/>
  <c r="L115" i="18" s="1"/>
  <c r="J115" i="18"/>
  <c r="I115" i="18"/>
  <c r="M114" i="18"/>
  <c r="N114" i="18" s="1"/>
  <c r="K114" i="18"/>
  <c r="L114" i="18" s="1"/>
  <c r="J114" i="18"/>
  <c r="I114" i="18"/>
  <c r="M113" i="18"/>
  <c r="N113" i="18" s="1"/>
  <c r="K113" i="18"/>
  <c r="L113" i="18" s="1"/>
  <c r="J113" i="18"/>
  <c r="I113" i="18"/>
  <c r="M112" i="18"/>
  <c r="N112" i="18" s="1"/>
  <c r="L112" i="18"/>
  <c r="J112" i="18"/>
  <c r="I112" i="18"/>
  <c r="M111" i="18"/>
  <c r="N111" i="18" s="1"/>
  <c r="K111" i="18"/>
  <c r="L111" i="18" s="1"/>
  <c r="J111" i="18"/>
  <c r="I111" i="18"/>
  <c r="M110" i="18"/>
  <c r="N110" i="18" s="1"/>
  <c r="K110" i="18"/>
  <c r="L110" i="18" s="1"/>
  <c r="J110" i="18"/>
  <c r="I110" i="18"/>
  <c r="M109" i="18"/>
  <c r="N109" i="18" s="1"/>
  <c r="K109" i="18"/>
  <c r="L109" i="18" s="1"/>
  <c r="J109" i="18"/>
  <c r="I109" i="18"/>
  <c r="M108" i="18"/>
  <c r="N108" i="18" s="1"/>
  <c r="K108" i="18"/>
  <c r="L108" i="18" s="1"/>
  <c r="J108" i="18"/>
  <c r="I108" i="18"/>
  <c r="M107" i="18"/>
  <c r="N107" i="18" s="1"/>
  <c r="K107" i="18"/>
  <c r="L107" i="18" s="1"/>
  <c r="J107" i="18"/>
  <c r="I107" i="18"/>
  <c r="M106" i="18"/>
  <c r="N106" i="18" s="1"/>
  <c r="L106" i="18"/>
  <c r="J106" i="18"/>
  <c r="I106" i="18"/>
  <c r="M105" i="18"/>
  <c r="N105" i="18" s="1"/>
  <c r="K105" i="18"/>
  <c r="L105" i="18" s="1"/>
  <c r="J105" i="18"/>
  <c r="I105" i="18"/>
  <c r="M104" i="18"/>
  <c r="N104" i="18" s="1"/>
  <c r="K104" i="18"/>
  <c r="L104" i="18" s="1"/>
  <c r="J104" i="18"/>
  <c r="I104" i="18"/>
  <c r="M103" i="18"/>
  <c r="N103" i="18" s="1"/>
  <c r="L103" i="18"/>
  <c r="J103" i="18"/>
  <c r="I103" i="18"/>
  <c r="M102" i="18"/>
  <c r="N102" i="18" s="1"/>
  <c r="K102" i="18"/>
  <c r="L102" i="18" s="1"/>
  <c r="J102" i="18"/>
  <c r="I102" i="18"/>
  <c r="M101" i="18"/>
  <c r="N101" i="18" s="1"/>
  <c r="K101" i="18"/>
  <c r="L101" i="18" s="1"/>
  <c r="J101" i="18"/>
  <c r="I101" i="18"/>
  <c r="M100" i="18"/>
  <c r="N100" i="18" s="1"/>
  <c r="K100" i="18"/>
  <c r="L100" i="18" s="1"/>
  <c r="J100" i="18"/>
  <c r="I100" i="18"/>
  <c r="M99" i="18"/>
  <c r="N99" i="18" s="1"/>
  <c r="K99" i="18"/>
  <c r="L99" i="18" s="1"/>
  <c r="J99" i="18"/>
  <c r="I99" i="18"/>
  <c r="M98" i="18"/>
  <c r="N98" i="18" s="1"/>
  <c r="K98" i="18"/>
  <c r="L98" i="18" s="1"/>
  <c r="J98" i="18"/>
  <c r="I98" i="18"/>
  <c r="M97" i="18"/>
  <c r="N97" i="18" s="1"/>
  <c r="L97" i="18"/>
  <c r="J97" i="18"/>
  <c r="I97" i="18"/>
  <c r="M96" i="18"/>
  <c r="N96" i="18" s="1"/>
  <c r="L96" i="18"/>
  <c r="J96" i="18"/>
  <c r="I96" i="18"/>
  <c r="M95" i="18"/>
  <c r="N95" i="18" s="1"/>
  <c r="K95" i="18"/>
  <c r="L95" i="18" s="1"/>
  <c r="J95" i="18"/>
  <c r="I95" i="18"/>
  <c r="M94" i="18"/>
  <c r="N94" i="18" s="1"/>
  <c r="K94" i="18"/>
  <c r="L94" i="18" s="1"/>
  <c r="J94" i="18"/>
  <c r="I94" i="18"/>
  <c r="M93" i="18"/>
  <c r="N93" i="18" s="1"/>
  <c r="K93" i="18"/>
  <c r="L93" i="18" s="1"/>
  <c r="J93" i="18"/>
  <c r="I93" i="18"/>
  <c r="M92" i="18"/>
  <c r="N92" i="18" s="1"/>
  <c r="L92" i="18"/>
  <c r="J92" i="18"/>
  <c r="I92" i="18"/>
  <c r="M91" i="18"/>
  <c r="N91" i="18" s="1"/>
  <c r="K91" i="18"/>
  <c r="L91" i="18" s="1"/>
  <c r="J91" i="18"/>
  <c r="I91" i="18"/>
  <c r="M90" i="18"/>
  <c r="N90" i="18" s="1"/>
  <c r="K90" i="18"/>
  <c r="L90" i="18" s="1"/>
  <c r="J90" i="18"/>
  <c r="I90" i="18"/>
  <c r="M89" i="18"/>
  <c r="N89" i="18" s="1"/>
  <c r="K89" i="18"/>
  <c r="L89" i="18" s="1"/>
  <c r="J89" i="18"/>
  <c r="I89" i="18"/>
  <c r="M88" i="18"/>
  <c r="N88" i="18" s="1"/>
  <c r="K88" i="18"/>
  <c r="L88" i="18" s="1"/>
  <c r="J88" i="18"/>
  <c r="I88" i="18"/>
  <c r="M87" i="18"/>
  <c r="N87" i="18" s="1"/>
  <c r="K87" i="18"/>
  <c r="L87" i="18" s="1"/>
  <c r="J87" i="18"/>
  <c r="I87" i="18"/>
  <c r="M86" i="18"/>
  <c r="N86" i="18" s="1"/>
  <c r="L86" i="18"/>
  <c r="J86" i="18"/>
  <c r="I86" i="18"/>
  <c r="M85" i="18"/>
  <c r="N85" i="18" s="1"/>
  <c r="K85" i="18"/>
  <c r="L85" i="18" s="1"/>
  <c r="J85" i="18"/>
  <c r="I85" i="18"/>
  <c r="M84" i="18"/>
  <c r="N84" i="18" s="1"/>
  <c r="L84" i="18"/>
  <c r="J84" i="18"/>
  <c r="I84" i="18"/>
  <c r="M83" i="18"/>
  <c r="N83" i="18" s="1"/>
  <c r="L83" i="18"/>
  <c r="J83" i="18"/>
  <c r="I83" i="18"/>
  <c r="M82" i="18"/>
  <c r="N82" i="18" s="1"/>
  <c r="K82" i="18"/>
  <c r="L82" i="18" s="1"/>
  <c r="J82" i="18"/>
  <c r="I82" i="18"/>
  <c r="M81" i="18"/>
  <c r="N81" i="18" s="1"/>
  <c r="K81" i="18"/>
  <c r="L81" i="18" s="1"/>
  <c r="J81" i="18"/>
  <c r="I81" i="18"/>
  <c r="M80" i="18"/>
  <c r="N80" i="18" s="1"/>
  <c r="K80" i="18"/>
  <c r="L80" i="18" s="1"/>
  <c r="J80" i="18"/>
  <c r="I80" i="18"/>
  <c r="M79" i="18"/>
  <c r="N79" i="18" s="1"/>
  <c r="K79" i="18"/>
  <c r="L79" i="18" s="1"/>
  <c r="J79" i="18"/>
  <c r="I79" i="18"/>
  <c r="M78" i="18"/>
  <c r="N78" i="18" s="1"/>
  <c r="K78" i="18"/>
  <c r="L78" i="18" s="1"/>
  <c r="J78" i="18"/>
  <c r="I78" i="18"/>
  <c r="M77" i="18"/>
  <c r="N77" i="18" s="1"/>
  <c r="L77" i="18"/>
  <c r="J77" i="18"/>
  <c r="I77" i="18"/>
  <c r="M76" i="18"/>
  <c r="N76" i="18" s="1"/>
  <c r="L76" i="18"/>
  <c r="J76" i="18"/>
  <c r="I76" i="18"/>
  <c r="M75" i="18"/>
  <c r="N75" i="18" s="1"/>
  <c r="K75" i="18"/>
  <c r="L75" i="18" s="1"/>
  <c r="J75" i="18"/>
  <c r="I75" i="18"/>
  <c r="M74" i="18"/>
  <c r="N74" i="18" s="1"/>
  <c r="K74" i="18"/>
  <c r="L74" i="18" s="1"/>
  <c r="J74" i="18"/>
  <c r="I74" i="18"/>
  <c r="M73" i="18"/>
  <c r="N73" i="18" s="1"/>
  <c r="K73" i="18"/>
  <c r="L73" i="18" s="1"/>
  <c r="J73" i="18"/>
  <c r="I73" i="18"/>
  <c r="M72" i="18"/>
  <c r="N72" i="18" s="1"/>
  <c r="L72" i="18"/>
  <c r="J72" i="18"/>
  <c r="I72" i="18"/>
  <c r="M71" i="18"/>
  <c r="N71" i="18" s="1"/>
  <c r="K71" i="18"/>
  <c r="L71" i="18" s="1"/>
  <c r="J71" i="18"/>
  <c r="I71" i="18"/>
  <c r="M70" i="18"/>
  <c r="N70" i="18" s="1"/>
  <c r="K70" i="18"/>
  <c r="L70" i="18" s="1"/>
  <c r="J70" i="18"/>
  <c r="I70" i="18"/>
  <c r="M69" i="18"/>
  <c r="N69" i="18" s="1"/>
  <c r="K69" i="18"/>
  <c r="L69" i="18" s="1"/>
  <c r="J69" i="18"/>
  <c r="I69" i="18"/>
  <c r="M68" i="18"/>
  <c r="N68" i="18" s="1"/>
  <c r="K68" i="18"/>
  <c r="L68" i="18" s="1"/>
  <c r="J68" i="18"/>
  <c r="I68" i="18"/>
  <c r="M67" i="18"/>
  <c r="N67" i="18" s="1"/>
  <c r="K67" i="18"/>
  <c r="L67" i="18" s="1"/>
  <c r="J67" i="18"/>
  <c r="I67" i="18"/>
  <c r="M66" i="18"/>
  <c r="N66" i="18" s="1"/>
  <c r="L66" i="18"/>
  <c r="J66" i="18"/>
  <c r="I66" i="18"/>
  <c r="M65" i="18"/>
  <c r="N65" i="18" s="1"/>
  <c r="K65" i="18"/>
  <c r="L65" i="18" s="1"/>
  <c r="J65" i="18"/>
  <c r="I65" i="18"/>
  <c r="M64" i="18"/>
  <c r="N64" i="18" s="1"/>
  <c r="K64" i="18"/>
  <c r="L64" i="18" s="1"/>
  <c r="J64" i="18"/>
  <c r="I64" i="18"/>
  <c r="M63" i="18"/>
  <c r="N63" i="18" s="1"/>
  <c r="L63" i="18"/>
  <c r="J63" i="18"/>
  <c r="I63" i="18"/>
  <c r="M62" i="18"/>
  <c r="N62" i="18" s="1"/>
  <c r="K62" i="18"/>
  <c r="L62" i="18" s="1"/>
  <c r="J62" i="18"/>
  <c r="I62" i="18"/>
  <c r="M61" i="18"/>
  <c r="N61" i="18" s="1"/>
  <c r="K61" i="18"/>
  <c r="L61" i="18" s="1"/>
  <c r="J61" i="18"/>
  <c r="I61" i="18"/>
  <c r="M60" i="18"/>
  <c r="N60" i="18" s="1"/>
  <c r="K60" i="18"/>
  <c r="L60" i="18" s="1"/>
  <c r="J60" i="18"/>
  <c r="I60" i="18"/>
  <c r="M56" i="18"/>
  <c r="N56" i="18" s="1"/>
  <c r="L56" i="18"/>
  <c r="AE56" i="18" s="1"/>
  <c r="J56" i="18"/>
  <c r="H56" i="18"/>
  <c r="I56" i="18" s="1"/>
  <c r="M55" i="18"/>
  <c r="H55" i="18"/>
  <c r="G55" i="18"/>
  <c r="L55" i="18" s="1"/>
  <c r="AE55" i="18" s="1"/>
  <c r="M54" i="18"/>
  <c r="N54" i="18" s="1"/>
  <c r="L54" i="18"/>
  <c r="AE54" i="18" s="1"/>
  <c r="J54" i="18"/>
  <c r="H54" i="18"/>
  <c r="I54" i="18" s="1"/>
  <c r="M53" i="18"/>
  <c r="H53" i="18"/>
  <c r="M52" i="18"/>
  <c r="N52" i="18" s="1"/>
  <c r="K52" i="18"/>
  <c r="L52" i="18" s="1"/>
  <c r="J52" i="18"/>
  <c r="I52" i="18"/>
  <c r="M51" i="18"/>
  <c r="N51" i="18" s="1"/>
  <c r="K51" i="18"/>
  <c r="L51" i="18" s="1"/>
  <c r="J51" i="18"/>
  <c r="I51" i="18"/>
  <c r="M50" i="18"/>
  <c r="N50" i="18" s="1"/>
  <c r="L50" i="18"/>
  <c r="J50" i="18"/>
  <c r="I50" i="18"/>
  <c r="M49" i="18"/>
  <c r="N49" i="18" s="1"/>
  <c r="L49" i="18"/>
  <c r="J49" i="18"/>
  <c r="I49" i="18"/>
  <c r="M48" i="18"/>
  <c r="N48" i="18" s="1"/>
  <c r="K48" i="18"/>
  <c r="L48" i="18" s="1"/>
  <c r="J48" i="18"/>
  <c r="I48" i="18"/>
  <c r="M47" i="18"/>
  <c r="N47" i="18" s="1"/>
  <c r="K47" i="18"/>
  <c r="L47" i="18" s="1"/>
  <c r="J47" i="18"/>
  <c r="I47" i="18"/>
  <c r="M46" i="18"/>
  <c r="N46" i="18" s="1"/>
  <c r="K46" i="18"/>
  <c r="L46" i="18" s="1"/>
  <c r="J46" i="18"/>
  <c r="I46" i="18"/>
  <c r="M45" i="18"/>
  <c r="N45" i="18" s="1"/>
  <c r="L45" i="18"/>
  <c r="J45" i="18"/>
  <c r="I45" i="18"/>
  <c r="M44" i="18"/>
  <c r="N44" i="18" s="1"/>
  <c r="K44" i="18"/>
  <c r="L44" i="18" s="1"/>
  <c r="J44" i="18"/>
  <c r="I44" i="18"/>
  <c r="M43" i="18"/>
  <c r="N43" i="18" s="1"/>
  <c r="K43" i="18"/>
  <c r="L43" i="18" s="1"/>
  <c r="J43" i="18"/>
  <c r="I43" i="18"/>
  <c r="M42" i="18"/>
  <c r="N42" i="18" s="1"/>
  <c r="K42" i="18"/>
  <c r="L42" i="18" s="1"/>
  <c r="J42" i="18"/>
  <c r="I42" i="18"/>
  <c r="M41" i="18"/>
  <c r="N41" i="18" s="1"/>
  <c r="K41" i="18"/>
  <c r="L41" i="18" s="1"/>
  <c r="J41" i="18"/>
  <c r="I41" i="18"/>
  <c r="M40" i="18"/>
  <c r="N40" i="18" s="1"/>
  <c r="K40" i="18"/>
  <c r="L40" i="18" s="1"/>
  <c r="J40" i="18"/>
  <c r="I40" i="18"/>
  <c r="M39" i="18"/>
  <c r="N39" i="18" s="1"/>
  <c r="L39" i="18"/>
  <c r="J39" i="18"/>
  <c r="I39" i="18"/>
  <c r="M38" i="18"/>
  <c r="N38" i="18" s="1"/>
  <c r="K38" i="18"/>
  <c r="L38" i="18" s="1"/>
  <c r="J38" i="18"/>
  <c r="I38" i="18"/>
  <c r="M37" i="18"/>
  <c r="N37" i="18" s="1"/>
  <c r="K37" i="18"/>
  <c r="L37" i="18" s="1"/>
  <c r="J37" i="18"/>
  <c r="I37" i="18"/>
  <c r="M36" i="18"/>
  <c r="N36" i="18" s="1"/>
  <c r="L36" i="18"/>
  <c r="J36" i="18"/>
  <c r="I36" i="18"/>
  <c r="M35" i="18"/>
  <c r="N35" i="18" s="1"/>
  <c r="K35" i="18"/>
  <c r="L35" i="18" s="1"/>
  <c r="J35" i="18"/>
  <c r="I35" i="18"/>
  <c r="M34" i="18"/>
  <c r="N34" i="18" s="1"/>
  <c r="K34" i="18"/>
  <c r="L34" i="18" s="1"/>
  <c r="J34" i="18"/>
  <c r="I34" i="18"/>
  <c r="M33" i="18"/>
  <c r="N33" i="18" s="1"/>
  <c r="K33" i="18"/>
  <c r="L33" i="18" s="1"/>
  <c r="J33" i="18"/>
  <c r="I33" i="18"/>
  <c r="M29" i="18"/>
  <c r="H29" i="18"/>
  <c r="G29" i="18"/>
  <c r="M28" i="18"/>
  <c r="H28" i="18"/>
  <c r="G28" i="18"/>
  <c r="M27" i="18"/>
  <c r="H27" i="18"/>
  <c r="G27" i="18"/>
  <c r="M26" i="18"/>
  <c r="H26" i="18"/>
  <c r="G26" i="18"/>
  <c r="M25" i="18"/>
  <c r="N25" i="18" s="1"/>
  <c r="K25" i="18"/>
  <c r="L25" i="18" s="1"/>
  <c r="J25" i="18"/>
  <c r="I25" i="18"/>
  <c r="M24" i="18"/>
  <c r="N24" i="18" s="1"/>
  <c r="K24" i="18"/>
  <c r="L24" i="18" s="1"/>
  <c r="J24" i="18"/>
  <c r="I24" i="18"/>
  <c r="M23" i="18"/>
  <c r="N23" i="18" s="1"/>
  <c r="K23" i="18"/>
  <c r="L23" i="18" s="1"/>
  <c r="J23" i="18"/>
  <c r="I23" i="18"/>
  <c r="M22" i="18"/>
  <c r="N22" i="18" s="1"/>
  <c r="K22" i="18"/>
  <c r="L22" i="18" s="1"/>
  <c r="J22" i="18"/>
  <c r="I22" i="18"/>
  <c r="M21" i="18"/>
  <c r="N21" i="18" s="1"/>
  <c r="K21" i="18"/>
  <c r="L21" i="18" s="1"/>
  <c r="J21" i="18"/>
  <c r="I21" i="18"/>
  <c r="M20" i="18"/>
  <c r="N20" i="18" s="1"/>
  <c r="K20" i="18"/>
  <c r="L20" i="18" s="1"/>
  <c r="J20" i="18"/>
  <c r="I20" i="18"/>
  <c r="M19" i="18"/>
  <c r="N19" i="18" s="1"/>
  <c r="K19" i="18"/>
  <c r="L19" i="18" s="1"/>
  <c r="J19" i="18"/>
  <c r="I19" i="18"/>
  <c r="M18" i="18"/>
  <c r="N18" i="18" s="1"/>
  <c r="L18" i="18"/>
  <c r="J18" i="18"/>
  <c r="I18" i="18"/>
  <c r="M17" i="18"/>
  <c r="N17" i="18" s="1"/>
  <c r="K17" i="18"/>
  <c r="L17" i="18" s="1"/>
  <c r="J17" i="18"/>
  <c r="I17" i="18"/>
  <c r="M16" i="18"/>
  <c r="N16" i="18" s="1"/>
  <c r="K16" i="18"/>
  <c r="L16" i="18" s="1"/>
  <c r="J16" i="18"/>
  <c r="I16" i="18"/>
  <c r="M15" i="18"/>
  <c r="N15" i="18" s="1"/>
  <c r="K15" i="18"/>
  <c r="L15" i="18" s="1"/>
  <c r="J15" i="18"/>
  <c r="I15" i="18"/>
  <c r="M11" i="18"/>
  <c r="K11" i="18"/>
  <c r="H11" i="18"/>
  <c r="M10" i="18"/>
  <c r="N10" i="18" s="1"/>
  <c r="K10" i="18"/>
  <c r="L10" i="18" s="1"/>
  <c r="H10" i="18"/>
  <c r="I10" i="18" s="1"/>
  <c r="M9" i="18"/>
  <c r="N9" i="18" s="1"/>
  <c r="K9" i="18"/>
  <c r="L9" i="18" s="1"/>
  <c r="H9" i="18"/>
  <c r="I9" i="18" s="1"/>
  <c r="M8" i="18"/>
  <c r="N8" i="18" s="1"/>
  <c r="K8" i="18"/>
  <c r="L8" i="18" s="1"/>
  <c r="H8" i="18"/>
  <c r="I8" i="18" s="1"/>
  <c r="M7" i="18"/>
  <c r="N7" i="18" s="1"/>
  <c r="K7" i="18"/>
  <c r="L7" i="18" s="1"/>
  <c r="H7" i="18"/>
  <c r="I7" i="18" s="1"/>
  <c r="M6" i="18"/>
  <c r="N6" i="18" s="1"/>
  <c r="K6" i="18"/>
  <c r="L6" i="18" s="1"/>
  <c r="H6" i="18"/>
  <c r="I6" i="18" s="1"/>
  <c r="M5" i="18"/>
  <c r="N5" i="18" s="1"/>
  <c r="K5" i="18"/>
  <c r="L5" i="18" s="1"/>
  <c r="H5" i="18"/>
  <c r="I5" i="18" s="1"/>
  <c r="L323" i="18" l="1"/>
  <c r="N323" i="18"/>
  <c r="N327" i="18" s="1"/>
  <c r="I323" i="18"/>
  <c r="J323" i="18"/>
  <c r="P304" i="18"/>
  <c r="I306" i="18"/>
  <c r="J306" i="18"/>
  <c r="N306" i="18"/>
  <c r="L306" i="18"/>
  <c r="AE306" i="18" s="1"/>
  <c r="I303" i="18"/>
  <c r="J303" i="18"/>
  <c r="L303" i="18"/>
  <c r="N303" i="18"/>
  <c r="P267" i="18"/>
  <c r="N285" i="18"/>
  <c r="P265" i="18"/>
  <c r="P283" i="18"/>
  <c r="I285" i="18"/>
  <c r="L285" i="18"/>
  <c r="AE285" i="18" s="1"/>
  <c r="N251" i="18"/>
  <c r="N264" i="18"/>
  <c r="N268" i="18" s="1"/>
  <c r="J264" i="18"/>
  <c r="I264" i="18"/>
  <c r="L264" i="18"/>
  <c r="P250" i="18"/>
  <c r="N282" i="18"/>
  <c r="L282" i="18"/>
  <c r="I282" i="18"/>
  <c r="J282" i="18"/>
  <c r="P248" i="18"/>
  <c r="J247" i="18"/>
  <c r="L247" i="18"/>
  <c r="AE247" i="18" s="1"/>
  <c r="AE251" i="18" s="1"/>
  <c r="AC251" i="18" s="1"/>
  <c r="I247" i="18"/>
  <c r="P197" i="18"/>
  <c r="P50" i="18"/>
  <c r="P152" i="18"/>
  <c r="P161" i="18"/>
  <c r="P218" i="18"/>
  <c r="P36" i="18"/>
  <c r="P72" i="18"/>
  <c r="P84" i="18"/>
  <c r="P117" i="18"/>
  <c r="I228" i="18"/>
  <c r="P39" i="18"/>
  <c r="I55" i="18"/>
  <c r="P198" i="18"/>
  <c r="P18" i="18"/>
  <c r="N55" i="18"/>
  <c r="P141" i="18"/>
  <c r="P153" i="18"/>
  <c r="P207" i="18"/>
  <c r="N228" i="18"/>
  <c r="N230" i="18" s="1"/>
  <c r="P103" i="18"/>
  <c r="P106" i="18"/>
  <c r="N124" i="18"/>
  <c r="N126" i="18" s="1"/>
  <c r="P49" i="18"/>
  <c r="P184" i="18"/>
  <c r="P187" i="18"/>
  <c r="P172" i="18"/>
  <c r="P217" i="18"/>
  <c r="P83" i="18"/>
  <c r="P92" i="18"/>
  <c r="P116" i="18"/>
  <c r="N53" i="18"/>
  <c r="I28" i="18"/>
  <c r="P195" i="18"/>
  <c r="P22" i="18"/>
  <c r="P140" i="18"/>
  <c r="P163" i="18"/>
  <c r="P10" i="18"/>
  <c r="P99" i="18"/>
  <c r="P91" i="18"/>
  <c r="P145" i="18"/>
  <c r="P223" i="18"/>
  <c r="P38" i="18"/>
  <c r="P131" i="18"/>
  <c r="P17" i="18"/>
  <c r="P47" i="18"/>
  <c r="P74" i="18"/>
  <c r="P34" i="18"/>
  <c r="P69" i="18"/>
  <c r="P82" i="18"/>
  <c r="P85" i="18"/>
  <c r="P101" i="18"/>
  <c r="P144" i="18"/>
  <c r="P9" i="18"/>
  <c r="P88" i="18"/>
  <c r="P169" i="18"/>
  <c r="P175" i="18"/>
  <c r="P219" i="18"/>
  <c r="P227" i="18"/>
  <c r="P6" i="18"/>
  <c r="P62" i="18"/>
  <c r="P121" i="18"/>
  <c r="N26" i="18"/>
  <c r="I124" i="18"/>
  <c r="P158" i="18"/>
  <c r="P7" i="18"/>
  <c r="P192" i="18"/>
  <c r="N27" i="18"/>
  <c r="P21" i="18"/>
  <c r="P162" i="18"/>
  <c r="P199" i="18"/>
  <c r="P201" i="18"/>
  <c r="P182" i="18"/>
  <c r="J174" i="18"/>
  <c r="L174" i="18"/>
  <c r="AE174" i="18" s="1"/>
  <c r="N174" i="18"/>
  <c r="I174" i="18"/>
  <c r="P177" i="18"/>
  <c r="I53" i="18"/>
  <c r="J53" i="18"/>
  <c r="P122" i="18"/>
  <c r="AE126" i="18"/>
  <c r="AC126" i="18" s="1"/>
  <c r="P54" i="18"/>
  <c r="I27" i="18"/>
  <c r="P42" i="18"/>
  <c r="P73" i="18"/>
  <c r="N29" i="18"/>
  <c r="P93" i="18"/>
  <c r="P133" i="18"/>
  <c r="P168" i="18"/>
  <c r="P173" i="18"/>
  <c r="P216" i="18"/>
  <c r="P37" i="18"/>
  <c r="P19" i="18"/>
  <c r="P118" i="18"/>
  <c r="P204" i="18"/>
  <c r="P146" i="18"/>
  <c r="P224" i="18"/>
  <c r="P66" i="18"/>
  <c r="P98" i="18"/>
  <c r="P134" i="18"/>
  <c r="P24" i="18"/>
  <c r="P35" i="18"/>
  <c r="P45" i="18"/>
  <c r="P61" i="18"/>
  <c r="P76" i="18"/>
  <c r="P81" i="18"/>
  <c r="P86" i="18"/>
  <c r="P139" i="18"/>
  <c r="P154" i="18"/>
  <c r="P166" i="18"/>
  <c r="N176" i="18"/>
  <c r="N178" i="18" s="1"/>
  <c r="P212" i="18"/>
  <c r="P40" i="18"/>
  <c r="P96" i="18"/>
  <c r="P111" i="18"/>
  <c r="P156" i="18"/>
  <c r="P159" i="18"/>
  <c r="P164" i="18"/>
  <c r="P125" i="18"/>
  <c r="P132" i="18"/>
  <c r="P142" i="18"/>
  <c r="P123" i="18"/>
  <c r="P51" i="18"/>
  <c r="P89" i="18"/>
  <c r="P94" i="18"/>
  <c r="P104" i="18"/>
  <c r="P109" i="18"/>
  <c r="P157" i="18"/>
  <c r="P190" i="18"/>
  <c r="P205" i="18"/>
  <c r="P215" i="18"/>
  <c r="P220" i="18"/>
  <c r="P43" i="18"/>
  <c r="P114" i="18"/>
  <c r="P203" i="18"/>
  <c r="P208" i="18"/>
  <c r="N28" i="18"/>
  <c r="P77" i="18"/>
  <c r="P107" i="18"/>
  <c r="P135" i="18"/>
  <c r="P137" i="18"/>
  <c r="P210" i="18"/>
  <c r="P65" i="18"/>
  <c r="P79" i="18"/>
  <c r="P23" i="18"/>
  <c r="P44" i="18"/>
  <c r="P70" i="18"/>
  <c r="P75" i="18"/>
  <c r="P97" i="18"/>
  <c r="P150" i="18"/>
  <c r="P155" i="18"/>
  <c r="P213" i="18"/>
  <c r="P25" i="18"/>
  <c r="P60" i="18"/>
  <c r="P90" i="18"/>
  <c r="P95" i="18"/>
  <c r="P112" i="18"/>
  <c r="P165" i="18"/>
  <c r="P170" i="18"/>
  <c r="P185" i="18"/>
  <c r="P221" i="18"/>
  <c r="P16" i="18"/>
  <c r="P56" i="18"/>
  <c r="P63" i="18"/>
  <c r="P68" i="18"/>
  <c r="P120" i="18"/>
  <c r="P148" i="18"/>
  <c r="P102" i="18"/>
  <c r="P105" i="18"/>
  <c r="P110" i="18"/>
  <c r="P191" i="18"/>
  <c r="P80" i="18"/>
  <c r="P78" i="18"/>
  <c r="P115" i="18"/>
  <c r="P136" i="18"/>
  <c r="P138" i="18"/>
  <c r="P183" i="18"/>
  <c r="P186" i="18"/>
  <c r="P209" i="18"/>
  <c r="P8" i="18"/>
  <c r="P52" i="18"/>
  <c r="P100" i="18"/>
  <c r="P108" i="18"/>
  <c r="P189" i="18"/>
  <c r="P71" i="18"/>
  <c r="P151" i="18"/>
  <c r="P181" i="18"/>
  <c r="L230" i="18"/>
  <c r="AD230" i="18"/>
  <c r="P202" i="18"/>
  <c r="AE230" i="18"/>
  <c r="AC230" i="18" s="1"/>
  <c r="P229" i="18"/>
  <c r="P171" i="18"/>
  <c r="P194" i="18"/>
  <c r="P214" i="18"/>
  <c r="P222" i="18"/>
  <c r="P113" i="18"/>
  <c r="P200" i="18"/>
  <c r="P20" i="18"/>
  <c r="AD57" i="18"/>
  <c r="L57" i="18"/>
  <c r="P67" i="18"/>
  <c r="P119" i="18"/>
  <c r="P130" i="18"/>
  <c r="P149" i="18"/>
  <c r="P15" i="18"/>
  <c r="P48" i="18"/>
  <c r="P87" i="18"/>
  <c r="P41" i="18"/>
  <c r="P147" i="18"/>
  <c r="P188" i="18"/>
  <c r="P225" i="18"/>
  <c r="P46" i="18"/>
  <c r="AE57" i="18"/>
  <c r="AC57" i="18" s="1"/>
  <c r="P160" i="18"/>
  <c r="P167" i="18"/>
  <c r="P193" i="18"/>
  <c r="AA6" i="19"/>
  <c r="I6" i="19"/>
  <c r="O6" i="19" s="1"/>
  <c r="P143" i="18"/>
  <c r="P196" i="18"/>
  <c r="P206" i="18"/>
  <c r="P211" i="18"/>
  <c r="P226" i="18"/>
  <c r="L28" i="18"/>
  <c r="AE28" i="18" s="1"/>
  <c r="L126" i="18"/>
  <c r="P129" i="18"/>
  <c r="I176" i="18"/>
  <c r="P5" i="18"/>
  <c r="L27" i="18"/>
  <c r="AE27" i="18" s="1"/>
  <c r="AD126" i="18"/>
  <c r="L176" i="18"/>
  <c r="AE176" i="18" s="1"/>
  <c r="P33" i="18"/>
  <c r="I26" i="18"/>
  <c r="I29" i="18"/>
  <c r="L26" i="18"/>
  <c r="AE26" i="18" s="1"/>
  <c r="L29" i="18"/>
  <c r="AE29" i="18" s="1"/>
  <c r="P64" i="18"/>
  <c r="P323" i="18" l="1"/>
  <c r="I327" i="18"/>
  <c r="AE323" i="18"/>
  <c r="AE327" i="18" s="1"/>
  <c r="AC327" i="18" s="1"/>
  <c r="AD327" i="18"/>
  <c r="L327" i="18"/>
  <c r="K14" i="17" s="1"/>
  <c r="L14" i="17" s="1"/>
  <c r="K60" i="10" s="1"/>
  <c r="N307" i="18"/>
  <c r="AE303" i="18"/>
  <c r="AE307" i="18" s="1"/>
  <c r="AC307" i="18" s="1"/>
  <c r="AD307" i="18"/>
  <c r="L307" i="18"/>
  <c r="P303" i="18"/>
  <c r="P306" i="18"/>
  <c r="P285" i="18"/>
  <c r="N286" i="18"/>
  <c r="P282" i="18"/>
  <c r="AE282" i="18"/>
  <c r="AE286" i="18" s="1"/>
  <c r="AC286" i="18" s="1"/>
  <c r="AD286" i="18"/>
  <c r="L286" i="18"/>
  <c r="AD251" i="18"/>
  <c r="P247" i="18"/>
  <c r="AE264" i="18"/>
  <c r="AE268" i="18" s="1"/>
  <c r="AC268" i="18" s="1"/>
  <c r="AD268" i="18"/>
  <c r="L268" i="18"/>
  <c r="P264" i="18"/>
  <c r="L251" i="18"/>
  <c r="P124" i="18"/>
  <c r="P228" i="18"/>
  <c r="P55" i="18"/>
  <c r="N57" i="18"/>
  <c r="AE178" i="18"/>
  <c r="AC178" i="18" s="1"/>
  <c r="P53" i="18"/>
  <c r="L178" i="18"/>
  <c r="AD178" i="18"/>
  <c r="P174" i="18"/>
  <c r="P176" i="18"/>
  <c r="N30" i="18"/>
  <c r="AD30" i="18"/>
  <c r="K6" i="17"/>
  <c r="P26" i="18"/>
  <c r="G6" i="19"/>
  <c r="G11" i="18" s="1"/>
  <c r="L30" i="18"/>
  <c r="P29" i="18"/>
  <c r="K7" i="17"/>
  <c r="K9" i="17"/>
  <c r="AE30" i="18"/>
  <c r="AC30" i="18" s="1"/>
  <c r="P28" i="18"/>
  <c r="P27" i="18"/>
  <c r="H14" i="17" l="1"/>
  <c r="I14" i="17" s="1"/>
  <c r="P327" i="18"/>
  <c r="K13" i="17"/>
  <c r="L13" i="17" s="1"/>
  <c r="K62" i="10" s="1"/>
  <c r="K12" i="17"/>
  <c r="L12" i="17" s="1"/>
  <c r="K65" i="10" s="1"/>
  <c r="K11" i="17"/>
  <c r="L11" i="17" s="1"/>
  <c r="K64" i="10" s="1"/>
  <c r="K10" i="17"/>
  <c r="L10" i="17" s="1"/>
  <c r="K63" i="10" s="1"/>
  <c r="I251" i="18"/>
  <c r="K8" i="17"/>
  <c r="L8" i="17" s="1"/>
  <c r="L9" i="17"/>
  <c r="K78" i="10"/>
  <c r="L7" i="17"/>
  <c r="K79" i="10"/>
  <c r="L6" i="17"/>
  <c r="K61" i="10"/>
  <c r="I126" i="18"/>
  <c r="K5" i="17"/>
  <c r="N11" i="18"/>
  <c r="N12" i="18" s="1"/>
  <c r="M4" i="17" s="1"/>
  <c r="L11" i="18"/>
  <c r="I11" i="18"/>
  <c r="I57" i="18"/>
  <c r="I230" i="18"/>
  <c r="I178" i="18"/>
  <c r="H60" i="10" l="1"/>
  <c r="P14" i="17"/>
  <c r="I307" i="18"/>
  <c r="K56" i="10"/>
  <c r="I268" i="18"/>
  <c r="I286" i="18"/>
  <c r="P251" i="18"/>
  <c r="H10" i="17"/>
  <c r="I10" i="17" s="1"/>
  <c r="L5" i="17"/>
  <c r="K66" i="10"/>
  <c r="N4" i="17"/>
  <c r="M55" i="10"/>
  <c r="P178" i="18"/>
  <c r="H8" i="17"/>
  <c r="H9" i="17"/>
  <c r="P230" i="18"/>
  <c r="P57" i="18"/>
  <c r="H6" i="17"/>
  <c r="P11" i="18"/>
  <c r="AE11" i="18"/>
  <c r="AE12" i="18" s="1"/>
  <c r="AC12" i="18" s="1"/>
  <c r="AD12" i="18"/>
  <c r="L12" i="18"/>
  <c r="K4" i="17" s="1"/>
  <c r="I30" i="18"/>
  <c r="H7" i="17"/>
  <c r="P126" i="18"/>
  <c r="P10" i="17" l="1"/>
  <c r="H63" i="10"/>
  <c r="P307" i="18"/>
  <c r="H13" i="17"/>
  <c r="I13" i="17" s="1"/>
  <c r="P286" i="18"/>
  <c r="H12" i="17"/>
  <c r="I12" i="17" s="1"/>
  <c r="P268" i="18"/>
  <c r="H11" i="17"/>
  <c r="I11" i="17" s="1"/>
  <c r="I6" i="17"/>
  <c r="P6" i="17" s="1"/>
  <c r="H61" i="10"/>
  <c r="I8" i="17"/>
  <c r="P8" i="17" s="1"/>
  <c r="H56" i="10"/>
  <c r="I9" i="17"/>
  <c r="P9" i="17" s="1"/>
  <c r="H78" i="10"/>
  <c r="I7" i="17"/>
  <c r="P7" i="17" s="1"/>
  <c r="H79" i="10"/>
  <c r="L4" i="17"/>
  <c r="K55" i="10"/>
  <c r="H5" i="17"/>
  <c r="P30" i="18"/>
  <c r="P13" i="17" l="1"/>
  <c r="H62" i="10"/>
  <c r="P12" i="17"/>
  <c r="H65" i="10"/>
  <c r="P11" i="17"/>
  <c r="H64" i="10"/>
  <c r="I5" i="17"/>
  <c r="P5" i="17" s="1"/>
  <c r="H66" i="10"/>
  <c r="I12" i="18"/>
  <c r="P12" i="18" l="1"/>
  <c r="H4" i="17"/>
  <c r="I4" i="17" l="1"/>
  <c r="P4" i="17" s="1"/>
  <c r="H55" i="10"/>
  <c r="I6" i="11"/>
  <c r="L6" i="11"/>
  <c r="N6" i="11"/>
  <c r="I7" i="11"/>
  <c r="L7" i="11"/>
  <c r="N7" i="11"/>
  <c r="P7" i="11"/>
  <c r="I8" i="11"/>
  <c r="L8" i="11"/>
  <c r="N8" i="11"/>
  <c r="I9" i="11"/>
  <c r="L9" i="11"/>
  <c r="N9" i="11"/>
  <c r="P9" i="11"/>
  <c r="I10" i="11"/>
  <c r="L10" i="11"/>
  <c r="N10" i="11"/>
  <c r="I11" i="11"/>
  <c r="L11" i="11"/>
  <c r="P11" i="11" s="1"/>
  <c r="N11" i="11"/>
  <c r="I12" i="11"/>
  <c r="P12" i="11" s="1"/>
  <c r="L12" i="11"/>
  <c r="N12" i="11"/>
  <c r="I13" i="11"/>
  <c r="L13" i="11"/>
  <c r="N13" i="11"/>
  <c r="P13" i="11"/>
  <c r="I14" i="11"/>
  <c r="L14" i="11"/>
  <c r="N14" i="11"/>
  <c r="I15" i="11"/>
  <c r="P15" i="11" s="1"/>
  <c r="L15" i="11"/>
  <c r="N15" i="11"/>
  <c r="I16" i="11"/>
  <c r="L16" i="11"/>
  <c r="N16" i="11"/>
  <c r="P16" i="11"/>
  <c r="I17" i="11"/>
  <c r="L17" i="11"/>
  <c r="N17" i="11"/>
  <c r="I18" i="11"/>
  <c r="L18" i="11"/>
  <c r="N18" i="11"/>
  <c r="I19" i="11"/>
  <c r="L19" i="11"/>
  <c r="N19" i="11"/>
  <c r="P19" i="11"/>
  <c r="I20" i="11"/>
  <c r="L20" i="11"/>
  <c r="N20" i="11"/>
  <c r="P20" i="11" s="1"/>
  <c r="I21" i="11"/>
  <c r="L21" i="11"/>
  <c r="N21" i="11"/>
  <c r="I22" i="11"/>
  <c r="P22" i="11" s="1"/>
  <c r="L22" i="11"/>
  <c r="N22" i="11"/>
  <c r="I23" i="11"/>
  <c r="L23" i="11"/>
  <c r="N23" i="11"/>
  <c r="P23" i="11"/>
  <c r="I24" i="11"/>
  <c r="L24" i="11"/>
  <c r="N24" i="11"/>
  <c r="P24" i="11"/>
  <c r="I25" i="11"/>
  <c r="L25" i="11"/>
  <c r="N25" i="11"/>
  <c r="I26" i="11"/>
  <c r="L26" i="11"/>
  <c r="N26" i="11"/>
  <c r="I27" i="11"/>
  <c r="L27" i="11"/>
  <c r="N27" i="11"/>
  <c r="P27" i="11"/>
  <c r="I28" i="11"/>
  <c r="L28" i="11"/>
  <c r="N28" i="11"/>
  <c r="P28" i="11"/>
  <c r="I83" i="8"/>
  <c r="G83" i="8"/>
  <c r="I82" i="8"/>
  <c r="G82" i="8"/>
  <c r="I81" i="8"/>
  <c r="G81" i="8"/>
  <c r="I80" i="8"/>
  <c r="G80" i="8"/>
  <c r="I79" i="8"/>
  <c r="G79" i="8"/>
  <c r="I78" i="8"/>
  <c r="G78" i="8"/>
  <c r="I77" i="8"/>
  <c r="G77" i="8"/>
  <c r="I76" i="8"/>
  <c r="G76" i="8"/>
  <c r="I75" i="8"/>
  <c r="G75" i="8"/>
  <c r="H75" i="8" s="1"/>
  <c r="I74" i="8"/>
  <c r="G74" i="8"/>
  <c r="I73" i="8"/>
  <c r="G73" i="8"/>
  <c r="I72" i="8"/>
  <c r="G72" i="8"/>
  <c r="I71" i="8"/>
  <c r="G71" i="8"/>
  <c r="I70" i="8"/>
  <c r="G70" i="8"/>
  <c r="I69" i="8"/>
  <c r="G69" i="8"/>
  <c r="I68" i="8"/>
  <c r="G68" i="8"/>
  <c r="I67" i="8"/>
  <c r="G67" i="8"/>
  <c r="I66" i="8"/>
  <c r="G66" i="8"/>
  <c r="I65" i="8"/>
  <c r="G65" i="8"/>
  <c r="I64" i="8"/>
  <c r="G64" i="8"/>
  <c r="I63" i="8"/>
  <c r="G63" i="8"/>
  <c r="I62" i="8"/>
  <c r="G62" i="8"/>
  <c r="I61" i="8"/>
  <c r="G61" i="8"/>
  <c r="H61" i="8" s="1"/>
  <c r="I60" i="8"/>
  <c r="G60" i="8"/>
  <c r="I59" i="8"/>
  <c r="G59" i="8"/>
  <c r="I58" i="8"/>
  <c r="G58" i="8"/>
  <c r="I57" i="8"/>
  <c r="G57" i="8"/>
  <c r="I56" i="8"/>
  <c r="G56" i="8"/>
  <c r="I55" i="8"/>
  <c r="G55" i="8"/>
  <c r="I54" i="8"/>
  <c r="G54" i="8"/>
  <c r="I53" i="8"/>
  <c r="G53" i="8"/>
  <c r="I52" i="8"/>
  <c r="G52" i="8"/>
  <c r="I51" i="8"/>
  <c r="G51" i="8"/>
  <c r="H51" i="8" s="1"/>
  <c r="I50" i="8"/>
  <c r="G50" i="8"/>
  <c r="I49" i="8"/>
  <c r="G49" i="8"/>
  <c r="I48" i="8"/>
  <c r="G48" i="8"/>
  <c r="I47" i="8"/>
  <c r="G47" i="8"/>
  <c r="I46" i="8"/>
  <c r="G46" i="8"/>
  <c r="I45" i="8"/>
  <c r="G45" i="8"/>
  <c r="I44" i="8"/>
  <c r="O44" i="8" s="1"/>
  <c r="AA44" i="8" s="1"/>
  <c r="G44" i="8"/>
  <c r="I43" i="8"/>
  <c r="G43" i="8"/>
  <c r="H43" i="8" s="1"/>
  <c r="I42" i="8"/>
  <c r="G42" i="8"/>
  <c r="I41" i="8"/>
  <c r="G41" i="8"/>
  <c r="I40" i="8"/>
  <c r="G40" i="8"/>
  <c r="I39" i="8"/>
  <c r="G39" i="8"/>
  <c r="I38" i="8"/>
  <c r="H38" i="8" s="1"/>
  <c r="G38" i="8"/>
  <c r="I37" i="8"/>
  <c r="G37" i="8"/>
  <c r="H37" i="8" s="1"/>
  <c r="I36" i="8"/>
  <c r="G36" i="8"/>
  <c r="I35" i="8"/>
  <c r="G35" i="8"/>
  <c r="H35" i="8" s="1"/>
  <c r="I34" i="8"/>
  <c r="G34" i="8"/>
  <c r="I33" i="8"/>
  <c r="G33" i="8"/>
  <c r="I32" i="8"/>
  <c r="G32" i="8"/>
  <c r="I31" i="8"/>
  <c r="G31" i="8"/>
  <c r="I30" i="8"/>
  <c r="G30" i="8"/>
  <c r="I29" i="8"/>
  <c r="O29" i="8" s="1"/>
  <c r="AA29" i="8" s="1"/>
  <c r="G29" i="8"/>
  <c r="I28" i="8"/>
  <c r="G28" i="8"/>
  <c r="I27" i="8"/>
  <c r="G27" i="8"/>
  <c r="I26" i="8"/>
  <c r="G26" i="8"/>
  <c r="I25" i="8"/>
  <c r="G25" i="8"/>
  <c r="I24" i="8"/>
  <c r="G24" i="8"/>
  <c r="I23" i="8"/>
  <c r="G23" i="8"/>
  <c r="I22" i="8"/>
  <c r="G22" i="8"/>
  <c r="I21" i="8"/>
  <c r="G21" i="8"/>
  <c r="I20" i="8"/>
  <c r="H20" i="8" s="1"/>
  <c r="G20" i="8"/>
  <c r="I19" i="8"/>
  <c r="G19" i="8"/>
  <c r="H19" i="8" s="1"/>
  <c r="I18" i="8"/>
  <c r="G18" i="8"/>
  <c r="I17" i="8"/>
  <c r="G17" i="8"/>
  <c r="I16" i="8"/>
  <c r="G16" i="8"/>
  <c r="I15" i="8"/>
  <c r="G15" i="8"/>
  <c r="I14" i="8"/>
  <c r="G14" i="8"/>
  <c r="I13" i="8"/>
  <c r="G13" i="8"/>
  <c r="H13" i="8" s="1"/>
  <c r="I12" i="8"/>
  <c r="O12" i="8" s="1"/>
  <c r="AA12" i="8" s="1"/>
  <c r="G12" i="8"/>
  <c r="H12" i="8" s="1"/>
  <c r="I11" i="8"/>
  <c r="G11" i="8"/>
  <c r="H11" i="8" s="1"/>
  <c r="I10" i="8"/>
  <c r="H10" i="8" s="1"/>
  <c r="G10" i="8"/>
  <c r="I9" i="8"/>
  <c r="G9" i="8"/>
  <c r="I8" i="8"/>
  <c r="G8" i="8"/>
  <c r="I7" i="8"/>
  <c r="G7" i="8"/>
  <c r="I6" i="8"/>
  <c r="G6" i="8"/>
  <c r="I5" i="8"/>
  <c r="G5" i="8"/>
  <c r="K5" i="10"/>
  <c r="L5" i="10" s="1"/>
  <c r="M5" i="10"/>
  <c r="N5" i="10" s="1"/>
  <c r="K6" i="10"/>
  <c r="L6" i="10" s="1"/>
  <c r="M6" i="10"/>
  <c r="N6" i="10" s="1"/>
  <c r="K7" i="10"/>
  <c r="L7" i="10" s="1"/>
  <c r="M7" i="10"/>
  <c r="N7" i="10" s="1"/>
  <c r="L8" i="10"/>
  <c r="N8" i="10"/>
  <c r="L9" i="10"/>
  <c r="N9" i="10"/>
  <c r="K10" i="10"/>
  <c r="L10" i="10" s="1"/>
  <c r="M10" i="10"/>
  <c r="N10" i="10" s="1"/>
  <c r="K11" i="10"/>
  <c r="L11" i="10" s="1"/>
  <c r="M11" i="10"/>
  <c r="N11" i="10" s="1"/>
  <c r="K12" i="10"/>
  <c r="L12" i="10" s="1"/>
  <c r="M12" i="10"/>
  <c r="N12" i="10" s="1"/>
  <c r="K13" i="10"/>
  <c r="L13" i="10" s="1"/>
  <c r="M13" i="10"/>
  <c r="N13" i="10" s="1"/>
  <c r="K14" i="10"/>
  <c r="L14" i="10" s="1"/>
  <c r="M14" i="10"/>
  <c r="N14" i="10" s="1"/>
  <c r="K15" i="10"/>
  <c r="L15" i="10" s="1"/>
  <c r="M15" i="10"/>
  <c r="N15" i="10" s="1"/>
  <c r="K16" i="10"/>
  <c r="L16" i="10" s="1"/>
  <c r="M16" i="10"/>
  <c r="N16" i="10" s="1"/>
  <c r="K17" i="10"/>
  <c r="L17" i="10" s="1"/>
  <c r="M17" i="10"/>
  <c r="N17" i="10" s="1"/>
  <c r="K18" i="10"/>
  <c r="L18" i="10"/>
  <c r="M18" i="10"/>
  <c r="N18" i="10" s="1"/>
  <c r="K19" i="10"/>
  <c r="L19" i="10" s="1"/>
  <c r="M19" i="10"/>
  <c r="N19" i="10" s="1"/>
  <c r="K20" i="10"/>
  <c r="L20" i="10" s="1"/>
  <c r="M20" i="10"/>
  <c r="N20" i="10" s="1"/>
  <c r="K21" i="10"/>
  <c r="L21" i="10" s="1"/>
  <c r="M21" i="10"/>
  <c r="N21" i="10" s="1"/>
  <c r="K22" i="10"/>
  <c r="L22" i="10" s="1"/>
  <c r="M22" i="10"/>
  <c r="N22" i="10" s="1"/>
  <c r="K23" i="10"/>
  <c r="L23" i="10" s="1"/>
  <c r="M23" i="10"/>
  <c r="N23" i="10" s="1"/>
  <c r="K24" i="10"/>
  <c r="L24" i="10" s="1"/>
  <c r="M24" i="10"/>
  <c r="N24" i="10" s="1"/>
  <c r="K25" i="10"/>
  <c r="L25" i="10" s="1"/>
  <c r="M25" i="10"/>
  <c r="N25" i="10" s="1"/>
  <c r="K26" i="10"/>
  <c r="L26" i="10"/>
  <c r="M26" i="10"/>
  <c r="N26" i="10" s="1"/>
  <c r="K27" i="10"/>
  <c r="L27" i="10" s="1"/>
  <c r="M27" i="10"/>
  <c r="N27" i="10" s="1"/>
  <c r="K28" i="10"/>
  <c r="L28" i="10" s="1"/>
  <c r="M28" i="10"/>
  <c r="N28" i="10" s="1"/>
  <c r="K29" i="10"/>
  <c r="L29" i="10" s="1"/>
  <c r="M29" i="10"/>
  <c r="N29" i="10" s="1"/>
  <c r="K30" i="10"/>
  <c r="L30" i="10" s="1"/>
  <c r="M30" i="10"/>
  <c r="N30" i="10" s="1"/>
  <c r="K31" i="10"/>
  <c r="L31" i="10" s="1"/>
  <c r="M31" i="10"/>
  <c r="N31" i="10" s="1"/>
  <c r="K32" i="10"/>
  <c r="L32" i="10" s="1"/>
  <c r="M32" i="10"/>
  <c r="N32" i="10" s="1"/>
  <c r="K33" i="10"/>
  <c r="L33" i="10" s="1"/>
  <c r="M33" i="10"/>
  <c r="N33" i="10" s="1"/>
  <c r="K34" i="10"/>
  <c r="L34" i="10" s="1"/>
  <c r="M34" i="10"/>
  <c r="N34" i="10" s="1"/>
  <c r="K35" i="10"/>
  <c r="L35" i="10" s="1"/>
  <c r="M35" i="10"/>
  <c r="N35" i="10" s="1"/>
  <c r="K36" i="10"/>
  <c r="L36" i="10" s="1"/>
  <c r="M36" i="10"/>
  <c r="N36" i="10" s="1"/>
  <c r="K37" i="10"/>
  <c r="L37" i="10" s="1"/>
  <c r="M37" i="10"/>
  <c r="N37" i="10" s="1"/>
  <c r="K38" i="10"/>
  <c r="L38" i="10" s="1"/>
  <c r="M38" i="10"/>
  <c r="N38" i="10" s="1"/>
  <c r="K39" i="10"/>
  <c r="L39" i="10" s="1"/>
  <c r="M39" i="10"/>
  <c r="N39" i="10" s="1"/>
  <c r="K40" i="10"/>
  <c r="L40" i="10" s="1"/>
  <c r="M40" i="10"/>
  <c r="N40" i="10" s="1"/>
  <c r="K41" i="10"/>
  <c r="L41" i="10" s="1"/>
  <c r="M41" i="10"/>
  <c r="N41" i="10" s="1"/>
  <c r="K42" i="10"/>
  <c r="L42" i="10" s="1"/>
  <c r="M42" i="10"/>
  <c r="N42" i="10" s="1"/>
  <c r="K43" i="10"/>
  <c r="L43" i="10" s="1"/>
  <c r="M43" i="10"/>
  <c r="N43" i="10" s="1"/>
  <c r="K44" i="10"/>
  <c r="L44" i="10" s="1"/>
  <c r="M44" i="10"/>
  <c r="N44" i="10" s="1"/>
  <c r="K45" i="10"/>
  <c r="L45" i="10"/>
  <c r="M45" i="10"/>
  <c r="N45" i="10" s="1"/>
  <c r="K46" i="10"/>
  <c r="L46" i="10" s="1"/>
  <c r="M46" i="10"/>
  <c r="N46" i="10" s="1"/>
  <c r="K47" i="10"/>
  <c r="L47" i="10" s="1"/>
  <c r="M47" i="10"/>
  <c r="N47" i="10" s="1"/>
  <c r="K48" i="10"/>
  <c r="L48" i="10" s="1"/>
  <c r="M48" i="10"/>
  <c r="N48" i="10" s="1"/>
  <c r="K49" i="10"/>
  <c r="L49" i="10" s="1"/>
  <c r="M49" i="10"/>
  <c r="N49" i="10" s="1"/>
  <c r="K50" i="10"/>
  <c r="L50" i="10" s="1"/>
  <c r="M50" i="10"/>
  <c r="N50" i="10" s="1"/>
  <c r="K51" i="10"/>
  <c r="L51" i="10" s="1"/>
  <c r="M51" i="10"/>
  <c r="N51" i="10" s="1"/>
  <c r="K52" i="10"/>
  <c r="L52" i="10" s="1"/>
  <c r="M52" i="10"/>
  <c r="N52" i="10" s="1"/>
  <c r="K53" i="10"/>
  <c r="L53" i="10" s="1"/>
  <c r="M53" i="10"/>
  <c r="N53" i="10" s="1"/>
  <c r="K54" i="10"/>
  <c r="L54" i="10" s="1"/>
  <c r="M54" i="10"/>
  <c r="N54" i="10" s="1"/>
  <c r="L56" i="10"/>
  <c r="M56" i="10"/>
  <c r="N56" i="10" s="1"/>
  <c r="K57" i="10"/>
  <c r="L57" i="10" s="1"/>
  <c r="M57" i="10"/>
  <c r="N57" i="10" s="1"/>
  <c r="K58" i="10"/>
  <c r="L58" i="10" s="1"/>
  <c r="M58" i="10"/>
  <c r="N58" i="10" s="1"/>
  <c r="K59" i="10"/>
  <c r="L59" i="10" s="1"/>
  <c r="M59" i="10"/>
  <c r="N59" i="10" s="1"/>
  <c r="L60" i="10"/>
  <c r="M60" i="10"/>
  <c r="N60" i="10" s="1"/>
  <c r="L61" i="10"/>
  <c r="M61" i="10"/>
  <c r="N61" i="10" s="1"/>
  <c r="L62" i="10"/>
  <c r="M62" i="10"/>
  <c r="N62" i="10"/>
  <c r="L63" i="10"/>
  <c r="M63" i="10"/>
  <c r="N63" i="10" s="1"/>
  <c r="L64" i="10"/>
  <c r="M64" i="10"/>
  <c r="N64" i="10" s="1"/>
  <c r="L65" i="10"/>
  <c r="M65" i="10"/>
  <c r="N65" i="10" s="1"/>
  <c r="L66" i="10"/>
  <c r="M66" i="10"/>
  <c r="N66" i="10" s="1"/>
  <c r="K67" i="10"/>
  <c r="L67" i="10" s="1"/>
  <c r="M67" i="10"/>
  <c r="N67" i="10" s="1"/>
  <c r="K68" i="10"/>
  <c r="L68" i="10"/>
  <c r="M68" i="10"/>
  <c r="N68" i="10" s="1"/>
  <c r="K69" i="10"/>
  <c r="L69" i="10" s="1"/>
  <c r="M69" i="10"/>
  <c r="N69" i="10" s="1"/>
  <c r="K70" i="10"/>
  <c r="L70" i="10" s="1"/>
  <c r="M70" i="10"/>
  <c r="N70" i="10" s="1"/>
  <c r="K71" i="10"/>
  <c r="L71" i="10" s="1"/>
  <c r="M71" i="10"/>
  <c r="N71" i="10" s="1"/>
  <c r="K72" i="10"/>
  <c r="L72" i="10" s="1"/>
  <c r="M72" i="10"/>
  <c r="N72" i="10" s="1"/>
  <c r="K73" i="10"/>
  <c r="L73" i="10" s="1"/>
  <c r="M73" i="10"/>
  <c r="N73" i="10"/>
  <c r="K74" i="10"/>
  <c r="L74" i="10" s="1"/>
  <c r="M74" i="10"/>
  <c r="N74" i="10" s="1"/>
  <c r="K75" i="10"/>
  <c r="L75" i="10" s="1"/>
  <c r="M75" i="10"/>
  <c r="N75" i="10" s="1"/>
  <c r="K76" i="10"/>
  <c r="L76" i="10"/>
  <c r="M76" i="10"/>
  <c r="N76" i="10" s="1"/>
  <c r="K77" i="10"/>
  <c r="L77" i="10" s="1"/>
  <c r="M77" i="10"/>
  <c r="N77" i="10" s="1"/>
  <c r="L78" i="10"/>
  <c r="M78" i="10"/>
  <c r="N78" i="10" s="1"/>
  <c r="L79" i="10"/>
  <c r="M79" i="10"/>
  <c r="N79" i="10" s="1"/>
  <c r="K81" i="10"/>
  <c r="L81" i="10" s="1"/>
  <c r="M81" i="10"/>
  <c r="N81" i="10" s="1"/>
  <c r="K82" i="10"/>
  <c r="L82" i="10" s="1"/>
  <c r="M82" i="10"/>
  <c r="N82" i="10"/>
  <c r="K83" i="10"/>
  <c r="L83" i="10" s="1"/>
  <c r="M83" i="10"/>
  <c r="N83" i="10" s="1"/>
  <c r="K84" i="10"/>
  <c r="L84" i="10" s="1"/>
  <c r="M84" i="10"/>
  <c r="N84" i="10" s="1"/>
  <c r="K85" i="10"/>
  <c r="L85" i="10" s="1"/>
  <c r="M85" i="10"/>
  <c r="N85" i="10" s="1"/>
  <c r="K86" i="10"/>
  <c r="L86" i="10" s="1"/>
  <c r="M86" i="10"/>
  <c r="N86" i="10" s="1"/>
  <c r="K87" i="10"/>
  <c r="L87" i="10" s="1"/>
  <c r="M87" i="10"/>
  <c r="N87" i="10" s="1"/>
  <c r="K88" i="10"/>
  <c r="L88" i="10" s="1"/>
  <c r="M88" i="10"/>
  <c r="N88" i="10" s="1"/>
  <c r="K89" i="10"/>
  <c r="L89" i="10" s="1"/>
  <c r="M89" i="10"/>
  <c r="N89" i="10" s="1"/>
  <c r="K90" i="10"/>
  <c r="L90" i="10" s="1"/>
  <c r="M90" i="10"/>
  <c r="N90" i="10" s="1"/>
  <c r="K91" i="10"/>
  <c r="L91" i="10" s="1"/>
  <c r="M91" i="10"/>
  <c r="N91" i="10" s="1"/>
  <c r="K92" i="10"/>
  <c r="L92" i="10" s="1"/>
  <c r="M92" i="10"/>
  <c r="N92" i="10" s="1"/>
  <c r="K93" i="10"/>
  <c r="L93" i="10" s="1"/>
  <c r="M93" i="10"/>
  <c r="N93" i="10" s="1"/>
  <c r="K94" i="10"/>
  <c r="L94" i="10" s="1"/>
  <c r="M94" i="10"/>
  <c r="N94" i="10" s="1"/>
  <c r="K95" i="10"/>
  <c r="L95" i="10" s="1"/>
  <c r="M95" i="10"/>
  <c r="N95" i="10" s="1"/>
  <c r="K96" i="10"/>
  <c r="L96" i="10" s="1"/>
  <c r="M96" i="10"/>
  <c r="N96" i="10" s="1"/>
  <c r="K97" i="10"/>
  <c r="L97" i="10" s="1"/>
  <c r="M97" i="10"/>
  <c r="N97" i="10" s="1"/>
  <c r="K98" i="10"/>
  <c r="L98" i="10" s="1"/>
  <c r="M98" i="10"/>
  <c r="N98" i="10" s="1"/>
  <c r="K99" i="10"/>
  <c r="L99" i="10" s="1"/>
  <c r="M99" i="10"/>
  <c r="N99" i="10" s="1"/>
  <c r="K100" i="10"/>
  <c r="L100" i="10" s="1"/>
  <c r="M100" i="10"/>
  <c r="N100" i="10" s="1"/>
  <c r="K101" i="10"/>
  <c r="L101" i="10" s="1"/>
  <c r="M101" i="10"/>
  <c r="N101" i="10" s="1"/>
  <c r="L102" i="10"/>
  <c r="N102" i="10"/>
  <c r="H103" i="10"/>
  <c r="M103" i="10"/>
  <c r="H104" i="10"/>
  <c r="M104" i="10"/>
  <c r="H105" i="10"/>
  <c r="M105" i="10"/>
  <c r="H106" i="10"/>
  <c r="M106" i="10"/>
  <c r="L107" i="10"/>
  <c r="N107" i="10"/>
  <c r="J87" i="8"/>
  <c r="H87" i="8"/>
  <c r="J86" i="8"/>
  <c r="H86" i="8"/>
  <c r="J85" i="8"/>
  <c r="H85" i="8"/>
  <c r="J84" i="8"/>
  <c r="H84" i="8"/>
  <c r="O9" i="8"/>
  <c r="AA9" i="8" s="1"/>
  <c r="O11" i="8"/>
  <c r="O13" i="8"/>
  <c r="AA13" i="8" s="1"/>
  <c r="H14" i="8"/>
  <c r="O14" i="8"/>
  <c r="O17" i="8"/>
  <c r="AA17" i="8" s="1"/>
  <c r="O19" i="8"/>
  <c r="AA19" i="8" s="1"/>
  <c r="H21" i="8"/>
  <c r="O21" i="8"/>
  <c r="AA21" i="8" s="1"/>
  <c r="H22" i="8"/>
  <c r="O22" i="8"/>
  <c r="AA22" i="8" s="1"/>
  <c r="H27" i="8"/>
  <c r="O27" i="8"/>
  <c r="AA27" i="8" s="1"/>
  <c r="H28" i="8"/>
  <c r="O28" i="8"/>
  <c r="AA28" i="8" s="1"/>
  <c r="H29" i="8"/>
  <c r="O33" i="8"/>
  <c r="H34" i="8"/>
  <c r="O34" i="8"/>
  <c r="AA34" i="8" s="1"/>
  <c r="O35" i="8"/>
  <c r="AA35" i="8" s="1"/>
  <c r="O37" i="8"/>
  <c r="AA37" i="8" s="1"/>
  <c r="O38" i="8"/>
  <c r="AB38" i="8" s="1"/>
  <c r="O41" i="8"/>
  <c r="AA41" i="8" s="1"/>
  <c r="O43" i="8"/>
  <c r="AA43" i="8" s="1"/>
  <c r="H44" i="8"/>
  <c r="H45" i="8"/>
  <c r="O45" i="8"/>
  <c r="AA45" i="8" s="1"/>
  <c r="H46" i="8"/>
  <c r="O46" i="8"/>
  <c r="AA46" i="8" s="1"/>
  <c r="O49" i="8"/>
  <c r="AA49" i="8" s="1"/>
  <c r="O51" i="8"/>
  <c r="AA51" i="8" s="1"/>
  <c r="H52" i="8"/>
  <c r="O52" i="8"/>
  <c r="AA52" i="8" s="1"/>
  <c r="H53" i="8"/>
  <c r="O53" i="8"/>
  <c r="AA53" i="8" s="1"/>
  <c r="O57" i="8"/>
  <c r="AA57" i="8" s="1"/>
  <c r="H58" i="8"/>
  <c r="O58" i="8"/>
  <c r="AA58" i="8" s="1"/>
  <c r="O61" i="8"/>
  <c r="AA61" i="8" s="1"/>
  <c r="O65" i="8"/>
  <c r="AA65" i="8" s="1"/>
  <c r="O67" i="8"/>
  <c r="AA67" i="8" s="1"/>
  <c r="H68" i="8"/>
  <c r="O68" i="8"/>
  <c r="AA68" i="8" s="1"/>
  <c r="H69" i="8"/>
  <c r="O69" i="8"/>
  <c r="AA69" i="8" s="1"/>
  <c r="H70" i="8"/>
  <c r="O70" i="8"/>
  <c r="O73" i="8"/>
  <c r="AA73" i="8" s="1"/>
  <c r="H74" i="8"/>
  <c r="O74" i="8"/>
  <c r="AA74" i="8" s="1"/>
  <c r="O75" i="8"/>
  <c r="H76" i="8"/>
  <c r="O76" i="8"/>
  <c r="AA76" i="8" s="1"/>
  <c r="H77" i="8"/>
  <c r="O77" i="8"/>
  <c r="AB77" i="8" s="1"/>
  <c r="O81" i="8"/>
  <c r="AB81" i="8" s="1"/>
  <c r="H82" i="8"/>
  <c r="O82" i="8"/>
  <c r="AA82" i="8" s="1"/>
  <c r="O83" i="8"/>
  <c r="AA83" i="8" s="1"/>
  <c r="AA75" i="8"/>
  <c r="AA70" i="8"/>
  <c r="AA33" i="8"/>
  <c r="AA14" i="8"/>
  <c r="AA11" i="8"/>
  <c r="I103" i="6"/>
  <c r="I104" i="6"/>
  <c r="K104" i="10" s="1"/>
  <c r="I105" i="6"/>
  <c r="L105" i="6" s="1"/>
  <c r="I106" i="6"/>
  <c r="K106" i="10" s="1"/>
  <c r="L107" i="6"/>
  <c r="B25" i="5"/>
  <c r="B24" i="5"/>
  <c r="B23" i="5"/>
  <c r="B22" i="5"/>
  <c r="B21" i="5"/>
  <c r="P14" i="11" l="1"/>
  <c r="P17" i="11"/>
  <c r="P10" i="11"/>
  <c r="P6" i="11"/>
  <c r="P26" i="11"/>
  <c r="P18" i="11"/>
  <c r="H5" i="8"/>
  <c r="H59" i="8"/>
  <c r="H62" i="8"/>
  <c r="H36" i="8"/>
  <c r="H54" i="8"/>
  <c r="H78" i="8"/>
  <c r="O62" i="8"/>
  <c r="AA62" i="8" s="1"/>
  <c r="H67" i="8"/>
  <c r="H6" i="8"/>
  <c r="H30" i="8"/>
  <c r="H60" i="8"/>
  <c r="O59" i="8"/>
  <c r="AA59" i="8" s="1"/>
  <c r="O20" i="8"/>
  <c r="AA20" i="8" s="1"/>
  <c r="O5" i="8"/>
  <c r="AA5" i="8" s="1"/>
  <c r="O54" i="8"/>
  <c r="AA54" i="8" s="1"/>
  <c r="O30" i="8"/>
  <c r="AA30" i="8" s="1"/>
  <c r="O6" i="8"/>
  <c r="AA6" i="8" s="1"/>
  <c r="O60" i="8"/>
  <c r="AA60" i="8" s="1"/>
  <c r="O78" i="8"/>
  <c r="AA78" i="8" s="1"/>
  <c r="O36" i="8"/>
  <c r="AA36" i="8" s="1"/>
  <c r="H83" i="8"/>
  <c r="L106" i="6"/>
  <c r="L104" i="6"/>
  <c r="I60" i="10"/>
  <c r="P60" i="10" s="1"/>
  <c r="I65" i="10"/>
  <c r="P65" i="10" s="1"/>
  <c r="H31" i="8"/>
  <c r="O31" i="8"/>
  <c r="AA31" i="8" s="1"/>
  <c r="H71" i="8"/>
  <c r="O71" i="8"/>
  <c r="AA71" i="8" s="1"/>
  <c r="O10" i="8"/>
  <c r="AA10" i="8" s="1"/>
  <c r="H39" i="8"/>
  <c r="O39" i="8"/>
  <c r="AB39" i="8" s="1"/>
  <c r="P25" i="11"/>
  <c r="H47" i="8"/>
  <c r="O47" i="8"/>
  <c r="AA47" i="8" s="1"/>
  <c r="H15" i="8"/>
  <c r="O15" i="8"/>
  <c r="AA15" i="8" s="1"/>
  <c r="H63" i="8"/>
  <c r="O63" i="8"/>
  <c r="AA63" i="8" s="1"/>
  <c r="P21" i="11"/>
  <c r="K103" i="10"/>
  <c r="L103" i="6"/>
  <c r="H7" i="8"/>
  <c r="O7" i="8"/>
  <c r="AC7" i="8" s="1"/>
  <c r="H23" i="8"/>
  <c r="O23" i="8"/>
  <c r="AB23" i="8" s="1"/>
  <c r="H55" i="8"/>
  <c r="O55" i="8"/>
  <c r="AA55" i="8" s="1"/>
  <c r="H79" i="8"/>
  <c r="O79" i="8"/>
  <c r="AB79" i="8" s="1"/>
  <c r="P8" i="11"/>
  <c r="K105" i="10"/>
  <c r="I63" i="10"/>
  <c r="P63" i="10" s="1"/>
  <c r="H18" i="8"/>
  <c r="O18" i="8"/>
  <c r="AA18" i="8" s="1"/>
  <c r="H26" i="8"/>
  <c r="O26" i="8"/>
  <c r="AB26" i="8" s="1"/>
  <c r="H42" i="8"/>
  <c r="O42" i="8"/>
  <c r="AA42" i="8" s="1"/>
  <c r="H50" i="8"/>
  <c r="O66" i="8"/>
  <c r="AA66" i="8" s="1"/>
  <c r="H66" i="8"/>
  <c r="O50" i="8"/>
  <c r="AA50" i="8" s="1"/>
  <c r="H8" i="8"/>
  <c r="O8" i="8"/>
  <c r="AD8" i="8" s="1"/>
  <c r="H16" i="8"/>
  <c r="O16" i="8"/>
  <c r="AA16" i="8" s="1"/>
  <c r="H24" i="8"/>
  <c r="O24" i="8"/>
  <c r="AB24" i="8" s="1"/>
  <c r="H32" i="8"/>
  <c r="O32" i="8"/>
  <c r="AA32" i="8" s="1"/>
  <c r="H40" i="8"/>
  <c r="O40" i="8"/>
  <c r="AB40" i="8" s="1"/>
  <c r="H48" i="8"/>
  <c r="O48" i="8"/>
  <c r="AA48" i="8" s="1"/>
  <c r="H56" i="8"/>
  <c r="O56" i="8"/>
  <c r="AA56" i="8" s="1"/>
  <c r="H64" i="8"/>
  <c r="O64" i="8"/>
  <c r="AA64" i="8" s="1"/>
  <c r="H72" i="8"/>
  <c r="O72" i="8"/>
  <c r="AA72" i="8" s="1"/>
  <c r="H80" i="8"/>
  <c r="O80" i="8"/>
  <c r="AB80" i="8" s="1"/>
  <c r="H9" i="8"/>
  <c r="H17" i="8"/>
  <c r="O25" i="8"/>
  <c r="AB25" i="8" s="1"/>
  <c r="H25" i="8"/>
  <c r="H33" i="8"/>
  <c r="H41" i="8"/>
  <c r="H49" i="8"/>
  <c r="H57" i="8"/>
  <c r="H65" i="8"/>
  <c r="H73" i="8"/>
  <c r="H81" i="8"/>
  <c r="A1" i="1"/>
  <c r="D38" i="1"/>
  <c r="D39" i="1"/>
  <c r="D40" i="1"/>
  <c r="D41" i="1"/>
  <c r="D42" i="1"/>
  <c r="D43" i="1"/>
  <c r="D44" i="1"/>
  <c r="D45" i="1"/>
  <c r="D46" i="1"/>
  <c r="D37" i="1"/>
  <c r="D36" i="1"/>
  <c r="D22" i="1"/>
  <c r="D20" i="1"/>
  <c r="D18" i="1"/>
  <c r="AE3" i="10"/>
  <c r="AD3" i="10"/>
  <c r="D13" i="5"/>
  <c r="F3" i="5"/>
  <c r="D25" i="5"/>
  <c r="D24" i="5"/>
  <c r="D23" i="5"/>
  <c r="D22" i="5"/>
  <c r="D21" i="5"/>
  <c r="D12" i="5"/>
  <c r="D11" i="5"/>
  <c r="K31" i="3"/>
  <c r="K6" i="3"/>
  <c r="K20" i="3"/>
  <c r="K21" i="3"/>
  <c r="K22" i="3"/>
  <c r="K23" i="3"/>
  <c r="K24" i="3"/>
  <c r="K32" i="3"/>
  <c r="K33" i="3"/>
  <c r="K34" i="3"/>
  <c r="N32" i="2"/>
  <c r="N33" i="2"/>
  <c r="N34" i="2"/>
  <c r="N35" i="2"/>
  <c r="N36" i="2"/>
  <c r="N3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8" i="2"/>
  <c r="N39" i="2"/>
  <c r="H9" i="6" l="1"/>
  <c r="H20" i="6"/>
  <c r="H31" i="6"/>
  <c r="H42" i="6"/>
  <c r="H54" i="6"/>
  <c r="H66" i="6"/>
  <c r="H78" i="6"/>
  <c r="H90" i="6"/>
  <c r="H102" i="6"/>
  <c r="H38" i="6"/>
  <c r="H18" i="6"/>
  <c r="L18" i="6" s="1"/>
  <c r="H87" i="6"/>
  <c r="H30" i="6"/>
  <c r="H10" i="6"/>
  <c r="H21" i="6"/>
  <c r="H32" i="6"/>
  <c r="H43" i="6"/>
  <c r="H55" i="6"/>
  <c r="H67" i="6"/>
  <c r="L67" i="6" s="1"/>
  <c r="H79" i="6"/>
  <c r="H91" i="6"/>
  <c r="H36" i="6"/>
  <c r="H62" i="6"/>
  <c r="L62" i="6" s="1"/>
  <c r="H19" i="6"/>
  <c r="L19" i="6" s="1"/>
  <c r="H11" i="6"/>
  <c r="H22" i="6"/>
  <c r="H33" i="6"/>
  <c r="H44" i="6"/>
  <c r="H56" i="6"/>
  <c r="L56" i="6" s="1"/>
  <c r="H68" i="6"/>
  <c r="H80" i="6"/>
  <c r="H92" i="6"/>
  <c r="H84" i="6"/>
  <c r="H97" i="6"/>
  <c r="H74" i="6"/>
  <c r="H89" i="6"/>
  <c r="H12" i="6"/>
  <c r="H23" i="6"/>
  <c r="H34" i="6"/>
  <c r="H45" i="6"/>
  <c r="H57" i="6"/>
  <c r="L57" i="6" s="1"/>
  <c r="H69" i="6"/>
  <c r="H81" i="6"/>
  <c r="H93" i="6"/>
  <c r="H61" i="6"/>
  <c r="H50" i="6"/>
  <c r="H6" i="6"/>
  <c r="H75" i="6"/>
  <c r="H53" i="6"/>
  <c r="H13" i="6"/>
  <c r="H24" i="6"/>
  <c r="H46" i="6"/>
  <c r="H58" i="6"/>
  <c r="H70" i="6"/>
  <c r="H82" i="6"/>
  <c r="H94" i="6"/>
  <c r="H72" i="6"/>
  <c r="H85" i="6"/>
  <c r="H27" i="6"/>
  <c r="H28" i="6"/>
  <c r="H99" i="6"/>
  <c r="H8" i="6"/>
  <c r="H14" i="6"/>
  <c r="H25" i="6"/>
  <c r="H35" i="6"/>
  <c r="H47" i="6"/>
  <c r="H59" i="6"/>
  <c r="H71" i="6"/>
  <c r="H83" i="6"/>
  <c r="H95" i="6"/>
  <c r="H48" i="6"/>
  <c r="H51" i="6"/>
  <c r="H65" i="6"/>
  <c r="L65" i="6" s="1"/>
  <c r="H15" i="6"/>
  <c r="H60" i="6"/>
  <c r="H96" i="6"/>
  <c r="H17" i="6"/>
  <c r="L17" i="6" s="1"/>
  <c r="H63" i="6"/>
  <c r="H101" i="6"/>
  <c r="H4" i="6"/>
  <c r="H16" i="6"/>
  <c r="H26" i="6"/>
  <c r="L26" i="6" s="1"/>
  <c r="H37" i="6"/>
  <c r="H49" i="6"/>
  <c r="H73" i="6"/>
  <c r="H86" i="6"/>
  <c r="H39" i="6"/>
  <c r="H77" i="6"/>
  <c r="H5" i="6"/>
  <c r="H98" i="6"/>
  <c r="H7" i="6"/>
  <c r="H29" i="6"/>
  <c r="H40" i="6"/>
  <c r="H52" i="6"/>
  <c r="H64" i="6"/>
  <c r="H76" i="6"/>
  <c r="H88" i="6"/>
  <c r="H100" i="6"/>
  <c r="H41" i="6"/>
  <c r="AA84" i="8"/>
  <c r="AB84" i="8"/>
  <c r="I85" i="8"/>
  <c r="I84" i="8"/>
  <c r="AC84" i="8"/>
  <c r="I86" i="8"/>
  <c r="I87" i="8"/>
  <c r="AD84" i="8"/>
  <c r="N40" i="2"/>
  <c r="F40" i="2" s="1"/>
  <c r="C15" i="2" s="1"/>
  <c r="H101" i="10" l="1"/>
  <c r="I101" i="10" s="1"/>
  <c r="P101" i="10" s="1"/>
  <c r="L102" i="6"/>
  <c r="L28" i="6"/>
  <c r="H27" i="10"/>
  <c r="H72" i="10"/>
  <c r="I72" i="10" s="1"/>
  <c r="P72" i="10" s="1"/>
  <c r="L74" i="6"/>
  <c r="H35" i="10"/>
  <c r="L36" i="6"/>
  <c r="H19" i="10"/>
  <c r="I19" i="10" s="1"/>
  <c r="P19" i="10" s="1"/>
  <c r="L16" i="6"/>
  <c r="L29" i="6"/>
  <c r="H28" i="10"/>
  <c r="H5" i="10"/>
  <c r="L4" i="6"/>
  <c r="H69" i="10"/>
  <c r="I69" i="10" s="1"/>
  <c r="P69" i="10" s="1"/>
  <c r="L71" i="6"/>
  <c r="H93" i="10"/>
  <c r="I93" i="10" s="1"/>
  <c r="P93" i="10" s="1"/>
  <c r="L94" i="6"/>
  <c r="H92" i="10"/>
  <c r="I92" i="10" s="1"/>
  <c r="P92" i="10" s="1"/>
  <c r="L93" i="6"/>
  <c r="H91" i="10"/>
  <c r="I91" i="10" s="1"/>
  <c r="P91" i="10" s="1"/>
  <c r="L92" i="6"/>
  <c r="H77" i="10"/>
  <c r="I77" i="10" s="1"/>
  <c r="P77" i="10" s="1"/>
  <c r="L79" i="6"/>
  <c r="H89" i="10"/>
  <c r="I89" i="10" s="1"/>
  <c r="P89" i="10" s="1"/>
  <c r="L90" i="6"/>
  <c r="L49" i="6"/>
  <c r="H48" i="10"/>
  <c r="I48" i="10" s="1"/>
  <c r="P48" i="10" s="1"/>
  <c r="I62" i="10"/>
  <c r="P62" i="10" s="1"/>
  <c r="L64" i="6"/>
  <c r="H84" i="10"/>
  <c r="L85" i="6"/>
  <c r="L59" i="6"/>
  <c r="H57" i="10"/>
  <c r="I57" i="10" s="1"/>
  <c r="P57" i="10" s="1"/>
  <c r="I79" i="10"/>
  <c r="P79" i="10" s="1"/>
  <c r="L81" i="6"/>
  <c r="I78" i="10"/>
  <c r="P78" i="10" s="1"/>
  <c r="L80" i="6"/>
  <c r="H76" i="10"/>
  <c r="I76" i="10" s="1"/>
  <c r="P76" i="10" s="1"/>
  <c r="L78" i="6"/>
  <c r="L87" i="6"/>
  <c r="H86" i="10"/>
  <c r="I86" i="10" s="1"/>
  <c r="P86" i="10" s="1"/>
  <c r="H49" i="10"/>
  <c r="I49" i="10" s="1"/>
  <c r="P49" i="10" s="1"/>
  <c r="L50" i="6"/>
  <c r="H70" i="10"/>
  <c r="I70" i="10" s="1"/>
  <c r="P70" i="10" s="1"/>
  <c r="L72" i="6"/>
  <c r="L98" i="6"/>
  <c r="H97" i="10"/>
  <c r="I61" i="10"/>
  <c r="P61" i="10" s="1"/>
  <c r="L63" i="6"/>
  <c r="H46" i="10"/>
  <c r="I46" i="10" s="1"/>
  <c r="P46" i="10" s="1"/>
  <c r="L47" i="6"/>
  <c r="H68" i="10"/>
  <c r="I68" i="10" s="1"/>
  <c r="P68" i="10" s="1"/>
  <c r="L70" i="6"/>
  <c r="H67" i="10"/>
  <c r="I67" i="10" s="1"/>
  <c r="P67" i="10" s="1"/>
  <c r="L69" i="6"/>
  <c r="I66" i="10"/>
  <c r="P66" i="10" s="1"/>
  <c r="L68" i="6"/>
  <c r="H54" i="10"/>
  <c r="I54" i="10" s="1"/>
  <c r="P54" i="10" s="1"/>
  <c r="L55" i="6"/>
  <c r="I64" i="10"/>
  <c r="P64" i="10" s="1"/>
  <c r="L66" i="6"/>
  <c r="H26" i="10"/>
  <c r="L27" i="6"/>
  <c r="L38" i="6"/>
  <c r="H37" i="10"/>
  <c r="I37" i="10" s="1"/>
  <c r="P37" i="10" s="1"/>
  <c r="H83" i="10"/>
  <c r="I83" i="10" s="1"/>
  <c r="P83" i="10" s="1"/>
  <c r="L84" i="6"/>
  <c r="H10" i="10"/>
  <c r="L7" i="6"/>
  <c r="H34" i="10"/>
  <c r="L35" i="6"/>
  <c r="I56" i="10"/>
  <c r="P56" i="10" s="1"/>
  <c r="L58" i="6"/>
  <c r="H42" i="10"/>
  <c r="I42" i="10" s="1"/>
  <c r="P42" i="10" s="1"/>
  <c r="L43" i="6"/>
  <c r="H53" i="10"/>
  <c r="I53" i="10" s="1"/>
  <c r="P53" i="10" s="1"/>
  <c r="L54" i="6"/>
  <c r="H88" i="10"/>
  <c r="I88" i="10" s="1"/>
  <c r="P88" i="10" s="1"/>
  <c r="L89" i="6"/>
  <c r="L37" i="6"/>
  <c r="H36" i="10"/>
  <c r="I36" i="10" s="1"/>
  <c r="P36" i="10" s="1"/>
  <c r="H90" i="10"/>
  <c r="I90" i="10" s="1"/>
  <c r="P90" i="10" s="1"/>
  <c r="L91" i="6"/>
  <c r="H75" i="10"/>
  <c r="I75" i="10" s="1"/>
  <c r="P75" i="10" s="1"/>
  <c r="L77" i="6"/>
  <c r="H95" i="10"/>
  <c r="L96" i="6"/>
  <c r="H25" i="10"/>
  <c r="I25" i="10" s="1"/>
  <c r="P25" i="10" s="1"/>
  <c r="L25" i="6"/>
  <c r="H45" i="10"/>
  <c r="I45" i="10" s="1"/>
  <c r="P45" i="10" s="1"/>
  <c r="L46" i="6"/>
  <c r="H44" i="10"/>
  <c r="I44" i="10" s="1"/>
  <c r="P44" i="10" s="1"/>
  <c r="L45" i="6"/>
  <c r="L44" i="6"/>
  <c r="H43" i="10"/>
  <c r="I43" i="10" s="1"/>
  <c r="P43" i="10" s="1"/>
  <c r="H31" i="10"/>
  <c r="L32" i="6"/>
  <c r="H41" i="10"/>
  <c r="I41" i="10" s="1"/>
  <c r="P41" i="10" s="1"/>
  <c r="L42" i="6"/>
  <c r="L51" i="6"/>
  <c r="H50" i="10"/>
  <c r="I50" i="10" s="1"/>
  <c r="P50" i="10" s="1"/>
  <c r="H7" i="10"/>
  <c r="L6" i="6"/>
  <c r="H94" i="10"/>
  <c r="I94" i="10" s="1"/>
  <c r="P94" i="10" s="1"/>
  <c r="L95" i="6"/>
  <c r="L83" i="6"/>
  <c r="H82" i="10"/>
  <c r="I82" i="10" s="1"/>
  <c r="P82" i="10" s="1"/>
  <c r="L82" i="6"/>
  <c r="H81" i="10"/>
  <c r="I81" i="10" s="1"/>
  <c r="P81" i="10" s="1"/>
  <c r="H38" i="10"/>
  <c r="I38" i="10" s="1"/>
  <c r="P38" i="10" s="1"/>
  <c r="L39" i="6"/>
  <c r="H17" i="10"/>
  <c r="I17" i="10" s="1"/>
  <c r="P17" i="10" s="1"/>
  <c r="L14" i="6"/>
  <c r="H24" i="10"/>
  <c r="I24" i="10" s="1"/>
  <c r="P24" i="10" s="1"/>
  <c r="L24" i="6"/>
  <c r="H33" i="10"/>
  <c r="L34" i="6"/>
  <c r="H32" i="10"/>
  <c r="L33" i="6"/>
  <c r="H21" i="10"/>
  <c r="L21" i="6"/>
  <c r="L31" i="6"/>
  <c r="H30" i="10"/>
  <c r="H74" i="10"/>
  <c r="I74" i="10" s="1"/>
  <c r="P74" i="10" s="1"/>
  <c r="L76" i="6"/>
  <c r="H73" i="10"/>
  <c r="I73" i="10" s="1"/>
  <c r="P73" i="10" s="1"/>
  <c r="L75" i="6"/>
  <c r="H47" i="10"/>
  <c r="I47" i="10" s="1"/>
  <c r="P47" i="10" s="1"/>
  <c r="L48" i="6"/>
  <c r="H51" i="10"/>
  <c r="I51" i="10" s="1"/>
  <c r="P51" i="10" s="1"/>
  <c r="L52" i="6"/>
  <c r="H96" i="10"/>
  <c r="L97" i="6"/>
  <c r="L40" i="6"/>
  <c r="H39" i="10"/>
  <c r="I39" i="10" s="1"/>
  <c r="P39" i="10" s="1"/>
  <c r="H59" i="10"/>
  <c r="L61" i="6"/>
  <c r="H100" i="10"/>
  <c r="I100" i="10" s="1"/>
  <c r="P100" i="10" s="1"/>
  <c r="L101" i="6"/>
  <c r="L5" i="6"/>
  <c r="H6" i="10"/>
  <c r="H40" i="10"/>
  <c r="I40" i="10" s="1"/>
  <c r="P40" i="10" s="1"/>
  <c r="L41" i="6"/>
  <c r="H58" i="10"/>
  <c r="I58" i="10" s="1"/>
  <c r="P58" i="10" s="1"/>
  <c r="L60" i="6"/>
  <c r="H99" i="10"/>
  <c r="L100" i="6"/>
  <c r="H85" i="10"/>
  <c r="I85" i="10" s="1"/>
  <c r="P85" i="10" s="1"/>
  <c r="L86" i="6"/>
  <c r="L15" i="6"/>
  <c r="H18" i="10"/>
  <c r="I18" i="10" s="1"/>
  <c r="P18" i="10" s="1"/>
  <c r="H11" i="10"/>
  <c r="L8" i="6"/>
  <c r="L13" i="6"/>
  <c r="H16" i="10"/>
  <c r="I16" i="10" s="1"/>
  <c r="P16" i="10" s="1"/>
  <c r="H23" i="10"/>
  <c r="I23" i="10" s="1"/>
  <c r="P23" i="10" s="1"/>
  <c r="L23" i="6"/>
  <c r="H22" i="10"/>
  <c r="I22" i="10" s="1"/>
  <c r="P22" i="10" s="1"/>
  <c r="L22" i="6"/>
  <c r="L10" i="6"/>
  <c r="H13" i="10"/>
  <c r="I13" i="10" s="1"/>
  <c r="P13" i="10" s="1"/>
  <c r="L20" i="6"/>
  <c r="H20" i="10"/>
  <c r="H87" i="10"/>
  <c r="I87" i="10" s="1"/>
  <c r="P87" i="10" s="1"/>
  <c r="L88" i="6"/>
  <c r="H71" i="10"/>
  <c r="I71" i="10" s="1"/>
  <c r="P71" i="10" s="1"/>
  <c r="L73" i="6"/>
  <c r="L99" i="6"/>
  <c r="H98" i="10"/>
  <c r="H52" i="10"/>
  <c r="I52" i="10" s="1"/>
  <c r="P52" i="10" s="1"/>
  <c r="L53" i="6"/>
  <c r="H15" i="10"/>
  <c r="I15" i="10" s="1"/>
  <c r="P15" i="10" s="1"/>
  <c r="L12" i="6"/>
  <c r="H14" i="10"/>
  <c r="I14" i="10" s="1"/>
  <c r="P14" i="10" s="1"/>
  <c r="L11" i="6"/>
  <c r="H29" i="10"/>
  <c r="L30" i="6"/>
  <c r="L9" i="6"/>
  <c r="H12" i="10"/>
  <c r="I12" i="10" s="1"/>
  <c r="P12" i="10" s="1"/>
  <c r="G84" i="8"/>
  <c r="O84" i="8"/>
  <c r="N55" i="10"/>
  <c r="O86" i="8"/>
  <c r="G86" i="8"/>
  <c r="O85" i="8"/>
  <c r="G85" i="8"/>
  <c r="O87" i="8"/>
  <c r="G87" i="8"/>
  <c r="AC34" i="10" l="1"/>
  <c r="I34" i="10"/>
  <c r="P34" i="10" s="1"/>
  <c r="I11" i="10"/>
  <c r="P11" i="10" s="1"/>
  <c r="AC11" i="10"/>
  <c r="I10" i="10"/>
  <c r="P10" i="10" s="1"/>
  <c r="AC10" i="10"/>
  <c r="I20" i="10"/>
  <c r="P20" i="10" s="1"/>
  <c r="AC20" i="10"/>
  <c r="AB7" i="10"/>
  <c r="AC7" i="10"/>
  <c r="I7" i="10"/>
  <c r="P7" i="10" s="1"/>
  <c r="AC84" i="10"/>
  <c r="I84" i="10"/>
  <c r="P84" i="10" s="1"/>
  <c r="I35" i="10"/>
  <c r="P35" i="10" s="1"/>
  <c r="AC35" i="10"/>
  <c r="I28" i="10"/>
  <c r="P28" i="10" s="1"/>
  <c r="AC28" i="10"/>
  <c r="AC97" i="10"/>
  <c r="I97" i="10"/>
  <c r="P97" i="10" s="1"/>
  <c r="I29" i="10"/>
  <c r="P29" i="10" s="1"/>
  <c r="AC29" i="10"/>
  <c r="I59" i="10"/>
  <c r="P59" i="10" s="1"/>
  <c r="AC59" i="10"/>
  <c r="AC30" i="10"/>
  <c r="I30" i="10"/>
  <c r="P30" i="10" s="1"/>
  <c r="AC27" i="10"/>
  <c r="I27" i="10"/>
  <c r="P27" i="10" s="1"/>
  <c r="AC32" i="10"/>
  <c r="I32" i="10"/>
  <c r="P32" i="10" s="1"/>
  <c r="AC6" i="10"/>
  <c r="AA6" i="10"/>
  <c r="AA8" i="10" s="1"/>
  <c r="H8" i="10" s="1"/>
  <c r="I8" i="10" s="1"/>
  <c r="P8" i="10" s="1"/>
  <c r="I6" i="10"/>
  <c r="P6" i="10" s="1"/>
  <c r="AC99" i="10"/>
  <c r="I99" i="10"/>
  <c r="P99" i="10" s="1"/>
  <c r="AC95" i="10"/>
  <c r="I95" i="10"/>
  <c r="P95" i="10" s="1"/>
  <c r="I26" i="10"/>
  <c r="P26" i="10" s="1"/>
  <c r="AC26" i="10"/>
  <c r="I98" i="10"/>
  <c r="P98" i="10" s="1"/>
  <c r="AC98" i="10"/>
  <c r="AC33" i="10"/>
  <c r="I33" i="10"/>
  <c r="P33" i="10" s="1"/>
  <c r="I96" i="10"/>
  <c r="P96" i="10" s="1"/>
  <c r="AC96" i="10"/>
  <c r="AC21" i="10"/>
  <c r="I21" i="10"/>
  <c r="P21" i="10" s="1"/>
  <c r="I31" i="10"/>
  <c r="P31" i="10" s="1"/>
  <c r="AC31" i="10"/>
  <c r="I5" i="10"/>
  <c r="P5" i="10" s="1"/>
  <c r="AB5" i="10"/>
  <c r="AC5" i="10"/>
  <c r="J106" i="10"/>
  <c r="G106" i="10"/>
  <c r="J104" i="10"/>
  <c r="G104" i="10"/>
  <c r="L55" i="10"/>
  <c r="J105" i="10"/>
  <c r="G105" i="10"/>
  <c r="G103" i="10"/>
  <c r="J103" i="10"/>
  <c r="AC102" i="10" l="1"/>
  <c r="AB9" i="10"/>
  <c r="H9" i="10" s="1"/>
  <c r="I9" i="10" s="1"/>
  <c r="P9" i="10" s="1"/>
  <c r="L103" i="10"/>
  <c r="AE103" i="10" s="1"/>
  <c r="N103" i="10"/>
  <c r="I103" i="10"/>
  <c r="I104" i="10"/>
  <c r="N104" i="10"/>
  <c r="L104" i="10"/>
  <c r="AE104" i="10" s="1"/>
  <c r="N105" i="10"/>
  <c r="I105" i="10"/>
  <c r="L105" i="10"/>
  <c r="AE105" i="10" s="1"/>
  <c r="I106" i="10"/>
  <c r="N106" i="10"/>
  <c r="L106" i="10"/>
  <c r="AE106" i="10" s="1"/>
  <c r="P103" i="10" l="1"/>
  <c r="P105" i="10"/>
  <c r="P104" i="10"/>
  <c r="P106" i="10"/>
  <c r="AD108" i="10"/>
  <c r="N108" i="10"/>
  <c r="M5" i="11" s="1"/>
  <c r="N5" i="11" s="1"/>
  <c r="N29" i="11" s="1"/>
  <c r="D2" i="5" s="1"/>
  <c r="L108" i="10"/>
  <c r="K5" i="11" s="1"/>
  <c r="L5" i="11" s="1"/>
  <c r="L29" i="11" s="1"/>
  <c r="AE108" i="10"/>
  <c r="AC108" i="10" s="1"/>
  <c r="H107" i="10" l="1"/>
  <c r="I107" i="10" s="1"/>
  <c r="P107" i="10" s="1"/>
  <c r="C2" i="5"/>
  <c r="D8" i="3" s="1"/>
  <c r="D17" i="3" s="1"/>
  <c r="K17" i="3" s="1"/>
  <c r="L7" i="16"/>
  <c r="K8" i="3" l="1"/>
  <c r="D13" i="3"/>
  <c r="K13" i="3" s="1"/>
  <c r="D9" i="3"/>
  <c r="K9" i="3" s="1"/>
  <c r="D16" i="3"/>
  <c r="D18" i="3" s="1"/>
  <c r="K18" i="3" s="1"/>
  <c r="L14" i="16"/>
  <c r="L16" i="16" s="1"/>
  <c r="L8" i="16"/>
  <c r="L9" i="16" s="1"/>
  <c r="L15" i="16"/>
  <c r="K16" i="3"/>
  <c r="I55" i="10"/>
  <c r="D10" i="3"/>
  <c r="L13" i="16" l="1"/>
  <c r="L12" i="16"/>
  <c r="L24" i="16"/>
  <c r="P55" i="10"/>
  <c r="AD102" i="10"/>
  <c r="H102" i="10" s="1"/>
  <c r="I102" i="10" s="1"/>
  <c r="P102" i="10" s="1"/>
  <c r="D19" i="3"/>
  <c r="K19" i="3" s="1"/>
  <c r="D12" i="3"/>
  <c r="K12" i="3" s="1"/>
  <c r="D11" i="3"/>
  <c r="K10" i="3"/>
  <c r="K11" i="3" l="1"/>
  <c r="I108" i="10"/>
  <c r="H5" i="11" s="1"/>
  <c r="I5" i="11" s="1"/>
  <c r="P108" i="10"/>
  <c r="P5" i="11" l="1"/>
  <c r="P29" i="11" s="1"/>
  <c r="I29" i="11"/>
  <c r="B2" i="5" l="1"/>
  <c r="D5" i="3" s="1"/>
  <c r="L3" i="16"/>
  <c r="L6" i="16" s="1"/>
  <c r="F2" i="5" l="1"/>
  <c r="L18" i="16"/>
  <c r="L23" i="16" s="1"/>
  <c r="L11" i="16"/>
  <c r="D7" i="3"/>
  <c r="K5" i="3"/>
  <c r="L25" i="16" l="1"/>
  <c r="D15" i="3"/>
  <c r="K15" i="3" s="1"/>
  <c r="D14" i="3"/>
  <c r="K7" i="3"/>
  <c r="L26" i="16" l="1"/>
  <c r="L27" i="16" s="1"/>
  <c r="L28" i="16" s="1"/>
  <c r="K14" i="3"/>
  <c r="D25" i="3"/>
  <c r="L30" i="16" l="1"/>
  <c r="L32" i="16" s="1"/>
  <c r="K25" i="3"/>
  <c r="D27" i="3"/>
  <c r="K27" i="3" s="1"/>
  <c r="D26" i="3"/>
  <c r="K26" i="3" s="1"/>
  <c r="L31" i="16" l="1"/>
  <c r="L33" i="16" s="1"/>
  <c r="L28" i="3"/>
  <c r="D28" i="3" s="1"/>
  <c r="K28" i="3" s="1"/>
  <c r="D29" i="3" s="1"/>
  <c r="L34" i="16" l="1"/>
  <c r="T25" i="20" s="1"/>
  <c r="D30" i="3"/>
  <c r="K30" i="3" s="1"/>
  <c r="K29" i="3"/>
  <c r="J25" i="20" l="1"/>
  <c r="T24" i="20"/>
  <c r="J24" i="20" s="1"/>
  <c r="K35" i="3"/>
  <c r="D35" i="3" s="1"/>
</calcChain>
</file>

<file path=xl/sharedStrings.xml><?xml version="1.0" encoding="utf-8"?>
<sst xmlns="http://schemas.openxmlformats.org/spreadsheetml/2006/main" count="5503" uniqueCount="1142">
  <si>
    <t>내  용</t>
    <phoneticPr fontId="2" type="noConversion"/>
  </si>
  <si>
    <t>단위</t>
    <phoneticPr fontId="2" type="noConversion"/>
  </si>
  <si>
    <t>수량</t>
    <phoneticPr fontId="2" type="noConversion"/>
  </si>
  <si>
    <t xml:space="preserve"> </t>
    <phoneticPr fontId="2" type="noConversion"/>
  </si>
  <si>
    <t xml:space="preserve"> </t>
    <phoneticPr fontId="2" type="noConversion"/>
  </si>
  <si>
    <t>件    名:</t>
    <phoneticPr fontId="2" type="noConversion"/>
  </si>
  <si>
    <t>비 목</t>
    <phoneticPr fontId="2" type="noConversion"/>
  </si>
  <si>
    <t>구  분</t>
    <phoneticPr fontId="2" type="noConversion"/>
  </si>
  <si>
    <t>금 액</t>
    <phoneticPr fontId="2" type="noConversion"/>
  </si>
  <si>
    <t xml:space="preserve"> </t>
    <phoneticPr fontId="2" type="noConversion"/>
  </si>
  <si>
    <t>노무비</t>
    <phoneticPr fontId="2" type="noConversion"/>
  </si>
  <si>
    <t>경비</t>
    <phoneticPr fontId="2" type="noConversion"/>
  </si>
  <si>
    <t>재료비</t>
    <phoneticPr fontId="2" type="noConversion"/>
  </si>
  <si>
    <t>계</t>
    <phoneticPr fontId="2" type="noConversion"/>
  </si>
  <si>
    <t>총 급 액</t>
    <phoneticPr fontId="2" type="noConversion"/>
  </si>
  <si>
    <t>*(공종별 노임 적용율(%))*</t>
    <phoneticPr fontId="2" type="noConversion"/>
  </si>
  <si>
    <t>적용율(%)</t>
    <phoneticPr fontId="2" type="noConversion"/>
  </si>
  <si>
    <t>소수자릿수</t>
    <phoneticPr fontId="2" type="noConversion"/>
  </si>
  <si>
    <t>끝자리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</si>
  <si>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</si>
  <si>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</si>
  <si>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</si>
  <si>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</si>
  <si>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코드</t>
    <phoneticPr fontId="2" type="noConversion"/>
  </si>
  <si>
    <t>공종코드</t>
    <phoneticPr fontId="2" type="noConversion"/>
  </si>
  <si>
    <t>코드</t>
    <phoneticPr fontId="2" type="noConversion"/>
  </si>
  <si>
    <t>단위</t>
    <phoneticPr fontId="2" type="noConversion"/>
  </si>
  <si>
    <t>물가정보</t>
    <phoneticPr fontId="2" type="noConversion"/>
  </si>
  <si>
    <t>단가</t>
    <phoneticPr fontId="2" type="noConversion"/>
  </si>
  <si>
    <t>공종코드</t>
    <phoneticPr fontId="2" type="noConversion"/>
  </si>
  <si>
    <t>명칭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</si>
  <si>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</si>
  <si>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</si>
  <si>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</si>
  <si>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</si>
  <si>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</si>
  <si>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공량산출</t>
    <phoneticPr fontId="2" type="noConversion"/>
  </si>
  <si>
    <t>품셈근거</t>
    <phoneticPr fontId="2" type="noConversion"/>
  </si>
  <si>
    <t>비고</t>
    <phoneticPr fontId="2" type="noConversion"/>
  </si>
  <si>
    <t>결정수량</t>
    <phoneticPr fontId="2" type="noConversion"/>
  </si>
  <si>
    <t>할증</t>
    <phoneticPr fontId="2" type="noConversion"/>
  </si>
  <si>
    <t>산출수량</t>
    <phoneticPr fontId="2" type="noConversion"/>
  </si>
  <si>
    <t>재할%</t>
    <phoneticPr fontId="2" type="noConversion"/>
  </si>
  <si>
    <t>품셈</t>
    <phoneticPr fontId="2" type="noConversion"/>
  </si>
  <si>
    <t>할증%</t>
    <phoneticPr fontId="2" type="noConversion"/>
  </si>
  <si>
    <t>공량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</si>
  <si>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</si>
  <si>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</si>
  <si>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</si>
  <si>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</si>
  <si>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</si>
  <si>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</si>
  <si>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 xml:space="preserve">  </t>
    <phoneticPr fontId="2" type="noConversion"/>
  </si>
  <si>
    <t>구  성  비</t>
    <phoneticPr fontId="2" type="noConversion"/>
  </si>
  <si>
    <t>재 료 비</t>
    <phoneticPr fontId="2" type="noConversion"/>
  </si>
  <si>
    <t>순</t>
    <phoneticPr fontId="2" type="noConversion"/>
  </si>
  <si>
    <t>노 무 비</t>
    <phoneticPr fontId="2" type="noConversion"/>
  </si>
  <si>
    <t>공</t>
    <phoneticPr fontId="2" type="noConversion"/>
  </si>
  <si>
    <t>경</t>
    <phoneticPr fontId="2" type="noConversion"/>
  </si>
  <si>
    <t>사</t>
    <phoneticPr fontId="2" type="noConversion"/>
  </si>
  <si>
    <t>비</t>
    <phoneticPr fontId="2" type="noConversion"/>
  </si>
  <si>
    <t>제 출 처:</t>
    <phoneticPr fontId="2" type="noConversion"/>
  </si>
  <si>
    <t>제 출 일:</t>
    <phoneticPr fontId="2" type="noConversion"/>
  </si>
  <si>
    <t>공 사 명:</t>
    <phoneticPr fontId="2" type="noConversion"/>
  </si>
  <si>
    <t>공사금액:</t>
    <phoneticPr fontId="2" type="noConversion"/>
  </si>
  <si>
    <t>금    액</t>
    <phoneticPr fontId="2" type="noConversion"/>
  </si>
  <si>
    <t>비       고</t>
    <phoneticPr fontId="2" type="noConversion"/>
  </si>
  <si>
    <t>提 出 處:</t>
    <phoneticPr fontId="2" type="noConversion"/>
  </si>
  <si>
    <t>提 出 日:</t>
    <phoneticPr fontId="2" type="noConversion"/>
  </si>
  <si>
    <t xml:space="preserve"> </t>
    <phoneticPr fontId="2" type="noConversion"/>
  </si>
  <si>
    <t>1.</t>
    <phoneticPr fontId="2" type="noConversion"/>
  </si>
  <si>
    <t>3.</t>
    <phoneticPr fontId="2" type="noConversion"/>
  </si>
  <si>
    <t>** 반드시 다음 사항을 숙지하신 다음 수정 작업을 하십시오 **</t>
    <phoneticPr fontId="2" type="noConversion"/>
  </si>
  <si>
    <t>4.</t>
    <phoneticPr fontId="2" type="noConversion"/>
  </si>
  <si>
    <t xml:space="preserve">a)표지와 원가 -&gt; 총괄표 -&gt; 내역서 -&gt;일위대가와 합산자재 -&gt;단가조사서 를 참조하고 </t>
    <phoneticPr fontId="2" type="noConversion"/>
  </si>
  <si>
    <t>2.</t>
    <phoneticPr fontId="2" type="noConversion"/>
  </si>
  <si>
    <t>5.</t>
    <phoneticPr fontId="2" type="noConversion"/>
  </si>
  <si>
    <t>6.</t>
    <phoneticPr fontId="2" type="noConversion"/>
  </si>
  <si>
    <t xml:space="preserve">   그룹은 견적 프로그램에서 엑셀파일이 만들어질때 지정됩니다.</t>
    <phoneticPr fontId="2" type="noConversion"/>
  </si>
  <si>
    <t>번호</t>
    <phoneticPr fontId="2" type="noConversion"/>
  </si>
  <si>
    <t>번호</t>
    <phoneticPr fontId="2" type="noConversion"/>
  </si>
  <si>
    <t>코드</t>
    <phoneticPr fontId="2" type="noConversion"/>
  </si>
  <si>
    <t>…</t>
    <phoneticPr fontId="2" type="noConversion"/>
  </si>
  <si>
    <t>비고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</si>
  <si>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</si>
  <si>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</si>
  <si>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</si>
  <si>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>적용단가</t>
    <phoneticPr fontId="2" type="noConversion"/>
  </si>
  <si>
    <t>PAGE</t>
    <phoneticPr fontId="2" type="noConversion"/>
  </si>
  <si>
    <t>PAGE</t>
    <phoneticPr fontId="2" type="noConversion"/>
  </si>
  <si>
    <t xml:space="preserve"> 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</si>
  <si>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</si>
  <si>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</si>
  <si>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</si>
  <si>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</si>
  <si>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</si>
  <si>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</si>
  <si>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</si>
  <si>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노임계</t>
    <phoneticPr fontId="2" type="noConversion"/>
  </si>
  <si>
    <t>자재계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</si>
  <si>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</si>
  <si>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</si>
  <si>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</si>
  <si>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</si>
  <si>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</si>
  <si>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Pipe (PIP) 할증(%)</t>
    <phoneticPr fontId="2" type="noConversion"/>
  </si>
  <si>
    <t>적용율(%)/100</t>
    <phoneticPr fontId="2" type="noConversion"/>
  </si>
  <si>
    <t xml:space="preserve"> </t>
    <phoneticPr fontId="2" type="noConversion"/>
  </si>
  <si>
    <t>요율</t>
    <phoneticPr fontId="2" type="noConversion"/>
  </si>
  <si>
    <t>금액</t>
    <phoneticPr fontId="2" type="noConversion"/>
  </si>
  <si>
    <t>금액</t>
    <phoneticPr fontId="2" type="noConversion"/>
  </si>
  <si>
    <t>요율</t>
    <phoneticPr fontId="2" type="noConversion"/>
  </si>
  <si>
    <t>수량</t>
    <phoneticPr fontId="2" type="noConversion"/>
  </si>
  <si>
    <t>끝자리 맞추기</t>
    <phoneticPr fontId="2" type="noConversion"/>
  </si>
  <si>
    <t>이윤</t>
    <phoneticPr fontId="2" type="noConversion"/>
  </si>
  <si>
    <t>끝자리맞추기</t>
    <phoneticPr fontId="2" type="noConversion"/>
  </si>
  <si>
    <t>공사명:</t>
    <phoneticPr fontId="2" type="noConversion"/>
  </si>
  <si>
    <t xml:space="preserve"> </t>
    <phoneticPr fontId="2" type="noConversion"/>
  </si>
  <si>
    <t xml:space="preserve"> </t>
    <phoneticPr fontId="2" type="noConversion"/>
  </si>
  <si>
    <t>단 위 단 가 산 출</t>
    <phoneticPr fontId="2" type="noConversion"/>
  </si>
  <si>
    <t>단가</t>
    <phoneticPr fontId="2" type="noConversion"/>
  </si>
  <si>
    <t>단위계</t>
    <phoneticPr fontId="2" type="noConversion"/>
  </si>
  <si>
    <t>단위단가</t>
    <phoneticPr fontId="2" type="noConversion"/>
  </si>
  <si>
    <t>속성이 숫자인 셀을 삭제할 때는 반드시 'Delete' 키를 사용하십시오.</t>
    <phoneticPr fontId="2" type="noConversion"/>
  </si>
  <si>
    <t>**주의:'Space Bar' 로 지웠을 때는 '#Value' Error가 발생됩니다.</t>
    <phoneticPr fontId="2" type="noConversion"/>
  </si>
  <si>
    <t>일위대가(을지)는 소수점 처리 때문에 셀 속성을 '일반'으로 하였습니다.(소수점 능동 처리)</t>
    <phoneticPr fontId="2" type="noConversion"/>
  </si>
  <si>
    <t>**참고: (수량*단가)의 결과는 소수 한자리, 금액을 취합한 소계는 1원 이하 절사입니다.</t>
    <phoneticPr fontId="2" type="noConversion"/>
  </si>
  <si>
    <t>내역서에서는 수량에만 셀 속성을 '일반'으로 하였습니다.(소수점 능동 처리)</t>
    <phoneticPr fontId="2" type="noConversion"/>
  </si>
  <si>
    <t>단가수정은 '단가조사서'시트 에서 하십시오.</t>
    <phoneticPr fontId="2" type="noConversion"/>
  </si>
  <si>
    <t xml:space="preserve">   있으므로 단가조사서의 결정단가를 수정하면 전체 금액이 갱신됩니다.</t>
    <phoneticPr fontId="2" type="noConversion"/>
  </si>
  <si>
    <t xml:space="preserve">   **주의: 금액란은 공식이 걸려있으므로 조심하여 수정하십시오.</t>
    <phoneticPr fontId="2" type="noConversion"/>
  </si>
  <si>
    <t>b)전체 자재를 일정 요율(%)로 변경할 때는 옵션시트의 자재 적용율을 조정하면 됩니다.</t>
    <phoneticPr fontId="2" type="noConversion"/>
  </si>
  <si>
    <t>노임 단가는 '단가조사서'시트에서 품셈은 '노임근거'시트에서 수정하십시오.</t>
    <phoneticPr fontId="2" type="noConversion"/>
  </si>
  <si>
    <t>a)전체 노임을 일정 요율(%)로 변경할 때는 '옵션시트'의 전체노임 적용율을 조정하면 됩니다.</t>
    <phoneticPr fontId="2" type="noConversion"/>
  </si>
  <si>
    <t>b)공종별로 노임을 수정하려면 '옵션시트'의 공종별 노임 적용율을 조정하면 됩니다.</t>
    <phoneticPr fontId="2" type="noConversion"/>
  </si>
  <si>
    <t>c)케이블 및 전선 자재 단가를 추가로 조정하려면 그룹별 자재 적용율을 조정하면 됩니다.</t>
    <phoneticPr fontId="2" type="noConversion"/>
  </si>
  <si>
    <t>겉표지의 모든 정보는 표지를 참조하였습니다.(정보 수정은 표지에서만 하시면 됩니다.)</t>
    <phoneticPr fontId="2" type="noConversion"/>
  </si>
  <si>
    <t>7.</t>
    <phoneticPr fontId="2" type="noConversion"/>
  </si>
  <si>
    <t>필수 :본 프로그램의 총 금액을 확인한 후 사용하십시오.</t>
    <phoneticPr fontId="2" type="noConversion"/>
  </si>
  <si>
    <t>8.</t>
    <phoneticPr fontId="2" type="noConversion"/>
  </si>
  <si>
    <t>본 파일의 내용을 인쇄할 경우, 미리보기를 통하여 페이지 절선을 확인 후 인쇄하십시오.</t>
    <phoneticPr fontId="2" type="noConversion"/>
  </si>
  <si>
    <t>페이지 절선이 맞지 않으면 다음을 참고하십시오.</t>
    <phoneticPr fontId="2" type="noConversion"/>
  </si>
  <si>
    <t>a. 해당시트의 셀 전체를 선택합니다.</t>
    <phoneticPr fontId="2" type="noConversion"/>
  </si>
  <si>
    <t>b. 행높이를 적절히 가감하면 페이지 절선을 맞출 수 있습니다.</t>
    <phoneticPr fontId="2" type="noConversion"/>
  </si>
  <si>
    <t>견적가로형식-1</t>
    <phoneticPr fontId="2" type="noConversion"/>
  </si>
  <si>
    <t>9.</t>
    <phoneticPr fontId="2" type="noConversion"/>
  </si>
  <si>
    <t>관급자재 Sheet가 해당이 없을 경우엔 삭제하십시오.</t>
    <phoneticPr fontId="2" type="noConversion"/>
  </si>
  <si>
    <t>10.</t>
    <phoneticPr fontId="2" type="noConversion"/>
  </si>
  <si>
    <t>관급 자재비</t>
    <phoneticPr fontId="2" type="noConversion"/>
  </si>
  <si>
    <t>비고</t>
    <phoneticPr fontId="2" type="noConversion"/>
  </si>
  <si>
    <t>단가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</si>
  <si>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</si>
  <si>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</si>
  <si>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</si>
  <si>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</si>
  <si>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</si>
  <si>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</si>
  <si>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2" type="noConversion"/>
  </si>
  <si>
    <t>CD배관재</t>
    <phoneticPr fontId="2" type="noConversion"/>
  </si>
  <si>
    <t>일위대가소수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</si>
  <si>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</si>
  <si>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</si>
  <si>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</si>
  <si>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연속견적가로형식</t>
  </si>
  <si>
    <t>금액조정이 안되나요?</t>
    <phoneticPr fontId="2" type="noConversion"/>
  </si>
  <si>
    <t>이지테크에서 변환할 때 2번 옵션을 지정하여 다시 해보세요</t>
    <phoneticPr fontId="2" type="noConversion"/>
  </si>
  <si>
    <t>시트를 삭제할 때 에러가 뜨면 1번 옵션으로 하면 됩니다.</t>
    <phoneticPr fontId="2" type="noConversion"/>
  </si>
  <si>
    <t>2번 옵션으로 변환했을 때에는 결과값이 다를 수 있습니다.</t>
    <phoneticPr fontId="2" type="noConversion"/>
  </si>
  <si>
    <t>1.전기공사</t>
  </si>
  <si>
    <t>3913170610034835</t>
  </si>
  <si>
    <t>강제전선관</t>
  </si>
  <si>
    <t>아연도 36 mm</t>
  </si>
  <si>
    <t>m</t>
  </si>
  <si>
    <t>1029</t>
  </si>
  <si>
    <t>I-1202</t>
  </si>
  <si>
    <t>3913170610035664</t>
  </si>
  <si>
    <t>합성수지제 가요전선관</t>
  </si>
  <si>
    <t>CD-난연성 16㎜</t>
  </si>
  <si>
    <t>1025</t>
  </si>
  <si>
    <t>I-1204</t>
  </si>
  <si>
    <t>3913170610045632</t>
  </si>
  <si>
    <t>파상형 폴리에틸렌 전선관</t>
  </si>
  <si>
    <t>40㎜</t>
  </si>
  <si>
    <t>3913170620174410</t>
  </si>
  <si>
    <t>1종금속제가요전선관</t>
  </si>
  <si>
    <t>16 mm 일반-비방수</t>
  </si>
  <si>
    <t>3913170620174411</t>
  </si>
  <si>
    <t>22 mm 일반-비방수</t>
  </si>
  <si>
    <t>3913170620174434</t>
  </si>
  <si>
    <t>커넥터, 16 mm 일반-비방수</t>
  </si>
  <si>
    <t>개</t>
  </si>
  <si>
    <t>인터넷</t>
  </si>
  <si>
    <t>3913170820935618</t>
  </si>
  <si>
    <t>경질비닐전선관용 부품</t>
  </si>
  <si>
    <t>노말밴드, 36 mm</t>
  </si>
  <si>
    <t>3912130810035750</t>
  </si>
  <si>
    <t>아우트렛박스</t>
  </si>
  <si>
    <t>8각 54㎜</t>
  </si>
  <si>
    <t>1028</t>
  </si>
  <si>
    <t>I-1207</t>
  </si>
  <si>
    <t>3912130810035753</t>
  </si>
  <si>
    <t>중형4각 54㎜</t>
  </si>
  <si>
    <t>3912130820174710</t>
  </si>
  <si>
    <t>아우트렛박스 커버</t>
  </si>
  <si>
    <t>커버, 8각, 평형</t>
  </si>
  <si>
    <t>3912130820174713</t>
  </si>
  <si>
    <t>커버, 4각, 평형</t>
  </si>
  <si>
    <t>3912130310035875</t>
  </si>
  <si>
    <t>노출박스</t>
  </si>
  <si>
    <t>16 mm - 1 방출</t>
  </si>
  <si>
    <t>1030</t>
  </si>
  <si>
    <t>I-1203</t>
  </si>
  <si>
    <t>3912130310035797</t>
  </si>
  <si>
    <t>풀박스</t>
  </si>
  <si>
    <t>150×150×100</t>
  </si>
  <si>
    <t>3913170520175125</t>
  </si>
  <si>
    <t>케이블트레이부속품</t>
  </si>
  <si>
    <t>HOLD DOWN CLAMP, 아연도</t>
  </si>
  <si>
    <t>3913170520175126</t>
  </si>
  <si>
    <t>찬넬스프링 너트, 아연도</t>
  </si>
  <si>
    <t>3913170520175128</t>
  </si>
  <si>
    <t>U CHANNEL, 41x41x2.6t</t>
  </si>
  <si>
    <t>3913170420385334</t>
  </si>
  <si>
    <t>멀티덕트 BODY</t>
  </si>
  <si>
    <t>AL W150 x H70</t>
  </si>
  <si>
    <t>1200</t>
  </si>
  <si>
    <t>3913170420385338</t>
  </si>
  <si>
    <t>멀티덕트 COVER</t>
  </si>
  <si>
    <t>3913170420385342</t>
  </si>
  <si>
    <t>멀티덕트 H-ELBOW</t>
  </si>
  <si>
    <t>3913171210033640</t>
  </si>
  <si>
    <t>몰드</t>
  </si>
  <si>
    <t>알루미늄(대)</t>
  </si>
  <si>
    <t>1031</t>
  </si>
  <si>
    <t>I-1206</t>
  </si>
  <si>
    <t>3913170810037051</t>
  </si>
  <si>
    <t>강제전선관용 부품</t>
  </si>
  <si>
    <t>새들 (KS) 16c</t>
  </si>
  <si>
    <t>EA</t>
  </si>
  <si>
    <t>3913170810037052</t>
  </si>
  <si>
    <t>새들 (KS) 22c</t>
  </si>
  <si>
    <t>3116210220135769</t>
  </si>
  <si>
    <t>스트롱앵커</t>
  </si>
  <si>
    <t>3/8</t>
  </si>
  <si>
    <t>I-643</t>
  </si>
  <si>
    <t>2612162922076727</t>
  </si>
  <si>
    <t>450/750V 내열비닐절연전선</t>
  </si>
  <si>
    <t>HFIX 1.78mm(2.5㎟)</t>
  </si>
  <si>
    <t>993</t>
  </si>
  <si>
    <t>I-1165</t>
  </si>
  <si>
    <t>2612162922076728</t>
  </si>
  <si>
    <t>HFIX 2.25mm(4㎟)</t>
  </si>
  <si>
    <t>2612152420683698</t>
  </si>
  <si>
    <t>접지용비닐절연전선(F-GV)</t>
  </si>
  <si>
    <t>10㎟</t>
  </si>
  <si>
    <t>994</t>
  </si>
  <si>
    <t>2612152420683699</t>
  </si>
  <si>
    <t>16㎟</t>
  </si>
  <si>
    <t>2612162920683887</t>
  </si>
  <si>
    <t>폴리에틸렌 난연케이블</t>
  </si>
  <si>
    <t>0.6/1kv F-CV 1C×25㎟</t>
  </si>
  <si>
    <t>I-1168</t>
  </si>
  <si>
    <t>2612162920683888</t>
  </si>
  <si>
    <t>0.6/1kv F-CV 1C×35㎟</t>
  </si>
  <si>
    <t>2612162920683905</t>
  </si>
  <si>
    <t>0.6/1kv F-CV 2C×10㎟</t>
  </si>
  <si>
    <t>2612162920683947</t>
  </si>
  <si>
    <t>0.6/1kv F-CV 4C×16㎟</t>
  </si>
  <si>
    <t>2612152420683714</t>
  </si>
  <si>
    <t>기기용비닐절연전선</t>
  </si>
  <si>
    <t>KIV 10㎟</t>
  </si>
  <si>
    <t>I-1167</t>
  </si>
  <si>
    <t>2612152420683716</t>
  </si>
  <si>
    <t>KIV 25㎟</t>
  </si>
  <si>
    <t>3912998720170518</t>
  </si>
  <si>
    <t>매입스위치</t>
  </si>
  <si>
    <t>250V 1로2구</t>
  </si>
  <si>
    <t>1098</t>
  </si>
  <si>
    <t>I-1288</t>
  </si>
  <si>
    <t>3912998720170519</t>
  </si>
  <si>
    <t>250V 1로3구</t>
  </si>
  <si>
    <t>3912140620170871</t>
  </si>
  <si>
    <t>콘센트</t>
  </si>
  <si>
    <t>둥근형(노출),250V1구접지</t>
  </si>
  <si>
    <t>3912140621030227</t>
  </si>
  <si>
    <t>방우콘센트</t>
  </si>
  <si>
    <t>매입-접지형, 250V 1구</t>
  </si>
  <si>
    <t>1099</t>
  </si>
  <si>
    <t>3912140621030228</t>
  </si>
  <si>
    <t>매입-접지형, 250V 2구</t>
  </si>
  <si>
    <t>3912110220186204</t>
  </si>
  <si>
    <t>주택용분전반</t>
  </si>
  <si>
    <t>6회로</t>
  </si>
  <si>
    <t>3912110320178179</t>
  </si>
  <si>
    <t>배전반 부속재</t>
  </si>
  <si>
    <t>ET</t>
  </si>
  <si>
    <t>3912110320178182</t>
  </si>
  <si>
    <t>NAME PLATE, 아크릴(대)</t>
  </si>
  <si>
    <t>3912161620167016</t>
  </si>
  <si>
    <t>배선용차단기(ABS-52)</t>
  </si>
  <si>
    <t>2P 50AF 40AT</t>
  </si>
  <si>
    <t>1068</t>
  </si>
  <si>
    <t>I-1238</t>
  </si>
  <si>
    <t>3912161620167036</t>
  </si>
  <si>
    <t>배선용차단기(ABS-102)</t>
  </si>
  <si>
    <t>2P 100AF 75AT</t>
  </si>
  <si>
    <t>3912161420167114</t>
  </si>
  <si>
    <t>누전차단기(32KGRc)</t>
  </si>
  <si>
    <t>2P 30AF 20AT</t>
  </si>
  <si>
    <t>1064</t>
  </si>
  <si>
    <t>I-1237</t>
  </si>
  <si>
    <t>3912143221650910</t>
  </si>
  <si>
    <t>압착단자</t>
  </si>
  <si>
    <t>R형동선 나압착 10 ㎟</t>
  </si>
  <si>
    <t>1019</t>
  </si>
  <si>
    <t>I-1199</t>
  </si>
  <si>
    <t>3912143221650911</t>
  </si>
  <si>
    <t>R형동선 나압착 16 ㎟</t>
  </si>
  <si>
    <t>3912143221650912</t>
  </si>
  <si>
    <t>R형동선 나압착 25 ㎟</t>
  </si>
  <si>
    <t>3912143221650913</t>
  </si>
  <si>
    <t>R형동선 나압착 35 ㎟</t>
  </si>
  <si>
    <t>3912140421650870</t>
  </si>
  <si>
    <t>압착슬리이브</t>
  </si>
  <si>
    <t>동압착슬리브-L형 16 ㎟</t>
  </si>
  <si>
    <t>I-1198</t>
  </si>
  <si>
    <t>3912140421650871</t>
  </si>
  <si>
    <t>동압착슬리브-L형 25 ㎟</t>
  </si>
  <si>
    <t>3912140421650872</t>
  </si>
  <si>
    <t>동압착슬리브-L형 35 ㎟</t>
  </si>
  <si>
    <t>3912140920171333</t>
  </si>
  <si>
    <t>와이어콘넥터</t>
  </si>
  <si>
    <t>6 ㎟ x 2가닥</t>
  </si>
  <si>
    <t>1021</t>
  </si>
  <si>
    <t>3116172710024976</t>
  </si>
  <si>
    <t>6각너트</t>
  </si>
  <si>
    <t>M10</t>
  </si>
  <si>
    <t>I-39</t>
  </si>
  <si>
    <t>3116181120136195</t>
  </si>
  <si>
    <t>스프링와샤</t>
  </si>
  <si>
    <t>D10</t>
  </si>
  <si>
    <t>I-43</t>
  </si>
  <si>
    <t>391115ZZ701Z0001</t>
  </si>
  <si>
    <t>MCC-F</t>
  </si>
  <si>
    <t>800W*1000H</t>
  </si>
  <si>
    <t>면</t>
  </si>
  <si>
    <t>견적</t>
  </si>
  <si>
    <t>391115ZZ701Z0002</t>
  </si>
  <si>
    <t>계량기철거후재설치</t>
  </si>
  <si>
    <t>디지털</t>
  </si>
  <si>
    <t>391115ZZ701Z0003</t>
  </si>
  <si>
    <t>박스커버</t>
  </si>
  <si>
    <t>맹카바</t>
  </si>
  <si>
    <t>1105</t>
  </si>
  <si>
    <t>391115ZZ701Z0004</t>
  </si>
  <si>
    <t>배관철거</t>
  </si>
  <si>
    <t>FLEX 16C-1L</t>
  </si>
  <si>
    <t>391115ZZ701Z0005</t>
  </si>
  <si>
    <t>분전반(관리8)</t>
  </si>
  <si>
    <t>600W*1000H,속판교체</t>
  </si>
  <si>
    <t>391115ZZ701Z0006</t>
  </si>
  <si>
    <t>분전반(지하소방펌프실)</t>
  </si>
  <si>
    <t>600W*700H</t>
  </si>
  <si>
    <t>391115ZZ701Z0007</t>
  </si>
  <si>
    <t>분전반11</t>
  </si>
  <si>
    <t>750W*1600H</t>
  </si>
  <si>
    <t>391115ZZ701Z0008</t>
  </si>
  <si>
    <t>분전반23</t>
  </si>
  <si>
    <t>391115ZZ701Z0009</t>
  </si>
  <si>
    <t>분전반24</t>
  </si>
  <si>
    <t>600W*800H,속판교체</t>
  </si>
  <si>
    <t>391115ZZ701Z0010</t>
  </si>
  <si>
    <t>분전반25</t>
  </si>
  <si>
    <t>391115ZZ701Z0011</t>
  </si>
  <si>
    <t>분전반27</t>
  </si>
  <si>
    <t>700W*1100H,속판교체</t>
  </si>
  <si>
    <t>391115ZZ701Z0012</t>
  </si>
  <si>
    <t>분전반보수</t>
  </si>
  <si>
    <t>함석판</t>
  </si>
  <si>
    <t>조사</t>
  </si>
  <si>
    <t>391115ZZ701Z0013</t>
  </si>
  <si>
    <t>분전반철거</t>
  </si>
  <si>
    <t>391115ZZ701Z0014</t>
  </si>
  <si>
    <t>분전반(관리8),속판</t>
  </si>
  <si>
    <t>391115ZZ701Z0015</t>
  </si>
  <si>
    <t>분전반11,속판</t>
  </si>
  <si>
    <t>391115ZZ701Z0016</t>
  </si>
  <si>
    <t>분전반23,속판</t>
  </si>
  <si>
    <t>391115ZZ701Z0017</t>
  </si>
  <si>
    <t>분전반24,속판</t>
  </si>
  <si>
    <t>391115ZZ701Z0018</t>
  </si>
  <si>
    <t>분전반25,속판</t>
  </si>
  <si>
    <t>391115ZZ701Z0019</t>
  </si>
  <si>
    <t>분전반27,속판</t>
  </si>
  <si>
    <t>391115ZZ701Z0020</t>
  </si>
  <si>
    <t>소방MCC-F</t>
  </si>
  <si>
    <t>391115ZZ701Z0021</t>
  </si>
  <si>
    <t>소방MCC조작반</t>
  </si>
  <si>
    <t>391115ZZ701Z0022</t>
  </si>
  <si>
    <t>지하소방펌프실</t>
  </si>
  <si>
    <t>391115ZZ701Z0023</t>
  </si>
  <si>
    <t>700W*1100H</t>
  </si>
  <si>
    <t>391115ZZ701Z0024</t>
  </si>
  <si>
    <t>700W*1600H</t>
  </si>
  <si>
    <t>391115ZZ701Z0025</t>
  </si>
  <si>
    <t>스위치철거</t>
  </si>
  <si>
    <t>1로2구</t>
  </si>
  <si>
    <t>391115ZZ701Z0026</t>
  </si>
  <si>
    <t>1로3구</t>
  </si>
  <si>
    <t>391115ZZ701Z0027</t>
  </si>
  <si>
    <t>임시가설분전반</t>
  </si>
  <si>
    <t>MAIN 50AT/4P,대여</t>
  </si>
  <si>
    <t>391115ZZ701Z0028</t>
  </si>
  <si>
    <t>전선철거</t>
  </si>
  <si>
    <t>HFIX2.5SQ-1L</t>
  </si>
  <si>
    <t>391115ZZ701Z0029</t>
  </si>
  <si>
    <t>HFIX 4SQ-1L</t>
  </si>
  <si>
    <t>391115ZZ701Z0030</t>
  </si>
  <si>
    <t>조명기구 (철거)</t>
  </si>
  <si>
    <t>LED15W,다운라이트</t>
  </si>
  <si>
    <t>SET</t>
  </si>
  <si>
    <t>391115ZZ701Z0031</t>
  </si>
  <si>
    <t>LED50W,슬립매입</t>
  </si>
  <si>
    <t>391115ZZ701Z0032</t>
  </si>
  <si>
    <t>조명기구A-TYPE</t>
  </si>
  <si>
    <t>LED50W,LED노출직부등</t>
  </si>
  <si>
    <t>391115ZZ701Z0033</t>
  </si>
  <si>
    <t>조명기구B-TYPE</t>
  </si>
  <si>
    <t>LED15W,LED매입다운라이트</t>
  </si>
  <si>
    <t>391115ZZ701Z0034</t>
  </si>
  <si>
    <t>조명센서</t>
  </si>
  <si>
    <t>철거후재설치</t>
  </si>
  <si>
    <t>391115ZZ701Z0035</t>
  </si>
  <si>
    <t>차단기단자커버</t>
  </si>
  <si>
    <t>보호카바,2P</t>
  </si>
  <si>
    <t>391115ZZ701Z0036</t>
  </si>
  <si>
    <t>보호카바,4P</t>
  </si>
  <si>
    <t>391115ZZ701Z0037</t>
  </si>
  <si>
    <t>차단기철거</t>
  </si>
  <si>
    <t>ELB100/75,2P</t>
  </si>
  <si>
    <t>391115ZZ701Z0038</t>
  </si>
  <si>
    <t>ELB30/30,2P</t>
  </si>
  <si>
    <t>391115ZZ701Z0039</t>
  </si>
  <si>
    <t>케이블철거후재설치</t>
  </si>
  <si>
    <t>F-CV 16SQ/4C-1L</t>
  </si>
  <si>
    <t>391115ZZ701Z0040</t>
  </si>
  <si>
    <t>F-CV 1C/50SQ-1</t>
  </si>
  <si>
    <t>391115ZZ701Z0041</t>
  </si>
  <si>
    <t>F-FR8 1C/10SQ-1</t>
  </si>
  <si>
    <t>391115ZZ701Z0042</t>
  </si>
  <si>
    <t>F-FR8 1C/16SQ-1</t>
  </si>
  <si>
    <t>391115ZZ701Z0043</t>
  </si>
  <si>
    <t>F-FR8 1C/25SQ-1</t>
  </si>
  <si>
    <t>391115ZZ701Z0044</t>
  </si>
  <si>
    <t>콘센트철거</t>
  </si>
  <si>
    <t>노출1구,원형</t>
  </si>
  <si>
    <t>391115ZZ701Z0045</t>
  </si>
  <si>
    <t>매입2구,방우형</t>
  </si>
  <si>
    <t>L001010101000075</t>
  </si>
  <si>
    <t>노 무 비</t>
  </si>
  <si>
    <t>내선전공</t>
  </si>
  <si>
    <t>인</t>
  </si>
  <si>
    <t>L001010101000078</t>
  </si>
  <si>
    <t>저압케이블전공</t>
  </si>
  <si>
    <t>L001010101000081</t>
  </si>
  <si>
    <t>배전전공</t>
  </si>
  <si>
    <t>L001010101000002</t>
  </si>
  <si>
    <t>보통인부</t>
  </si>
  <si>
    <t>시설단가</t>
    <phoneticPr fontId="2" type="noConversion"/>
  </si>
  <si>
    <t>거래가격</t>
    <phoneticPr fontId="2" type="noConversion"/>
  </si>
  <si>
    <t>물가자료</t>
    <phoneticPr fontId="2" type="noConversion"/>
  </si>
  <si>
    <t>조사단가1</t>
    <phoneticPr fontId="2" type="noConversion"/>
  </si>
  <si>
    <t>조사단가2</t>
    <phoneticPr fontId="2" type="noConversion"/>
  </si>
  <si>
    <t>총줄수-&gt;</t>
  </si>
  <si>
    <t>123</t>
  </si>
  <si>
    <t>[ 농수산물도매시장 노후전기설비정비 실시설계  ] - 합산자재목록</t>
  </si>
  <si>
    <t>107</t>
  </si>
  <si>
    <t>공종줄</t>
  </si>
  <si>
    <t>800</t>
  </si>
  <si>
    <t>56900017016</t>
  </si>
  <si>
    <t>전기5-29</t>
  </si>
  <si>
    <t>29</t>
  </si>
  <si>
    <t>56950170112</t>
  </si>
  <si>
    <t>EAA110620000</t>
  </si>
  <si>
    <t>EPS SUPPORT</t>
  </si>
  <si>
    <t>W150-1단</t>
  </si>
  <si>
    <t>식</t>
  </si>
  <si>
    <t>일목줄</t>
  </si>
  <si>
    <t>59754967601</t>
  </si>
  <si>
    <t>53060807001</t>
  </si>
  <si>
    <t>노임계</t>
  </si>
  <si>
    <t>53100027003</t>
  </si>
  <si>
    <t>52100327001</t>
  </si>
  <si>
    <t>59754967571</t>
  </si>
  <si>
    <t>59754967581</t>
  </si>
  <si>
    <t>A0300000000</t>
  </si>
  <si>
    <t>RENT000000000006</t>
  </si>
  <si>
    <t>[ 공 구 손 료 ]</t>
  </si>
  <si>
    <t>노무비의 3 %</t>
  </si>
  <si>
    <t>합계줄</t>
  </si>
  <si>
    <t>( 합       계 )</t>
  </si>
  <si>
    <t>001</t>
  </si>
  <si>
    <t>전기5-1</t>
  </si>
  <si>
    <t>56900017031</t>
  </si>
  <si>
    <t>전기4-31</t>
  </si>
  <si>
    <t>56900017041</t>
  </si>
  <si>
    <t>전기5-3</t>
  </si>
  <si>
    <t>전기5-4</t>
  </si>
  <si>
    <t>전기5-7</t>
  </si>
  <si>
    <t>전기5-8</t>
  </si>
  <si>
    <t>전기5-9</t>
  </si>
  <si>
    <t>전기5-10</t>
  </si>
  <si>
    <t>전기3-38</t>
  </si>
  <si>
    <t>56900017076</t>
  </si>
  <si>
    <t>전기5-11</t>
  </si>
  <si>
    <t>전기5-13</t>
  </si>
  <si>
    <t>전기5-23-2</t>
  </si>
  <si>
    <t>전기5-23-1</t>
  </si>
  <si>
    <t>전기5-18-1</t>
  </si>
  <si>
    <t>전기5-19</t>
  </si>
  <si>
    <t>전기4-37</t>
  </si>
  <si>
    <t>전기5-21</t>
  </si>
  <si>
    <t>전기5-22</t>
  </si>
  <si>
    <t>전기5-23</t>
  </si>
  <si>
    <t>전기5-25-3</t>
  </si>
  <si>
    <t>59750337004</t>
  </si>
  <si>
    <t>59753097002</t>
  </si>
  <si>
    <t>59753178002</t>
  </si>
  <si>
    <t>A0600000000</t>
  </si>
  <si>
    <t>RENT000000000001</t>
  </si>
  <si>
    <t>[ 배관 부속재 ]</t>
  </si>
  <si>
    <t>CD 전선관의 40 %</t>
  </si>
  <si>
    <t>A0500000000</t>
  </si>
  <si>
    <t>RENT000000000002</t>
  </si>
  <si>
    <t>전선관의 15 %</t>
  </si>
  <si>
    <t>59753017003</t>
  </si>
  <si>
    <t>59753017004</t>
  </si>
  <si>
    <t>59753017043</t>
  </si>
  <si>
    <t>59759027002</t>
  </si>
  <si>
    <t>59753767011</t>
  </si>
  <si>
    <t>59753767041</t>
  </si>
  <si>
    <t>59753767201</t>
  </si>
  <si>
    <t>59753767231</t>
  </si>
  <si>
    <t>59754857116</t>
  </si>
  <si>
    <t>59753857031</t>
  </si>
  <si>
    <t>59754997004</t>
  </si>
  <si>
    <t>59754997008</t>
  </si>
  <si>
    <t>59754997012</t>
  </si>
  <si>
    <t>59350187013</t>
  </si>
  <si>
    <t>MM300001801</t>
  </si>
  <si>
    <t>MM300001802</t>
  </si>
  <si>
    <t>MM481669624</t>
  </si>
  <si>
    <t>E1450667003</t>
  </si>
  <si>
    <t>E1450927204</t>
  </si>
  <si>
    <t>E1450927205</t>
  </si>
  <si>
    <t>E1450287506</t>
  </si>
  <si>
    <t>E1450287508</t>
  </si>
  <si>
    <t>E1450287524</t>
  </si>
  <si>
    <t>E1450287565</t>
  </si>
  <si>
    <t>MM510075121</t>
  </si>
  <si>
    <t>MM510075123</t>
  </si>
  <si>
    <t>59301517002</t>
  </si>
  <si>
    <t>59301517003</t>
  </si>
  <si>
    <t>59350317301</t>
  </si>
  <si>
    <t>59350317207</t>
  </si>
  <si>
    <t>59350317208</t>
  </si>
  <si>
    <t>MM300011413</t>
  </si>
  <si>
    <t>61100117511</t>
  </si>
  <si>
    <t>61100117551</t>
  </si>
  <si>
    <t>MM300014904</t>
  </si>
  <si>
    <t>MM300015302</t>
  </si>
  <si>
    <t>MM300020604</t>
  </si>
  <si>
    <t>E9400267005</t>
  </si>
  <si>
    <t>E9400267006</t>
  </si>
  <si>
    <t>E9400267007</t>
  </si>
  <si>
    <t>E9400267008</t>
  </si>
  <si>
    <t>MM510681437</t>
  </si>
  <si>
    <t>MM510681438</t>
  </si>
  <si>
    <t>MM510681439</t>
  </si>
  <si>
    <t>59400247002</t>
  </si>
  <si>
    <t>MM066585821</t>
  </si>
  <si>
    <t>MM066585822</t>
  </si>
  <si>
    <t>MM066579852</t>
  </si>
  <si>
    <t>MM066507827</t>
  </si>
  <si>
    <t>MM068160542</t>
  </si>
  <si>
    <t>MM066585825</t>
  </si>
  <si>
    <t>MM068160924</t>
  </si>
  <si>
    <t>MM068158876</t>
  </si>
  <si>
    <t>MM068158877</t>
  </si>
  <si>
    <t>MM068158878</t>
  </si>
  <si>
    <t>MM066585826</t>
  </si>
  <si>
    <t>MM066585827</t>
  </si>
  <si>
    <t>MM066585828</t>
  </si>
  <si>
    <t>MM068160550</t>
  </si>
  <si>
    <t>MM068160932</t>
  </si>
  <si>
    <t>MM068158882</t>
  </si>
  <si>
    <t>MM068158883</t>
  </si>
  <si>
    <t>MM068158884</t>
  </si>
  <si>
    <t>MM066585829</t>
  </si>
  <si>
    <t>MM066585830</t>
  </si>
  <si>
    <t>MM066585831</t>
  </si>
  <si>
    <t>MM066585832</t>
  </si>
  <si>
    <t>MM066585833</t>
  </si>
  <si>
    <t>MM066585834</t>
  </si>
  <si>
    <t>MM066579833</t>
  </si>
  <si>
    <t>MM066579834</t>
  </si>
  <si>
    <t>MM068160254</t>
  </si>
  <si>
    <t>MM066507826</t>
  </si>
  <si>
    <t>MM066594101</t>
  </si>
  <si>
    <t>MM066507816</t>
  </si>
  <si>
    <t>MM066507815</t>
  </si>
  <si>
    <t>MM066507813</t>
  </si>
  <si>
    <t>MM066507814</t>
  </si>
  <si>
    <t>MM066510296</t>
  </si>
  <si>
    <t>MM066585844</t>
  </si>
  <si>
    <t>MM066585845</t>
  </si>
  <si>
    <t>MM066585846</t>
  </si>
  <si>
    <t>MM066585847</t>
  </si>
  <si>
    <t>MM066585848</t>
  </si>
  <si>
    <t>MM068161330</t>
  </si>
  <si>
    <t>MM066594722</t>
  </si>
  <si>
    <t>MM066594723</t>
  </si>
  <si>
    <t>MM066594724</t>
  </si>
  <si>
    <t>MM066579835</t>
  </si>
  <si>
    <t>MM066579841</t>
  </si>
  <si>
    <t>A0100000000</t>
  </si>
  <si>
    <t>RENT000000000003</t>
  </si>
  <si>
    <t>[ 소모 잡자재 ]</t>
  </si>
  <si>
    <t>전선, 전선관의 2 %</t>
  </si>
  <si>
    <t>2.0</t>
  </si>
  <si>
    <t>[농수산물도매시장 노후전기설비정비 실시설계]</t>
  </si>
  <si>
    <t>Total</t>
  </si>
  <si>
    <t>대 한 민 국 주 식 회 사</t>
    <phoneticPr fontId="2" type="noConversion"/>
  </si>
  <si>
    <t>內 譯 書</t>
    <phoneticPr fontId="2" type="noConversion"/>
  </si>
  <si>
    <t>아래와 같이 內譯書를 제출합니다.</t>
    <phoneticPr fontId="2" type="noConversion"/>
  </si>
  <si>
    <t>ㅇ ㅇ 시 ㅇ  ㅇ  구 ㅇ  ㅇ  동</t>
    <phoneticPr fontId="2" type="noConversion"/>
  </si>
  <si>
    <t xml:space="preserve">             貴下</t>
    <phoneticPr fontId="2" type="noConversion"/>
  </si>
  <si>
    <t>2026년 8월 31일</t>
    <phoneticPr fontId="2" type="noConversion"/>
  </si>
  <si>
    <t>대표이사    홍      길      동</t>
    <phoneticPr fontId="2" type="noConversion"/>
  </si>
  <si>
    <t>대표전화   (02) 0 0 0 - 0 0 0 0</t>
    <phoneticPr fontId="2" type="noConversion"/>
  </si>
  <si>
    <t>샘플</t>
    <phoneticPr fontId="2" type="noConversion"/>
  </si>
  <si>
    <t>팩    스   (02) 0 0 0 - 0 0 0 0</t>
    <phoneticPr fontId="2" type="noConversion"/>
  </si>
  <si>
    <t>1. 부가가치세 별도</t>
    <phoneticPr fontId="2" type="noConversion"/>
  </si>
  <si>
    <t>2. 한전불입금 별도</t>
  </si>
  <si>
    <t>원 가 계 산 서</t>
    <phoneticPr fontId="2" type="noConversion"/>
  </si>
  <si>
    <t>공사기간: 6 개월</t>
    <phoneticPr fontId="2" type="noConversion"/>
  </si>
  <si>
    <t>농수산물도매시장 노후전기설비정비 실시설계 전기공사</t>
  </si>
  <si>
    <t>직 접 재 료 비</t>
    <phoneticPr fontId="2" type="noConversion"/>
  </si>
  <si>
    <t>간 접 재 료 비</t>
    <phoneticPr fontId="2" type="noConversion"/>
  </si>
  <si>
    <t>( 소      계 )</t>
    <phoneticPr fontId="2" type="noConversion"/>
  </si>
  <si>
    <t>직 접 노 무 비</t>
    <phoneticPr fontId="2" type="noConversion"/>
  </si>
  <si>
    <t>간 접 노 무 비</t>
    <phoneticPr fontId="2" type="noConversion"/>
  </si>
  <si>
    <t>(직접 노무비) * 17.9 %</t>
  </si>
  <si>
    <t>산 재 보 험 료</t>
    <phoneticPr fontId="2" type="noConversion"/>
  </si>
  <si>
    <t>(노무비) * 3.56 %</t>
  </si>
  <si>
    <t>고 용 보 험 료</t>
    <phoneticPr fontId="2" type="noConversion"/>
  </si>
  <si>
    <t>(노무비) * 1.01 %</t>
  </si>
  <si>
    <t>퇴 직 금 공 제</t>
    <phoneticPr fontId="2" type="noConversion"/>
  </si>
  <si>
    <t>(직접 노무비) * 2.3 %</t>
  </si>
  <si>
    <t>안 전 관 리 비</t>
    <phoneticPr fontId="2" type="noConversion"/>
  </si>
  <si>
    <t>(재료+직노+관급재/1.1) * 3.11 %</t>
  </si>
  <si>
    <t>기  타  경  비</t>
    <phoneticPr fontId="2" type="noConversion"/>
  </si>
  <si>
    <t>(재료+노무) * 5.2 %</t>
  </si>
  <si>
    <t>건 강 보 험 료</t>
    <phoneticPr fontId="2" type="noConversion"/>
  </si>
  <si>
    <t>(직접 노무비) * 3.595 %</t>
  </si>
  <si>
    <t>연 금 보 험 료</t>
    <phoneticPr fontId="2" type="noConversion"/>
  </si>
  <si>
    <t>(직접 노무비) * 4.75 %</t>
  </si>
  <si>
    <t>노인장기요양보험</t>
    <phoneticPr fontId="2" type="noConversion"/>
  </si>
  <si>
    <t>(건강 보험료) * 13.14 %</t>
  </si>
  <si>
    <t>법 정 분 담 금</t>
    <phoneticPr fontId="2" type="noConversion"/>
  </si>
  <si>
    <t>(노무비) * 0.096 %</t>
  </si>
  <si>
    <t>( 소      계 )</t>
    <phoneticPr fontId="2" type="noConversion"/>
  </si>
  <si>
    <t>일 반 관 리 비</t>
    <phoneticPr fontId="2" type="noConversion"/>
  </si>
  <si>
    <t>(재료+노무+경비) * 8 %</t>
  </si>
  <si>
    <t>이          윤</t>
    <phoneticPr fontId="2" type="noConversion"/>
  </si>
  <si>
    <t>(노무+경비+일반관리비) * 14.742 %</t>
  </si>
  <si>
    <t>( 총  원  가 )</t>
    <phoneticPr fontId="2" type="noConversion"/>
  </si>
  <si>
    <t>부 가 가 치 세</t>
    <phoneticPr fontId="2" type="noConversion"/>
  </si>
  <si>
    <t>( 총      계 )</t>
    <phoneticPr fontId="2" type="noConversion"/>
  </si>
  <si>
    <t>( 순 공 사 비 계 )</t>
    <phoneticPr fontId="2" type="noConversion"/>
  </si>
  <si>
    <t>본 파일은 이지테크에서 2번 옵션으로 만들었습니다.</t>
  </si>
  <si>
    <t xml:space="preserve">                            [ 공사기간 ] : 6개월이하</t>
    <phoneticPr fontId="18" type="noConversion"/>
  </si>
  <si>
    <t>비목</t>
    <phoneticPr fontId="18" type="noConversion"/>
  </si>
  <si>
    <t>구                    성                    비</t>
    <phoneticPr fontId="18" type="noConversion"/>
  </si>
  <si>
    <t>계  산  금  액</t>
    <phoneticPr fontId="18" type="noConversion"/>
  </si>
  <si>
    <t>비          고</t>
    <phoneticPr fontId="18" type="noConversion"/>
  </si>
  <si>
    <t>순     공     사</t>
    <phoneticPr fontId="18" type="noConversion"/>
  </si>
  <si>
    <t>재료비</t>
    <phoneticPr fontId="18" type="noConversion"/>
  </si>
  <si>
    <t>①직접재료비</t>
    <phoneticPr fontId="18" type="noConversion"/>
  </si>
  <si>
    <t>②간접재료비</t>
    <phoneticPr fontId="18" type="noConversion"/>
  </si>
  <si>
    <t>③작업부산물</t>
    <phoneticPr fontId="18" type="noConversion"/>
  </si>
  <si>
    <t xml:space="preserve">   [ 재료비소계 ]</t>
    <phoneticPr fontId="18" type="noConversion"/>
  </si>
  <si>
    <t>노무비</t>
    <phoneticPr fontId="18" type="noConversion"/>
  </si>
  <si>
    <t>①직접노무비</t>
    <phoneticPr fontId="18" type="noConversion"/>
  </si>
  <si>
    <t>②간접노무비</t>
    <phoneticPr fontId="18" type="noConversion"/>
  </si>
  <si>
    <t>①직접노무비</t>
    <phoneticPr fontId="18" type="noConversion"/>
  </si>
  <si>
    <t>*</t>
    <phoneticPr fontId="18" type="noConversion"/>
  </si>
  <si>
    <t xml:space="preserve">   [ 노무비소계 ]</t>
    <phoneticPr fontId="18" type="noConversion"/>
  </si>
  <si>
    <t>경      비</t>
    <phoneticPr fontId="18" type="noConversion"/>
  </si>
  <si>
    <t>①산출경비</t>
    <phoneticPr fontId="18" type="noConversion"/>
  </si>
  <si>
    <t>②기타경비</t>
    <phoneticPr fontId="18" type="noConversion"/>
  </si>
  <si>
    <t>[ 재료비소계 + 노무비소계 ]</t>
    <phoneticPr fontId="18" type="noConversion"/>
  </si>
  <si>
    <t>③산재보험료</t>
    <phoneticPr fontId="18" type="noConversion"/>
  </si>
  <si>
    <t>[ 노무비소계 ]</t>
    <phoneticPr fontId="18" type="noConversion"/>
  </si>
  <si>
    <t>*</t>
    <phoneticPr fontId="18" type="noConversion"/>
  </si>
  <si>
    <t>④고용보험료</t>
    <phoneticPr fontId="18" type="noConversion"/>
  </si>
  <si>
    <t>[ 노무비소계 ]</t>
    <phoneticPr fontId="18" type="noConversion"/>
  </si>
  <si>
    <t>⑤건강보험료</t>
    <phoneticPr fontId="18" type="noConversion"/>
  </si>
  <si>
    <t>①직접노무비</t>
  </si>
  <si>
    <t>⑥연금보험료</t>
    <phoneticPr fontId="18" type="noConversion"/>
  </si>
  <si>
    <t>⑦노인장기요양보험료</t>
    <phoneticPr fontId="18" type="noConversion"/>
  </si>
  <si>
    <t>⑧퇴직공제부금비</t>
    <phoneticPr fontId="18" type="noConversion"/>
  </si>
  <si>
    <t>1억이상</t>
    <phoneticPr fontId="18" type="noConversion"/>
  </si>
  <si>
    <t>⑨ 산업안전보건관리비</t>
    <phoneticPr fontId="18" type="noConversion"/>
  </si>
  <si>
    <t xml:space="preserve"> [ 재료비소계 + 직접노무비  ]</t>
    <phoneticPr fontId="18" type="noConversion"/>
  </si>
  <si>
    <t>2천만원이상</t>
    <phoneticPr fontId="2" type="noConversion"/>
  </si>
  <si>
    <t>⑨ 산업안전보건관리비-a</t>
    <phoneticPr fontId="18" type="noConversion"/>
  </si>
  <si>
    <t xml:space="preserve"> [ 재료비소계 + 직접노무비 + 도급자관급/1.1 ]</t>
    <phoneticPr fontId="18" type="noConversion"/>
  </si>
  <si>
    <t>5억미만관급</t>
    <phoneticPr fontId="18" type="noConversion"/>
  </si>
  <si>
    <t>⑨ 산업안전보건관리비-b</t>
    <phoneticPr fontId="18" type="noConversion"/>
  </si>
  <si>
    <t xml:space="preserve"> [ 재료비소계 + 직접노무비 ]</t>
    <phoneticPr fontId="18" type="noConversion"/>
  </si>
  <si>
    <t>⑨ 산업안전보건관리비-aa</t>
    <phoneticPr fontId="18" type="noConversion"/>
  </si>
  <si>
    <t>+</t>
    <phoneticPr fontId="18" type="noConversion"/>
  </si>
  <si>
    <t>5억이상50억미만</t>
    <phoneticPr fontId="18" type="noConversion"/>
  </si>
  <si>
    <t>⑨ 산업안전보건관리비-bb</t>
    <phoneticPr fontId="18" type="noConversion"/>
  </si>
  <si>
    <t>⑩ 적용산업안전보건관리비</t>
    <phoneticPr fontId="18" type="noConversion"/>
  </si>
  <si>
    <t>a.b[aa.bb]안중적은금액</t>
    <phoneticPr fontId="18" type="noConversion"/>
  </si>
  <si>
    <r>
      <rPr>
        <sz val="9"/>
        <color theme="1"/>
        <rFont val="맑은 고딕"/>
        <family val="3"/>
        <charset val="129"/>
      </rPr>
      <t xml:space="preserve">⑪ </t>
    </r>
    <r>
      <rPr>
        <sz val="9"/>
        <color theme="1"/>
        <rFont val="맑은 고딕"/>
        <family val="3"/>
        <charset val="129"/>
        <scheme val="minor"/>
      </rPr>
      <t>법정분담금</t>
    </r>
    <phoneticPr fontId="2" type="noConversion"/>
  </si>
  <si>
    <t>노무비</t>
    <phoneticPr fontId="2" type="noConversion"/>
  </si>
  <si>
    <t>석면분담금,임금채권부담금</t>
    <phoneticPr fontId="2" type="noConversion"/>
  </si>
  <si>
    <t>[ 경  비  소  계 ]</t>
    <phoneticPr fontId="18" type="noConversion"/>
  </si>
  <si>
    <t>순 공 사 비 소 계</t>
    <phoneticPr fontId="18" type="noConversion"/>
  </si>
  <si>
    <t>재료비+노무비+경비</t>
    <phoneticPr fontId="18" type="noConversion"/>
  </si>
  <si>
    <t>일  반  관  리  비</t>
    <phoneticPr fontId="18" type="noConversion"/>
  </si>
  <si>
    <t>순공사비소계</t>
    <phoneticPr fontId="18" type="noConversion"/>
  </si>
  <si>
    <t>8.0%.6.5%.5.0%.4.5%</t>
    <phoneticPr fontId="18" type="noConversion"/>
  </si>
  <si>
    <t>이                윤</t>
    <phoneticPr fontId="18" type="noConversion"/>
  </si>
  <si>
    <t>노무비+경비+일반관리비</t>
    <phoneticPr fontId="18" type="noConversion"/>
  </si>
  <si>
    <t>15%.12%.10%.9.0%</t>
    <phoneticPr fontId="18" type="noConversion"/>
  </si>
  <si>
    <t>공 급 가 액(총원가)</t>
    <phoneticPr fontId="18" type="noConversion"/>
  </si>
  <si>
    <t>순공사비+일반관리비+이윤</t>
    <phoneticPr fontId="18" type="noConversion"/>
  </si>
  <si>
    <t>부  가  가  치  세</t>
    <phoneticPr fontId="18" type="noConversion"/>
  </si>
  <si>
    <t>공급가액(총원가)</t>
    <phoneticPr fontId="18" type="noConversion"/>
  </si>
  <si>
    <t>전기공사 손해배상공제</t>
    <phoneticPr fontId="18" type="noConversion"/>
  </si>
  <si>
    <t>도    급    금    액</t>
    <phoneticPr fontId="18" type="noConversion"/>
  </si>
  <si>
    <t>공급가액(총원가)+부가가치세+전기공사 손해배상공제</t>
    <phoneticPr fontId="18" type="noConversion"/>
  </si>
  <si>
    <t>총   공   사   비</t>
    <phoneticPr fontId="18" type="noConversion"/>
  </si>
  <si>
    <t>간노,기타경비,일반관리비,이윤</t>
    <phoneticPr fontId="2" type="noConversion"/>
  </si>
  <si>
    <t>번호</t>
    <phoneticPr fontId="2" type="noConversion"/>
  </si>
  <si>
    <t>…</t>
    <phoneticPr fontId="2" type="noConversion"/>
  </si>
  <si>
    <t>코드</t>
    <phoneticPr fontId="2" type="noConversion"/>
  </si>
  <si>
    <t>명   칭</t>
    <phoneticPr fontId="2" type="noConversion"/>
  </si>
  <si>
    <t>규   격</t>
    <phoneticPr fontId="2" type="noConversion"/>
  </si>
  <si>
    <t>단위</t>
    <phoneticPr fontId="2" type="noConversion"/>
  </si>
  <si>
    <t>수량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</si>
  <si>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</si>
  <si>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</si>
  <si>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</si>
  <si>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계</t>
    <phoneticPr fontId="2" type="noConversion"/>
  </si>
  <si>
    <t>비고</t>
    <phoneticPr fontId="2" type="noConversion"/>
  </si>
  <si>
    <t>단가</t>
    <phoneticPr fontId="2" type="noConversion"/>
  </si>
  <si>
    <t>금액</t>
    <phoneticPr fontId="2" type="noConversion"/>
  </si>
  <si>
    <t>분전반27</t>
    <phoneticPr fontId="2" type="noConversion"/>
  </si>
  <si>
    <t>700W*1100H</t>
    <phoneticPr fontId="2" type="noConversion"/>
  </si>
  <si>
    <t>면</t>
    <phoneticPr fontId="2" type="noConversion"/>
  </si>
  <si>
    <t>지하소방펌프실</t>
    <phoneticPr fontId="2" type="noConversion"/>
  </si>
  <si>
    <t>600W*700H*150D</t>
    <phoneticPr fontId="2" type="noConversion"/>
  </si>
  <si>
    <t>소방MCC조작반</t>
    <phoneticPr fontId="2" type="noConversion"/>
  </si>
  <si>
    <t>700W*1600H*200D</t>
    <phoneticPr fontId="2" type="noConversion"/>
  </si>
  <si>
    <t>MCC-F</t>
    <phoneticPr fontId="2" type="noConversion"/>
  </si>
  <si>
    <t>800W*1000H*200D</t>
    <phoneticPr fontId="2" type="noConversion"/>
  </si>
  <si>
    <t>소방MCC-F</t>
    <phoneticPr fontId="2" type="noConversion"/>
  </si>
  <si>
    <t>700W*1100H*200D</t>
    <phoneticPr fontId="2" type="noConversion"/>
  </si>
  <si>
    <t>노임 계산 정보</t>
    <phoneticPr fontId="2" type="noConversion"/>
  </si>
  <si>
    <t>부속재 및 손료</t>
    <phoneticPr fontId="2" type="noConversion"/>
  </si>
  <si>
    <t>목차코드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</si>
  <si>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</si>
  <si>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</si>
  <si>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</si>
  <si>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</si>
  <si>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CD배관재</t>
    <phoneticPr fontId="2" type="noConversion"/>
  </si>
  <si>
    <t>일반배관재</t>
    <phoneticPr fontId="2" type="noConversion"/>
  </si>
  <si>
    <t>소모재</t>
    <phoneticPr fontId="2" type="noConversion"/>
  </si>
  <si>
    <t>자재계</t>
    <phoneticPr fontId="2" type="noConversion"/>
  </si>
  <si>
    <t>700Wx1100H</t>
  </si>
  <si>
    <t>NAME PLATE</t>
    <phoneticPr fontId="2" type="noConversion"/>
  </si>
  <si>
    <t>아크릴(M)</t>
  </si>
  <si>
    <t>개</t>
    <phoneticPr fontId="2" type="noConversion"/>
  </si>
  <si>
    <t>CARD HOLDER</t>
  </si>
  <si>
    <t>DOOR HANDLE</t>
    <phoneticPr fontId="2" type="noConversion"/>
  </si>
  <si>
    <t>PUSH (L)</t>
  </si>
  <si>
    <t>E T</t>
    <phoneticPr fontId="2" type="noConversion"/>
  </si>
  <si>
    <t>12 P</t>
  </si>
  <si>
    <t>3.0 mm x 15 mm</t>
  </si>
  <si>
    <t>150㎟ 이하</t>
  </si>
  <si>
    <t>AG 도금</t>
    <phoneticPr fontId="2" type="noConversion"/>
  </si>
  <si>
    <t>KG</t>
    <phoneticPr fontId="2" type="noConversion"/>
  </si>
  <si>
    <t>4P 600V 50AF</t>
  </si>
  <si>
    <t>110/220V 2P 30AF</t>
  </si>
  <si>
    <t>전기기계조립원</t>
    <phoneticPr fontId="2" type="noConversion"/>
  </si>
  <si>
    <t>전선원</t>
    <phoneticPr fontId="2" type="noConversion"/>
  </si>
  <si>
    <t>부품조립원</t>
    <phoneticPr fontId="2" type="noConversion"/>
  </si>
  <si>
    <t>단순노무종사원</t>
    <phoneticPr fontId="2" type="noConversion"/>
  </si>
  <si>
    <t>분전반 매입 BOX(STEEL 1.6t)</t>
  </si>
  <si>
    <t>600Wx700Hx150D</t>
  </si>
  <si>
    <t>DOOR (STS 1.5t)</t>
  </si>
  <si>
    <t>600Wx700H</t>
  </si>
  <si>
    <t>NAME PLATE</t>
  </si>
  <si>
    <t>DOOR HANDLE</t>
  </si>
  <si>
    <t>E T</t>
  </si>
  <si>
    <t>8 P</t>
  </si>
  <si>
    <t>MAIN BUS BAR</t>
  </si>
  <si>
    <t>BUS BAR</t>
  </si>
  <si>
    <t>INSULATION TUBE</t>
  </si>
  <si>
    <t>AG 도금</t>
  </si>
  <si>
    <t>kg</t>
  </si>
  <si>
    <t>M C (GMC-22)</t>
  </si>
  <si>
    <t>4kW/220V  7.5kW/440V</t>
  </si>
  <si>
    <t>대</t>
  </si>
  <si>
    <t>M C C B (표준형)</t>
  </si>
  <si>
    <t>E L C B  (분전반)</t>
  </si>
  <si>
    <t>TIMER (정전보상용)</t>
  </si>
  <si>
    <t>AC110/220V 24HR</t>
  </si>
  <si>
    <t>LOAD WIRE</t>
  </si>
  <si>
    <t>KIV 6㎟</t>
  </si>
  <si>
    <t>단자대(TB)</t>
  </si>
  <si>
    <t>3P 30A</t>
  </si>
  <si>
    <t>P B L S (LED)</t>
  </si>
  <si>
    <t>DC 110V/125V 25mm</t>
  </si>
  <si>
    <t>SELECTOR S/W</t>
  </si>
  <si>
    <t>300V 6A 2a 2b</t>
  </si>
  <si>
    <t>DIAZED FUSE</t>
  </si>
  <si>
    <t>25A 이하 W/HOLDER</t>
  </si>
  <si>
    <t>이면배선</t>
  </si>
  <si>
    <t>KIV 2.5㎟</t>
  </si>
  <si>
    <t>외함(MCC반)</t>
  </si>
  <si>
    <t>700Wx1600Hx200D</t>
  </si>
  <si>
    <t>W/KEY (L)</t>
  </si>
  <si>
    <t>아크릴(L)</t>
  </si>
  <si>
    <t>PVC DUCT</t>
  </si>
  <si>
    <t>30x40x2m W/COVER</t>
  </si>
  <si>
    <t>EARTH BAR</t>
  </si>
  <si>
    <t>6.0 mm x 25 mm</t>
  </si>
  <si>
    <t>디지털 파워미터</t>
  </si>
  <si>
    <t>4P 600V 100AF</t>
  </si>
  <si>
    <t>C T  1150V  권선형</t>
  </si>
  <si>
    <t>300/5A  40VA  1.0  40In</t>
  </si>
  <si>
    <t>3P 600V 50AF</t>
  </si>
  <si>
    <t>M C (GMC-9)</t>
  </si>
  <si>
    <t>2.2kW/220V  2.7kW/440V</t>
  </si>
  <si>
    <t>E O C R</t>
  </si>
  <si>
    <t>ZCT</t>
  </si>
  <si>
    <t>CONDENSER</t>
  </si>
  <si>
    <t>LOAD TB</t>
  </si>
  <si>
    <t>3P 60A</t>
  </si>
  <si>
    <t>KIV 4㎟</t>
  </si>
  <si>
    <t>A U X - R</t>
  </si>
  <si>
    <t>AC 2a2b</t>
  </si>
  <si>
    <t>4P 30A</t>
  </si>
  <si>
    <t>P L (LED)</t>
  </si>
  <si>
    <t>DC 110/125V 30mm</t>
  </si>
  <si>
    <t>300V 6A 1a 1b</t>
  </si>
  <si>
    <t>아크릴(S)</t>
  </si>
  <si>
    <t>압착터미날</t>
  </si>
  <si>
    <t>4㎟</t>
  </si>
  <si>
    <t>FLOAT S/W</t>
  </si>
  <si>
    <t>M C (GMC-12)</t>
  </si>
  <si>
    <t>2.7kW/220V  4kW/440V</t>
  </si>
  <si>
    <t>(380/440V) 3P 20UF</t>
  </si>
  <si>
    <t>M C (GMC-32)</t>
  </si>
  <si>
    <t>5.5kW/220V  11kW/440V</t>
  </si>
  <si>
    <t>(380/440V) 3P 100UF</t>
  </si>
  <si>
    <t>2.5㎟</t>
  </si>
  <si>
    <t>TIMER (Ｙ-Δ 용)</t>
  </si>
  <si>
    <t>AC110/220V 1-60S</t>
  </si>
  <si>
    <t>6㎟</t>
  </si>
  <si>
    <t>800Wx1000Hx200D</t>
  </si>
  <si>
    <t>700Wx1100Hx200D</t>
  </si>
  <si>
    <t>3P 600V 100AF</t>
  </si>
  <si>
    <t>M C (GMC-50)</t>
  </si>
  <si>
    <t>11kW/220V   22kW/440V</t>
  </si>
  <si>
    <t>M C (GMC-40)</t>
  </si>
  <si>
    <t>7.5kW/220V 15kW/440V</t>
  </si>
  <si>
    <t>(380/440V) 3P 150UF</t>
  </si>
  <si>
    <t>3P 100A</t>
  </si>
  <si>
    <t>KIV 16㎟</t>
  </si>
  <si>
    <t>공종코드</t>
    <phoneticPr fontId="2" type="noConversion"/>
  </si>
  <si>
    <t>공량산출</t>
    <phoneticPr fontId="2" type="noConversion"/>
  </si>
  <si>
    <t>단 위 단 가 산 출</t>
    <phoneticPr fontId="2" type="noConversion"/>
  </si>
  <si>
    <t>품셈근거</t>
    <phoneticPr fontId="2" type="noConversion"/>
  </si>
  <si>
    <t>비고</t>
    <phoneticPr fontId="2" type="noConversion"/>
  </si>
  <si>
    <t>결정수량</t>
    <phoneticPr fontId="2" type="noConversion"/>
  </si>
  <si>
    <t>할증</t>
    <phoneticPr fontId="2" type="noConversion"/>
  </si>
  <si>
    <t>산출수량</t>
    <phoneticPr fontId="2" type="noConversion"/>
  </si>
  <si>
    <t>재할%</t>
    <phoneticPr fontId="2" type="noConversion"/>
  </si>
  <si>
    <t>명칭</t>
    <phoneticPr fontId="2" type="noConversion"/>
  </si>
  <si>
    <t>품셈</t>
    <phoneticPr fontId="2" type="noConversion"/>
  </si>
  <si>
    <t>할증%</t>
    <phoneticPr fontId="2" type="noConversion"/>
  </si>
  <si>
    <t>공량</t>
    <phoneticPr fontId="2" type="noConversion"/>
  </si>
  <si>
    <t>단가</t>
    <phoneticPr fontId="2" type="noConversion"/>
  </si>
  <si>
    <t>단위단가</t>
    <phoneticPr fontId="2" type="noConversion"/>
  </si>
  <si>
    <t>단위계</t>
    <phoneticPr fontId="2" type="noConversion"/>
  </si>
  <si>
    <t>강제전선관용 부품</t>
    <phoneticPr fontId="2" type="noConversion"/>
  </si>
  <si>
    <t>노말밴드, 아연도36 mm</t>
    <phoneticPr fontId="2" type="noConversion"/>
  </si>
  <si>
    <t>1029</t>
    <phoneticPr fontId="2" type="noConversion"/>
  </si>
  <si>
    <t>I-1203</t>
    <phoneticPr fontId="2" type="noConversion"/>
  </si>
  <si>
    <t>일대1</t>
    <phoneticPr fontId="2" type="noConversion"/>
  </si>
  <si>
    <t>일대2</t>
  </si>
  <si>
    <t>일대3</t>
  </si>
  <si>
    <t>일대4</t>
  </si>
  <si>
    <t>일대5</t>
  </si>
  <si>
    <t>일대6</t>
  </si>
  <si>
    <t>일대7</t>
  </si>
  <si>
    <t>일대8</t>
  </si>
  <si>
    <t>일대9</t>
  </si>
  <si>
    <t>일대10</t>
  </si>
  <si>
    <t>분전반23</t>
    <phoneticPr fontId="2" type="noConversion"/>
  </si>
  <si>
    <t>600W*1000H*180D</t>
    <phoneticPr fontId="2" type="noConversion"/>
  </si>
  <si>
    <t>면</t>
    <phoneticPr fontId="2" type="noConversion"/>
  </si>
  <si>
    <t>MAIN BUS BAR</t>
    <phoneticPr fontId="2" type="noConversion"/>
  </si>
  <si>
    <t>MAIN BUS BAR</t>
    <phoneticPr fontId="2" type="noConversion"/>
  </si>
  <si>
    <t>3.0 mm x 15 mm</t>
    <phoneticPr fontId="2" type="noConversion"/>
  </si>
  <si>
    <t>m</t>
    <phoneticPr fontId="2" type="noConversion"/>
  </si>
  <si>
    <t>BUS BAR</t>
    <phoneticPr fontId="2" type="noConversion"/>
  </si>
  <si>
    <t>BUS BAR</t>
    <phoneticPr fontId="2" type="noConversion"/>
  </si>
  <si>
    <t>INSULATION TUBE</t>
    <phoneticPr fontId="2" type="noConversion"/>
  </si>
  <si>
    <t>INSULATION TUBE</t>
    <phoneticPr fontId="2" type="noConversion"/>
  </si>
  <si>
    <t>150㎟ 이하</t>
    <phoneticPr fontId="2" type="noConversion"/>
  </si>
  <si>
    <t>150㎟ 이하</t>
    <phoneticPr fontId="2" type="noConversion"/>
  </si>
  <si>
    <t>M C C B (표준형)</t>
    <phoneticPr fontId="2" type="noConversion"/>
  </si>
  <si>
    <t>M C C B (표준형)</t>
    <phoneticPr fontId="2" type="noConversion"/>
  </si>
  <si>
    <t>4P 600V 50AF</t>
    <phoneticPr fontId="2" type="noConversion"/>
  </si>
  <si>
    <t>E L C B  (분전반)</t>
    <phoneticPr fontId="2" type="noConversion"/>
  </si>
  <si>
    <t>E L C B  (분전반)</t>
    <phoneticPr fontId="2" type="noConversion"/>
  </si>
  <si>
    <t>110/220V 2P 30AF</t>
    <phoneticPr fontId="2" type="noConversion"/>
  </si>
  <si>
    <t>110/220V 2P 30AF</t>
    <phoneticPr fontId="2" type="noConversion"/>
  </si>
  <si>
    <t>전기기계조립원</t>
    <phoneticPr fontId="2" type="noConversion"/>
  </si>
  <si>
    <t>전기3-21</t>
    <phoneticPr fontId="2" type="noConversion"/>
  </si>
  <si>
    <t>단순노무종사원</t>
    <phoneticPr fontId="2" type="noConversion"/>
  </si>
  <si>
    <t>전기3-23-1</t>
    <phoneticPr fontId="2" type="noConversion"/>
  </si>
  <si>
    <t>전선원</t>
    <phoneticPr fontId="2" type="noConversion"/>
  </si>
  <si>
    <t>전기5-19</t>
    <phoneticPr fontId="2" type="noConversion"/>
  </si>
  <si>
    <t>M C (GMC-22)</t>
    <phoneticPr fontId="2" type="noConversion"/>
  </si>
  <si>
    <t>4kW/220V  7.5kW/440V</t>
    <phoneticPr fontId="2" type="noConversion"/>
  </si>
  <si>
    <t>대</t>
    <phoneticPr fontId="2" type="noConversion"/>
  </si>
  <si>
    <t>LOAD WIRE</t>
    <phoneticPr fontId="2" type="noConversion"/>
  </si>
  <si>
    <t>KIV 6㎟</t>
    <phoneticPr fontId="2" type="noConversion"/>
  </si>
  <si>
    <t>P B L S (LED)</t>
    <phoneticPr fontId="2" type="noConversion"/>
  </si>
  <si>
    <t>DC 110V/125V 25mm</t>
    <phoneticPr fontId="2" type="noConversion"/>
  </si>
  <si>
    <t>개</t>
    <phoneticPr fontId="2" type="noConversion"/>
  </si>
  <si>
    <t>SELECTOR S/W</t>
    <phoneticPr fontId="2" type="noConversion"/>
  </si>
  <si>
    <t>300V 6A 2a 2b</t>
    <phoneticPr fontId="2" type="noConversion"/>
  </si>
  <si>
    <t>이면배선</t>
    <phoneticPr fontId="2" type="noConversion"/>
  </si>
  <si>
    <t>KIV 2.5㎟</t>
    <phoneticPr fontId="2" type="noConversion"/>
  </si>
  <si>
    <t>TIMER (정전보상용)</t>
    <phoneticPr fontId="2" type="noConversion"/>
  </si>
  <si>
    <t>AC110/220V 24HR</t>
    <phoneticPr fontId="2" type="noConversion"/>
  </si>
  <si>
    <t>전기5-10</t>
    <phoneticPr fontId="2" type="noConversion"/>
  </si>
  <si>
    <t>전기5-23</t>
    <phoneticPr fontId="2" type="noConversion"/>
  </si>
  <si>
    <t>전기3-34</t>
    <phoneticPr fontId="2" type="noConversion"/>
  </si>
  <si>
    <t>PVC DUCT</t>
    <phoneticPr fontId="2" type="noConversion"/>
  </si>
  <si>
    <t>30x40x2m W/COVER</t>
    <phoneticPr fontId="2" type="noConversion"/>
  </si>
  <si>
    <t>전기5-9</t>
    <phoneticPr fontId="2" type="noConversion"/>
  </si>
  <si>
    <t>EARTH BAR</t>
    <phoneticPr fontId="2" type="noConversion"/>
  </si>
  <si>
    <t>6.0 mm x 25 mm</t>
    <phoneticPr fontId="2" type="noConversion"/>
  </si>
  <si>
    <t>디지털 파워미터</t>
    <phoneticPr fontId="2" type="noConversion"/>
  </si>
  <si>
    <t>전기6-2</t>
    <phoneticPr fontId="2" type="noConversion"/>
  </si>
  <si>
    <t>4P 600V 100AF</t>
    <phoneticPr fontId="2" type="noConversion"/>
  </si>
  <si>
    <t>C T  1150V  권선형</t>
    <phoneticPr fontId="2" type="noConversion"/>
  </si>
  <si>
    <t>300/5A  40VA  1.0  40In</t>
    <phoneticPr fontId="2" type="noConversion"/>
  </si>
  <si>
    <t>M C (GMC-9)</t>
    <phoneticPr fontId="2" type="noConversion"/>
  </si>
  <si>
    <t>2.2kW/220V  2.7kW/440V</t>
    <phoneticPr fontId="2" type="noConversion"/>
  </si>
  <si>
    <t>M C (GMC-12)</t>
    <phoneticPr fontId="2" type="noConversion"/>
  </si>
  <si>
    <t>2.7kW/220V  4kW/440V</t>
    <phoneticPr fontId="2" type="noConversion"/>
  </si>
  <si>
    <t>M C (GMC-32)</t>
    <phoneticPr fontId="2" type="noConversion"/>
  </si>
  <si>
    <t>5.5kW/220V  11kW/440V</t>
    <phoneticPr fontId="2" type="noConversion"/>
  </si>
  <si>
    <t>E O C R</t>
    <phoneticPr fontId="2" type="noConversion"/>
  </si>
  <si>
    <t>ZCT</t>
    <phoneticPr fontId="2" type="noConversion"/>
  </si>
  <si>
    <t>CONDENSER</t>
    <phoneticPr fontId="2" type="noConversion"/>
  </si>
  <si>
    <t>(380/440V) 3P 15UF</t>
    <phoneticPr fontId="2" type="noConversion"/>
  </si>
  <si>
    <t>전기5-40</t>
    <phoneticPr fontId="2" type="noConversion"/>
  </si>
  <si>
    <t>(380/440V) 3P 20UF</t>
    <phoneticPr fontId="2" type="noConversion"/>
  </si>
  <si>
    <t>(380/440V) 3P 100UF</t>
    <phoneticPr fontId="2" type="noConversion"/>
  </si>
  <si>
    <t>KIV 4㎟</t>
    <phoneticPr fontId="2" type="noConversion"/>
  </si>
  <si>
    <t>3P 600V 50AF</t>
    <phoneticPr fontId="2" type="noConversion"/>
  </si>
  <si>
    <t>A U X - R</t>
    <phoneticPr fontId="2" type="noConversion"/>
  </si>
  <si>
    <t>AC 2a2b</t>
    <phoneticPr fontId="2" type="noConversion"/>
  </si>
  <si>
    <t>P L (LED)</t>
    <phoneticPr fontId="2" type="noConversion"/>
  </si>
  <si>
    <t>DC 110/125V 30mm</t>
    <phoneticPr fontId="2" type="noConversion"/>
  </si>
  <si>
    <t>300V 6A 1a 1b</t>
    <phoneticPr fontId="2" type="noConversion"/>
  </si>
  <si>
    <t>압착터미날</t>
    <phoneticPr fontId="2" type="noConversion"/>
  </si>
  <si>
    <t>4㎟</t>
    <phoneticPr fontId="2" type="noConversion"/>
  </si>
  <si>
    <t>2.5㎟</t>
    <phoneticPr fontId="2" type="noConversion"/>
  </si>
  <si>
    <t>4㎟</t>
    <phoneticPr fontId="2" type="noConversion"/>
  </si>
  <si>
    <t>6㎟</t>
    <phoneticPr fontId="2" type="noConversion"/>
  </si>
  <si>
    <t>전기5-13</t>
    <phoneticPr fontId="2" type="noConversion"/>
  </si>
  <si>
    <t>FLOAT S/W</t>
    <phoneticPr fontId="2" type="noConversion"/>
  </si>
  <si>
    <t>AC 220V 4P ALARM</t>
    <phoneticPr fontId="2" type="noConversion"/>
  </si>
  <si>
    <t>TIMER (Ｙ-Δ 용)</t>
    <phoneticPr fontId="2" type="noConversion"/>
  </si>
  <si>
    <t>AC110/220V 1-60S</t>
    <phoneticPr fontId="2" type="noConversion"/>
  </si>
  <si>
    <t>MCC-F  800W*1000H*200D [면]</t>
  </si>
  <si>
    <t>소방MCC조작반  700W*1600H*200D [면]</t>
    <phoneticPr fontId="2" type="noConversion"/>
  </si>
  <si>
    <t xml:space="preserve"> 지하소방펌프실  600W*700H*150D [면]</t>
    <phoneticPr fontId="2" type="noConversion"/>
  </si>
  <si>
    <t xml:space="preserve"> 분전반27  700W*1100H [면]</t>
    <phoneticPr fontId="2" type="noConversion"/>
  </si>
  <si>
    <t xml:space="preserve"> EPS SUPPORT  W150-1단 [식]</t>
    <phoneticPr fontId="2" type="noConversion"/>
  </si>
  <si>
    <t>3P 600V 100AF</t>
    <phoneticPr fontId="2" type="noConversion"/>
  </si>
  <si>
    <t>소방MCC-F  700W*1100H*200D [면]</t>
  </si>
  <si>
    <t>M C (GMC-40)</t>
    <phoneticPr fontId="2" type="noConversion"/>
  </si>
  <si>
    <t>M C (GMC-50)</t>
    <phoneticPr fontId="2" type="noConversion"/>
  </si>
  <si>
    <t>7.5kW/220V  15kW/440V</t>
    <phoneticPr fontId="2" type="noConversion"/>
  </si>
  <si>
    <t>11kW/220V  22kW/440V</t>
    <phoneticPr fontId="2" type="noConversion"/>
  </si>
  <si>
    <t>(380/440V) 3P 150UF</t>
    <phoneticPr fontId="2" type="noConversion"/>
  </si>
  <si>
    <t>KIV 10㎟</t>
    <phoneticPr fontId="2" type="noConversion"/>
  </si>
  <si>
    <t>KIV 16㎟</t>
    <phoneticPr fontId="2" type="noConversion"/>
  </si>
  <si>
    <t>16㎟</t>
    <phoneticPr fontId="2" type="noConversion"/>
  </si>
  <si>
    <t>[일대1] EPS SUPPORT  W150-1단 [식]</t>
    <phoneticPr fontId="2" type="noConversion"/>
  </si>
  <si>
    <t>[일대2] 분전반27  700W*1100H [면]</t>
    <phoneticPr fontId="2" type="noConversion"/>
  </si>
  <si>
    <t>[일대3] 지하소방펌프실  600W*700H*150D [면]</t>
    <phoneticPr fontId="2" type="noConversion"/>
  </si>
  <si>
    <t>[일대4] 소방MCC조작반  700W*1600H*200D [면]</t>
    <phoneticPr fontId="2" type="noConversion"/>
  </si>
  <si>
    <t>[일대5] MCC-F  800W*1000H*200D [면]</t>
    <phoneticPr fontId="2" type="noConversion"/>
  </si>
  <si>
    <t>[일대6] 소방MCC-F  700W*1100H*200D [면]</t>
    <phoneticPr fontId="2" type="noConversion"/>
  </si>
  <si>
    <t>[일대7] 분전반23  600W*1000H [면]</t>
    <phoneticPr fontId="2" type="noConversion"/>
  </si>
  <si>
    <t>3.0 mm x 25 mm</t>
  </si>
  <si>
    <t>3.0 mm x 25 mm</t>
    <phoneticPr fontId="2" type="noConversion"/>
  </si>
  <si>
    <t>15 P</t>
    <phoneticPr fontId="2" type="noConversion"/>
  </si>
  <si>
    <t>600Wx1000H</t>
    <phoneticPr fontId="2" type="noConversion"/>
  </si>
  <si>
    <t>110/220V 2P 50AF</t>
    <phoneticPr fontId="2" type="noConversion"/>
  </si>
  <si>
    <t>110/220V 2P 100AF</t>
    <phoneticPr fontId="2" type="noConversion"/>
  </si>
  <si>
    <t>분전반23  600W*1000H [면]</t>
  </si>
  <si>
    <t>600W*800H</t>
    <phoneticPr fontId="2" type="noConversion"/>
  </si>
  <si>
    <t>[일대8] 분전반24  600W*800H [면]</t>
    <phoneticPr fontId="2" type="noConversion"/>
  </si>
  <si>
    <t>10 P</t>
    <phoneticPr fontId="2" type="noConversion"/>
  </si>
  <si>
    <t>분전반24  600W*800H [면]</t>
    <phoneticPr fontId="2" type="noConversion"/>
  </si>
  <si>
    <t>[일대9] 분전반25  600W*800H [면]</t>
    <phoneticPr fontId="2" type="noConversion"/>
  </si>
  <si>
    <t>12 P</t>
    <phoneticPr fontId="2" type="noConversion"/>
  </si>
  <si>
    <t>분전반25  600W*800H [면]</t>
    <phoneticPr fontId="2" type="noConversion"/>
  </si>
  <si>
    <t>분전반11</t>
    <phoneticPr fontId="2" type="noConversion"/>
  </si>
  <si>
    <t>750W*1600H*200D</t>
    <phoneticPr fontId="2" type="noConversion"/>
  </si>
  <si>
    <t>[일대10] 분전반25  750W*1600H*D200 [면]</t>
    <phoneticPr fontId="2" type="noConversion"/>
  </si>
  <si>
    <t>외함(MCC반)</t>
    <phoneticPr fontId="2" type="noConversion"/>
  </si>
  <si>
    <t>NAME PLATE</t>
    <phoneticPr fontId="2" type="noConversion"/>
  </si>
  <si>
    <t>외함(분전반)</t>
    <phoneticPr fontId="2" type="noConversion"/>
  </si>
  <si>
    <t>700Wx1600Hx200D</t>
    <phoneticPr fontId="2" type="noConversion"/>
  </si>
  <si>
    <t>PUSH (L)</t>
    <phoneticPr fontId="2" type="noConversion"/>
  </si>
  <si>
    <t>아크릴(L)</t>
    <phoneticPr fontId="2" type="noConversion"/>
  </si>
  <si>
    <t>14 P</t>
    <phoneticPr fontId="2" type="noConversion"/>
  </si>
  <si>
    <t>5.0 mm x 30 mm</t>
    <phoneticPr fontId="2" type="noConversion"/>
  </si>
  <si>
    <t>4P 600V 250AF</t>
    <phoneticPr fontId="2" type="noConversion"/>
  </si>
  <si>
    <t>M C C B  (분전반)</t>
    <phoneticPr fontId="2" type="noConversion"/>
  </si>
  <si>
    <t>분전반11  750W*1600H*D200 [면]</t>
    <phoneticPr fontId="2" type="noConversion"/>
  </si>
  <si>
    <t>BUS BAR</t>
    <phoneticPr fontId="2" type="noConversion"/>
  </si>
  <si>
    <t>일대11</t>
  </si>
  <si>
    <t>분전반8</t>
    <phoneticPr fontId="2" type="noConversion"/>
  </si>
  <si>
    <t>[일대11] 분전반8  600W*1000H*D180 [면]</t>
    <phoneticPr fontId="2" type="noConversion"/>
  </si>
  <si>
    <t>600Wx1000Hx180D</t>
    <phoneticPr fontId="2" type="noConversion"/>
  </si>
  <si>
    <t>MAIN BUS BAR</t>
    <phoneticPr fontId="2" type="noConversion"/>
  </si>
  <si>
    <t>분전반8  600W*1000H*180D[면]</t>
    <phoneticPr fontId="2" type="noConversion"/>
  </si>
  <si>
    <t>M C C B (표준형)</t>
    <phoneticPr fontId="2" type="noConversion"/>
  </si>
  <si>
    <t>600W*1000H*180D</t>
    <phoneticPr fontId="2" type="noConversion"/>
  </si>
  <si>
    <t>분전반(관리8)</t>
    <phoneticPr fontId="2" type="noConversion"/>
  </si>
  <si>
    <t>고  재  처  리  비</t>
    <phoneticPr fontId="2" type="noConversion"/>
  </si>
  <si>
    <t>전선</t>
    <phoneticPr fontId="2" type="noConversion"/>
  </si>
  <si>
    <t>부스바</t>
    <phoneticPr fontId="2" type="noConversion"/>
  </si>
  <si>
    <t>A동 계 KG</t>
    <phoneticPr fontId="2" type="noConversion"/>
  </si>
  <si>
    <t>A동(꽈배기동)</t>
    <phoneticPr fontId="2" type="noConversion"/>
  </si>
  <si>
    <t>고재처리</t>
    <phoneticPr fontId="2" type="noConversion"/>
  </si>
  <si>
    <t>KG</t>
    <phoneticPr fontId="2" type="noConversion"/>
  </si>
  <si>
    <t>하407</t>
    <phoneticPr fontId="2" type="noConversion"/>
  </si>
  <si>
    <t>26.09</t>
    <phoneticPr fontId="2" type="noConversion"/>
  </si>
  <si>
    <t>STS 304</t>
    <phoneticPr fontId="2" type="noConversion"/>
  </si>
  <si>
    <t>600W*1000H*180D</t>
  </si>
  <si>
    <t>600W*1000H*180D</t>
    <phoneticPr fontId="2" type="noConversion"/>
  </si>
  <si>
    <t>700W*1100H,속판교체</t>
    <phoneticPr fontId="2" type="noConversion"/>
  </si>
  <si>
    <t>730W*1050H</t>
    <phoneticPr fontId="2" type="noConversion"/>
  </si>
  <si>
    <t>600W*1000H,속판교체</t>
    <phoneticPr fontId="2" type="noConversion"/>
  </si>
  <si>
    <t>600W*1000H</t>
  </si>
  <si>
    <t>고철</t>
    <phoneticPr fontId="2" type="noConversion"/>
  </si>
  <si>
    <t>750W*1600H*200D</t>
  </si>
  <si>
    <t>750W*1600H*200D</t>
    <phoneticPr fontId="2" type="noConversion"/>
  </si>
  <si>
    <t>700W*1100H*180D</t>
    <phoneticPr fontId="2" type="noConversion"/>
  </si>
  <si>
    <t>700W*1100H*182D</t>
  </si>
  <si>
    <t>800W*600H*180D</t>
    <phoneticPr fontId="2" type="noConversion"/>
  </si>
  <si>
    <t>15KG</t>
    <phoneticPr fontId="2" type="noConversion"/>
  </si>
  <si>
    <t>A동(상동)15KG기준</t>
    <phoneticPr fontId="2" type="noConversion"/>
  </si>
  <si>
    <t>1.2T</t>
    <phoneticPr fontId="2" type="noConversion"/>
  </si>
  <si>
    <t>1.6T</t>
    <phoneticPr fontId="2" type="noConversion"/>
  </si>
  <si>
    <t>계</t>
    <phoneticPr fontId="2" type="noConversion"/>
  </si>
  <si>
    <t>30KG</t>
    <phoneticPr fontId="2" type="noConversion"/>
  </si>
  <si>
    <t>계</t>
    <phoneticPr fontId="2" type="noConversion"/>
  </si>
  <si>
    <t>스텐304 30KG</t>
    <phoneticPr fontId="2" type="noConversion"/>
  </si>
  <si>
    <t>스텐304</t>
    <phoneticPr fontId="2" type="noConversion"/>
  </si>
  <si>
    <t>시세적용</t>
    <phoneticPr fontId="2" type="noConversion"/>
  </si>
  <si>
    <t>고철(경량)</t>
    <phoneticPr fontId="2" type="noConversion"/>
  </si>
  <si>
    <t>작업부산물 처리비(A상동,스텐304,고철)</t>
    <phoneticPr fontId="2" type="noConversion"/>
  </si>
  <si>
    <t>분전반 20 보수</t>
    <phoneticPr fontId="2" type="noConversion"/>
  </si>
  <si>
    <t>면</t>
    <phoneticPr fontId="2" type="noConversion"/>
  </si>
  <si>
    <t>DOOR 730W*1050H, SUS 1.2T</t>
    <phoneticPr fontId="2" type="noConversion"/>
  </si>
  <si>
    <t>고재처리비</t>
    <phoneticPr fontId="2" type="noConversion"/>
  </si>
  <si>
    <t>선영</t>
    <phoneticPr fontId="2" type="noConversion"/>
  </si>
  <si>
    <t>110/220V 2P 50AF</t>
    <phoneticPr fontId="2" type="noConversion"/>
  </si>
  <si>
    <t>분전반(노출, DOOR)STS 1.5t</t>
    <phoneticPr fontId="2" type="noConversion"/>
  </si>
  <si>
    <t>DOOR (STS 1.5t)</t>
    <phoneticPr fontId="2" type="noConversion"/>
  </si>
  <si>
    <t>95KG</t>
    <phoneticPr fontId="2" type="noConversion"/>
  </si>
  <si>
    <t>고철(경량) 95KG</t>
    <phoneticPr fontId="2" type="noConversion"/>
  </si>
  <si>
    <t>과   장</t>
    <phoneticPr fontId="29" type="noConversion"/>
  </si>
  <si>
    <t>2026년 08월</t>
    <phoneticPr fontId="29" type="noConversion"/>
  </si>
  <si>
    <t>위 치 :</t>
    <phoneticPr fontId="29" type="noConversion"/>
  </si>
  <si>
    <t>노후전기설비정비 전기공사</t>
    <phoneticPr fontId="2" type="noConversion"/>
  </si>
  <si>
    <t>담    당</t>
    <phoneticPr fontId="29" type="noConversion"/>
  </si>
  <si>
    <t>◎ 사 업 개 요</t>
    <phoneticPr fontId="29" type="noConversion"/>
  </si>
  <si>
    <t>1. 노후전기설비정비 전기공사</t>
    <phoneticPr fontId="2" type="noConversion"/>
  </si>
  <si>
    <t>설 계 월 일</t>
    <phoneticPr fontId="29" type="noConversion"/>
  </si>
  <si>
    <t xml:space="preserve">    </t>
    <phoneticPr fontId="29" type="noConversion"/>
  </si>
  <si>
    <t>심사자</t>
    <phoneticPr fontId="29" type="noConversion"/>
  </si>
  <si>
    <t>설계자</t>
    <phoneticPr fontId="29" type="noConversion"/>
  </si>
  <si>
    <t>◇ 총 공 사 비 :</t>
    <phoneticPr fontId="29" type="noConversion"/>
  </si>
  <si>
    <t>일금  이백만원정</t>
  </si>
  <si>
    <t>(</t>
    <phoneticPr fontId="29" type="noConversion"/>
  </si>
  <si>
    <t>)</t>
    <phoneticPr fontId="29" type="noConversion"/>
  </si>
  <si>
    <t>◇ 도급 예정액 :</t>
    <phoneticPr fontId="29" type="noConversion"/>
  </si>
  <si>
    <t>◇ 관급 자재대 :</t>
    <phoneticPr fontId="29" type="noConversion"/>
  </si>
  <si>
    <t>일금  원정</t>
  </si>
  <si>
    <t>(</t>
    <phoneticPr fontId="29" type="noConversion"/>
  </si>
  <si>
    <t>)</t>
    <phoneticPr fontId="29" type="noConversion"/>
  </si>
  <si>
    <t>조사자</t>
    <phoneticPr fontId="29" type="noConversion"/>
  </si>
  <si>
    <t>전남광주통합특별시                                      (각화동농산물도매시장 관리사무소)</t>
    <phoneticPr fontId="41" type="noConversion"/>
  </si>
  <si>
    <t>단수정리 천원미만</t>
    <phoneticPr fontId="2" type="noConversion"/>
  </si>
  <si>
    <t>일대1</t>
    <phoneticPr fontId="2" type="noConversion"/>
  </si>
  <si>
    <t>일대5</t>
    <phoneticPr fontId="2" type="noConversion"/>
  </si>
  <si>
    <t>일대11</t>
    <phoneticPr fontId="2" type="noConversion"/>
  </si>
  <si>
    <t>일대3</t>
    <phoneticPr fontId="2" type="noConversion"/>
  </si>
  <si>
    <t>일대10</t>
    <phoneticPr fontId="2" type="noConversion"/>
  </si>
  <si>
    <t>일대7</t>
    <phoneticPr fontId="2" type="noConversion"/>
  </si>
  <si>
    <t>일대2</t>
    <phoneticPr fontId="2" type="noConversion"/>
  </si>
  <si>
    <t>일대6</t>
    <phoneticPr fontId="2" type="noConversion"/>
  </si>
  <si>
    <t>일대4</t>
    <phoneticPr fontId="2" type="noConversion"/>
  </si>
  <si>
    <t>전남광주통합특별시 북구 동문대로 260</t>
    <phoneticPr fontId="2" type="noConversion"/>
  </si>
  <si>
    <t>[ 노후전기설비정비 전기공사 ]</t>
    <phoneticPr fontId="2" type="noConversion"/>
  </si>
  <si>
    <t>[ 노후전기설비정비 전기공사 ] - 노임 산출근거(2026년 상반기 노임)</t>
    <phoneticPr fontId="2" type="noConversion"/>
  </si>
  <si>
    <t>[ 노후전기설비정비 전기공사 ] - 일위대가목차</t>
    <phoneticPr fontId="2" type="noConversion"/>
  </si>
  <si>
    <t>[ 노후전기설비정비 전기공사 ] - 일위대가표</t>
    <phoneticPr fontId="2" type="noConversion"/>
  </si>
  <si>
    <t>[ 노후전기설비정비 전기공사 ] - 일위노임 산출근거(2026년 상반기 노임)</t>
    <phoneticPr fontId="2" type="noConversion"/>
  </si>
  <si>
    <t>[ 노후전기설비정비 전기공사 ] - 단가조사서(1/6단가:2026년08월)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</si>
</sst>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#"/>
    <numFmt numFmtId="178" formatCode="#,###;\-#,###"/>
    <numFmt numFmtId="179" formatCode="0.0%"/>
    <numFmt numFmtId="180" formatCode="0.000%"/>
    <numFmt numFmtId="181" formatCode="0.00000%"/>
    <numFmt numFmtId="182" formatCode="_-* #,##0.00_-;\-* #,##0.00_-;_-* &quot;-&quot;_-;_-@_-"/>
    <numFmt numFmtId="183" formatCode="_(&quot;₩&quot;* #,##0_);_(&quot;₩&quot;* \(#,##0\);_(&quot;₩&quot;* &quot;-&quot;_);_(@_)"/>
  </numFmts>
  <fonts count="4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돋움체"/>
      <family val="3"/>
      <charset val="129"/>
    </font>
    <font>
      <sz val="14"/>
      <name val="돋움체"/>
      <family val="3"/>
      <charset val="129"/>
    </font>
    <font>
      <sz val="12"/>
      <name val="돋움체"/>
      <family val="3"/>
      <charset val="129"/>
    </font>
    <font>
      <sz val="28"/>
      <name val="돋움체"/>
      <family val="3"/>
      <charset val="129"/>
    </font>
    <font>
      <b/>
      <sz val="18"/>
      <name val="돋움체"/>
      <family val="3"/>
      <charset val="129"/>
    </font>
    <font>
      <sz val="18"/>
      <name val="돋움체"/>
      <family val="3"/>
      <charset val="129"/>
    </font>
    <font>
      <b/>
      <sz val="11"/>
      <name val="돋움체"/>
      <family val="3"/>
      <charset val="129"/>
    </font>
    <font>
      <b/>
      <sz val="12"/>
      <name val="돋움체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1"/>
      <color indexed="8"/>
      <name val="돋움체"/>
      <family val="3"/>
      <charset val="129"/>
    </font>
    <font>
      <sz val="11"/>
      <color indexed="8"/>
      <name val="굴림체"/>
      <family val="3"/>
      <charset val="129"/>
    </font>
    <font>
      <b/>
      <sz val="12"/>
      <name val="Arial"/>
      <family val="2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sz val="11"/>
      <name val="굴림체"/>
      <family val="3"/>
      <charset val="129"/>
    </font>
    <font>
      <sz val="8"/>
      <name val="굴림체"/>
      <family val="3"/>
      <charset val="129"/>
    </font>
    <font>
      <sz val="9"/>
      <name val="굴림체"/>
      <family val="3"/>
      <charset val="129"/>
    </font>
    <font>
      <b/>
      <sz val="24"/>
      <name val="굴림체"/>
      <family val="3"/>
      <charset val="129"/>
    </font>
    <font>
      <sz val="11"/>
      <name val="굴림"/>
      <family val="3"/>
      <charset val="129"/>
    </font>
    <font>
      <b/>
      <sz val="14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체"/>
      <family val="3"/>
      <charset val="129"/>
    </font>
    <font>
      <sz val="10"/>
      <color indexed="9"/>
      <name val="굴림"/>
      <family val="3"/>
      <charset val="129"/>
    </font>
    <font>
      <sz val="12"/>
      <name val="굴림체"/>
      <family val="3"/>
      <charset val="129"/>
    </font>
    <font>
      <b/>
      <sz val="20"/>
      <name val="굴림"/>
      <family val="3"/>
      <charset val="129"/>
    </font>
    <font>
      <sz val="8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2">
    <xf numFmtId="0" fontId="0" fillId="0" borderId="0"/>
    <xf numFmtId="41" fontId="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1" fillId="0" borderId="0"/>
    <xf numFmtId="0" fontId="25" fillId="0" borderId="43" applyNumberFormat="0" applyAlignment="0" applyProtection="0">
      <alignment horizontal="left" vertical="center"/>
    </xf>
    <xf numFmtId="0" fontId="25" fillId="0" borderId="31">
      <alignment horizontal="left" vertical="center"/>
    </xf>
    <xf numFmtId="9" fontId="1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28" fillId="0" borderId="0"/>
    <xf numFmtId="0" fontId="32" fillId="0" borderId="0"/>
  </cellStyleXfs>
  <cellXfs count="307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/>
    <xf numFmtId="49" fontId="4" fillId="0" borderId="1" xfId="0" applyNumberFormat="1" applyFont="1" applyBorder="1" applyAlignment="1">
      <alignment horizontal="left"/>
    </xf>
    <xf numFmtId="49" fontId="4" fillId="0" borderId="2" xfId="0" applyNumberFormat="1" applyFont="1" applyBorder="1" applyAlignment="1">
      <alignment horizontal="left"/>
    </xf>
    <xf numFmtId="49" fontId="4" fillId="0" borderId="3" xfId="0" applyNumberFormat="1" applyFont="1" applyBorder="1" applyAlignment="1">
      <alignment horizontal="left"/>
    </xf>
    <xf numFmtId="176" fontId="4" fillId="0" borderId="1" xfId="0" applyNumberFormat="1" applyFont="1" applyBorder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vertical="center"/>
    </xf>
    <xf numFmtId="49" fontId="4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right"/>
    </xf>
    <xf numFmtId="0" fontId="4" fillId="0" borderId="0" xfId="0" applyFont="1" applyAlignment="1"/>
    <xf numFmtId="49" fontId="4" fillId="0" borderId="1" xfId="0" applyNumberFormat="1" applyFont="1" applyBorder="1" applyAlignment="1"/>
    <xf numFmtId="49" fontId="4" fillId="0" borderId="0" xfId="0" applyNumberFormat="1" applyFont="1" applyAlignment="1"/>
    <xf numFmtId="49" fontId="4" fillId="0" borderId="0" xfId="0" applyNumberFormat="1" applyFont="1" applyAlignment="1" applyProtection="1"/>
    <xf numFmtId="0" fontId="4" fillId="0" borderId="0" xfId="0" applyNumberFormat="1" applyFont="1" applyAlignment="1"/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4" fillId="0" borderId="0" xfId="0" applyNumberFormat="1" applyFont="1" applyAlignment="1">
      <alignment horizontal="center" vertical="center"/>
    </xf>
    <xf numFmtId="0" fontId="4" fillId="0" borderId="0" xfId="0" applyFont="1" applyBorder="1"/>
    <xf numFmtId="49" fontId="4" fillId="0" borderId="0" xfId="0" applyNumberFormat="1" applyFont="1"/>
    <xf numFmtId="0" fontId="4" fillId="0" borderId="0" xfId="0" applyFont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49" fontId="4" fillId="0" borderId="3" xfId="0" applyNumberFormat="1" applyFont="1" applyBorder="1" applyAlignment="1">
      <alignment horizontal="left" vertical="center" indent="1"/>
    </xf>
    <xf numFmtId="49" fontId="4" fillId="0" borderId="7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horizontal="left" vertical="center" indent="1"/>
    </xf>
    <xf numFmtId="49" fontId="4" fillId="0" borderId="8" xfId="0" applyNumberFormat="1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49" fontId="4" fillId="0" borderId="10" xfId="0" applyNumberFormat="1" applyFont="1" applyBorder="1" applyAlignment="1">
      <alignment vertical="center"/>
    </xf>
    <xf numFmtId="0" fontId="8" fillId="0" borderId="0" xfId="0" applyFont="1" applyAlignment="1">
      <alignment horizontal="distributed" shrinkToFi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9" fillId="0" borderId="0" xfId="0" applyNumberFormat="1" applyFont="1" applyAlignment="1">
      <alignment horizontal="distributed" shrinkToFit="1"/>
    </xf>
    <xf numFmtId="49" fontId="4" fillId="0" borderId="0" xfId="0" applyNumberFormat="1" applyFont="1" applyAlignment="1">
      <alignment vertical="center"/>
    </xf>
    <xf numFmtId="0" fontId="4" fillId="0" borderId="0" xfId="0" applyNumberFormat="1" applyFont="1"/>
    <xf numFmtId="0" fontId="4" fillId="0" borderId="3" xfId="0" applyNumberFormat="1" applyFont="1" applyBorder="1"/>
    <xf numFmtId="0" fontId="4" fillId="0" borderId="1" xfId="0" applyNumberFormat="1" applyFont="1" applyBorder="1"/>
    <xf numFmtId="0" fontId="4" fillId="0" borderId="1" xfId="0" applyNumberFormat="1" applyFont="1" applyBorder="1" applyAlignment="1"/>
    <xf numFmtId="0" fontId="4" fillId="0" borderId="0" xfId="0" applyNumberFormat="1" applyFont="1" applyAlignment="1">
      <alignment horizontal="center"/>
    </xf>
    <xf numFmtId="0" fontId="4" fillId="0" borderId="1" xfId="0" applyNumberFormat="1" applyFont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49" fontId="13" fillId="0" borderId="0" xfId="0" applyNumberFormat="1" applyFont="1" applyAlignment="1">
      <alignment horizontal="right"/>
    </xf>
    <xf numFmtId="0" fontId="4" fillId="0" borderId="0" xfId="0" applyNumberFormat="1" applyFont="1" applyAlignment="1">
      <alignment horizontal="right"/>
    </xf>
    <xf numFmtId="0" fontId="0" fillId="0" borderId="0" xfId="0" applyNumberFormat="1"/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8" fontId="4" fillId="0" borderId="0" xfId="0" applyNumberFormat="1" applyFont="1" applyAlignment="1"/>
    <xf numFmtId="178" fontId="4" fillId="0" borderId="4" xfId="0" applyNumberFormat="1" applyFont="1" applyBorder="1" applyAlignment="1">
      <alignment horizontal="center" vertical="center"/>
    </xf>
    <xf numFmtId="178" fontId="4" fillId="0" borderId="3" xfId="0" applyNumberFormat="1" applyFont="1" applyBorder="1" applyAlignment="1"/>
    <xf numFmtId="178" fontId="4" fillId="0" borderId="1" xfId="0" applyNumberFormat="1" applyFont="1" applyBorder="1" applyAlignment="1"/>
    <xf numFmtId="178" fontId="4" fillId="0" borderId="0" xfId="0" applyNumberFormat="1" applyFont="1"/>
    <xf numFmtId="178" fontId="4" fillId="0" borderId="1" xfId="0" applyNumberFormat="1" applyFont="1" applyBorder="1"/>
    <xf numFmtId="178" fontId="0" fillId="0" borderId="0" xfId="0" applyNumberFormat="1"/>
    <xf numFmtId="178" fontId="4" fillId="0" borderId="0" xfId="0" applyNumberFormat="1" applyFont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/>
    </xf>
    <xf numFmtId="178" fontId="4" fillId="0" borderId="0" xfId="0" applyNumberFormat="1" applyFont="1" applyAlignment="1">
      <alignment vertical="center"/>
    </xf>
    <xf numFmtId="178" fontId="4" fillId="0" borderId="3" xfId="0" applyNumberFormat="1" applyFont="1" applyBorder="1" applyAlignment="1">
      <alignment vertical="center"/>
    </xf>
    <xf numFmtId="178" fontId="4" fillId="0" borderId="1" xfId="0" applyNumberFormat="1" applyFont="1" applyBorder="1" applyAlignment="1">
      <alignment vertical="center"/>
    </xf>
    <xf numFmtId="178" fontId="4" fillId="0" borderId="11" xfId="0" applyNumberFormat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49" fontId="4" fillId="3" borderId="12" xfId="0" applyNumberFormat="1" applyFont="1" applyFill="1" applyBorder="1" applyAlignment="1">
      <alignment horizontal="left"/>
    </xf>
    <xf numFmtId="0" fontId="4" fillId="3" borderId="4" xfId="0" applyNumberFormat="1" applyFont="1" applyFill="1" applyBorder="1" applyAlignment="1">
      <alignment horizontal="center"/>
    </xf>
    <xf numFmtId="0" fontId="4" fillId="3" borderId="5" xfId="0" applyNumberFormat="1" applyFont="1" applyFill="1" applyBorder="1" applyAlignment="1">
      <alignment horizontal="center"/>
    </xf>
    <xf numFmtId="0" fontId="4" fillId="0" borderId="2" xfId="0" applyNumberFormat="1" applyFont="1" applyBorder="1"/>
    <xf numFmtId="178" fontId="4" fillId="0" borderId="2" xfId="0" applyNumberFormat="1" applyFont="1" applyBorder="1" applyAlignment="1"/>
    <xf numFmtId="49" fontId="4" fillId="0" borderId="1" xfId="0" applyNumberFormat="1" applyFont="1" applyBorder="1"/>
    <xf numFmtId="0" fontId="14" fillId="3" borderId="1" xfId="0" applyFont="1" applyFill="1" applyBorder="1"/>
    <xf numFmtId="49" fontId="0" fillId="0" borderId="0" xfId="0" applyNumberFormat="1"/>
    <xf numFmtId="49" fontId="4" fillId="0" borderId="0" xfId="0" applyNumberFormat="1" applyFont="1" applyAlignment="1" applyProtection="1">
      <alignment horizontal="center" vertical="center"/>
    </xf>
    <xf numFmtId="0" fontId="4" fillId="0" borderId="13" xfId="0" applyFont="1" applyBorder="1"/>
    <xf numFmtId="0" fontId="4" fillId="0" borderId="14" xfId="0" applyFont="1" applyBorder="1"/>
    <xf numFmtId="0" fontId="4" fillId="0" borderId="15" xfId="0" applyFont="1" applyBorder="1"/>
    <xf numFmtId="0" fontId="4" fillId="0" borderId="16" xfId="0" applyFont="1" applyBorder="1"/>
    <xf numFmtId="0" fontId="4" fillId="0" borderId="17" xfId="0" applyFont="1" applyBorder="1"/>
    <xf numFmtId="0" fontId="4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4" fillId="0" borderId="1" xfId="1" applyNumberFormat="1" applyFont="1" applyBorder="1"/>
    <xf numFmtId="49" fontId="4" fillId="0" borderId="1" xfId="0" applyNumberFormat="1" applyFont="1" applyBorder="1" applyAlignment="1">
      <alignment shrinkToFit="1"/>
    </xf>
    <xf numFmtId="178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178" fontId="4" fillId="0" borderId="1" xfId="1" applyNumberFormat="1" applyFont="1" applyBorder="1"/>
    <xf numFmtId="0" fontId="4" fillId="0" borderId="1" xfId="0" applyFont="1" applyBorder="1" applyAlignment="1"/>
    <xf numFmtId="0" fontId="4" fillId="0" borderId="0" xfId="0" applyFont="1" applyAlignment="1">
      <alignment horizontal="center"/>
    </xf>
    <xf numFmtId="49" fontId="3" fillId="0" borderId="0" xfId="0" applyNumberFormat="1" applyFont="1" applyBorder="1" applyAlignment="1">
      <alignment horizontal="left" indent="1"/>
    </xf>
    <xf numFmtId="49" fontId="4" fillId="0" borderId="2" xfId="0" applyNumberFormat="1" applyFont="1" applyBorder="1" applyAlignment="1">
      <alignment horizontal="left" vertical="center" indent="1"/>
    </xf>
    <xf numFmtId="177" fontId="4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178" fontId="4" fillId="0" borderId="2" xfId="0" applyNumberFormat="1" applyFont="1" applyBorder="1" applyAlignment="1">
      <alignment horizontal="center" vertical="center"/>
    </xf>
    <xf numFmtId="49" fontId="0" fillId="0" borderId="1" xfId="0" applyNumberFormat="1" applyBorder="1"/>
    <xf numFmtId="0" fontId="0" fillId="0" borderId="1" xfId="0" applyNumberFormat="1" applyBorder="1"/>
    <xf numFmtId="0" fontId="0" fillId="0" borderId="1" xfId="0" applyBorder="1"/>
    <xf numFmtId="178" fontId="0" fillId="0" borderId="1" xfId="0" applyNumberFormat="1" applyBorder="1"/>
    <xf numFmtId="0" fontId="17" fillId="0" borderId="0" xfId="2" applyFont="1">
      <alignment vertical="center"/>
    </xf>
    <xf numFmtId="41" fontId="17" fillId="0" borderId="39" xfId="3" applyFont="1" applyBorder="1" applyAlignment="1">
      <alignment horizontal="center" vertical="center"/>
    </xf>
    <xf numFmtId="0" fontId="17" fillId="0" borderId="39" xfId="2" applyFont="1" applyBorder="1" applyAlignment="1">
      <alignment horizontal="center" vertical="center"/>
    </xf>
    <xf numFmtId="0" fontId="19" fillId="0" borderId="0" xfId="2" applyFont="1">
      <alignment vertical="center"/>
    </xf>
    <xf numFmtId="0" fontId="17" fillId="0" borderId="39" xfId="2" applyFont="1" applyBorder="1">
      <alignment vertical="center"/>
    </xf>
    <xf numFmtId="41" fontId="17" fillId="5" borderId="39" xfId="3" applyFont="1" applyFill="1" applyBorder="1" applyAlignment="1">
      <alignment horizontal="center" vertical="center"/>
    </xf>
    <xf numFmtId="41" fontId="20" fillId="0" borderId="39" xfId="3" applyFont="1" applyBorder="1" applyAlignment="1">
      <alignment horizontal="center" vertical="center"/>
    </xf>
    <xf numFmtId="10" fontId="17" fillId="0" borderId="39" xfId="2" applyNumberFormat="1" applyFont="1" applyBorder="1" applyAlignment="1">
      <alignment horizontal="center" vertical="center"/>
    </xf>
    <xf numFmtId="10" fontId="17" fillId="0" borderId="39" xfId="2" applyNumberFormat="1" applyFont="1" applyBorder="1">
      <alignment vertical="center"/>
    </xf>
    <xf numFmtId="41" fontId="17" fillId="0" borderId="39" xfId="3" applyNumberFormat="1" applyFont="1" applyBorder="1" applyAlignment="1">
      <alignment horizontal="center" vertical="center"/>
    </xf>
    <xf numFmtId="179" fontId="17" fillId="0" borderId="39" xfId="2" applyNumberFormat="1" applyFont="1" applyBorder="1">
      <alignment vertical="center"/>
    </xf>
    <xf numFmtId="180" fontId="17" fillId="0" borderId="39" xfId="2" applyNumberFormat="1" applyFont="1" applyBorder="1">
      <alignment vertical="center"/>
    </xf>
    <xf numFmtId="0" fontId="17" fillId="0" borderId="39" xfId="2" applyFont="1" applyBorder="1" applyAlignment="1">
      <alignment vertical="center"/>
    </xf>
    <xf numFmtId="41" fontId="17" fillId="0" borderId="39" xfId="3" applyFont="1" applyBorder="1" applyAlignment="1">
      <alignment vertical="center"/>
    </xf>
    <xf numFmtId="0" fontId="17" fillId="0" borderId="40" xfId="2" applyFont="1" applyBorder="1" applyAlignment="1">
      <alignment vertical="center"/>
    </xf>
    <xf numFmtId="0" fontId="17" fillId="0" borderId="41" xfId="2" applyFont="1" applyBorder="1" applyAlignment="1">
      <alignment vertical="center"/>
    </xf>
    <xf numFmtId="0" fontId="22" fillId="0" borderId="39" xfId="2" applyFont="1" applyBorder="1">
      <alignment vertical="center"/>
    </xf>
    <xf numFmtId="9" fontId="17" fillId="0" borderId="39" xfId="2" applyNumberFormat="1" applyFont="1" applyBorder="1">
      <alignment vertical="center"/>
    </xf>
    <xf numFmtId="0" fontId="17" fillId="0" borderId="39" xfId="2" applyFont="1" applyBorder="1" applyAlignment="1">
      <alignment horizontal="left" vertical="center"/>
    </xf>
    <xf numFmtId="9" fontId="17" fillId="0" borderId="42" xfId="2" applyNumberFormat="1" applyFont="1" applyBorder="1" applyAlignment="1">
      <alignment vertical="center"/>
    </xf>
    <xf numFmtId="181" fontId="17" fillId="0" borderId="42" xfId="2" applyNumberFormat="1" applyFont="1" applyBorder="1" applyAlignment="1">
      <alignment vertical="center"/>
    </xf>
    <xf numFmtId="41" fontId="17" fillId="0" borderId="0" xfId="1" applyFont="1" applyAlignment="1">
      <alignment vertical="center"/>
    </xf>
    <xf numFmtId="41" fontId="17" fillId="0" borderId="0" xfId="2" applyNumberFormat="1" applyFont="1">
      <alignment vertical="center"/>
    </xf>
    <xf numFmtId="0" fontId="17" fillId="0" borderId="0" xfId="2" applyFont="1" applyAlignment="1">
      <alignment horizontal="center" vertical="center"/>
    </xf>
    <xf numFmtId="41" fontId="17" fillId="0" borderId="0" xfId="3" applyFont="1" applyAlignment="1">
      <alignment horizontal="center" vertical="center"/>
    </xf>
    <xf numFmtId="178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178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3" fillId="6" borderId="1" xfId="4" applyFont="1" applyFill="1" applyBorder="1" applyAlignment="1"/>
    <xf numFmtId="41" fontId="23" fillId="6" borderId="1" xfId="5" applyFont="1" applyFill="1" applyBorder="1" applyAlignment="1"/>
    <xf numFmtId="0" fontId="23" fillId="6" borderId="1" xfId="6" applyFont="1" applyFill="1" applyBorder="1" applyAlignment="1"/>
    <xf numFmtId="0" fontId="23" fillId="6" borderId="1" xfId="6" applyFont="1" applyFill="1" applyBorder="1" applyAlignment="1">
      <alignment horizontal="center"/>
    </xf>
    <xf numFmtId="0" fontId="23" fillId="6" borderId="1" xfId="5" applyNumberFormat="1" applyFont="1" applyFill="1" applyBorder="1" applyAlignment="1"/>
    <xf numFmtId="41" fontId="24" fillId="6" borderId="1" xfId="5" applyFont="1" applyFill="1" applyBorder="1" applyAlignment="1"/>
    <xf numFmtId="182" fontId="23" fillId="6" borderId="1" xfId="5" applyNumberFormat="1" applyFont="1" applyFill="1" applyBorder="1" applyAlignment="1"/>
    <xf numFmtId="0" fontId="17" fillId="0" borderId="42" xfId="2" applyFont="1" applyBorder="1" applyAlignment="1">
      <alignment horizontal="center" vertical="center"/>
    </xf>
    <xf numFmtId="0" fontId="17" fillId="0" borderId="41" xfId="2" applyFont="1" applyBorder="1" applyAlignment="1">
      <alignment horizontal="center" vertical="center"/>
    </xf>
    <xf numFmtId="49" fontId="4" fillId="0" borderId="0" xfId="0" applyNumberFormat="1" applyFont="1" applyAlignment="1"/>
    <xf numFmtId="0" fontId="6" fillId="0" borderId="1" xfId="0" applyNumberFormat="1" applyFont="1" applyBorder="1"/>
    <xf numFmtId="49" fontId="10" fillId="0" borderId="1" xfId="0" applyNumberFormat="1" applyFont="1" applyBorder="1"/>
    <xf numFmtId="10" fontId="17" fillId="0" borderId="42" xfId="2" applyNumberFormat="1" applyFont="1" applyBorder="1" applyAlignment="1">
      <alignment horizontal="center" vertical="center"/>
    </xf>
    <xf numFmtId="9" fontId="17" fillId="0" borderId="42" xfId="2" applyNumberFormat="1" applyFont="1" applyBorder="1">
      <alignment vertical="center"/>
    </xf>
    <xf numFmtId="0" fontId="4" fillId="0" borderId="44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48" xfId="0" applyFont="1" applyBorder="1"/>
    <xf numFmtId="0" fontId="28" fillId="6" borderId="13" xfId="20" applyFill="1" applyBorder="1" applyAlignment="1">
      <alignment horizontal="center" vertical="center"/>
    </xf>
    <xf numFmtId="0" fontId="28" fillId="6" borderId="14" xfId="20" applyFill="1" applyBorder="1" applyAlignment="1">
      <alignment horizontal="center" vertical="center"/>
    </xf>
    <xf numFmtId="0" fontId="28" fillId="6" borderId="15" xfId="20" applyFill="1" applyBorder="1" applyAlignment="1">
      <alignment horizontal="center" vertical="center"/>
    </xf>
    <xf numFmtId="0" fontId="28" fillId="6" borderId="16" xfId="20" applyFill="1" applyBorder="1" applyAlignment="1">
      <alignment horizontal="center" vertical="center"/>
    </xf>
    <xf numFmtId="0" fontId="28" fillId="6" borderId="0" xfId="20" applyFont="1" applyFill="1" applyBorder="1" applyAlignment="1">
      <alignment horizontal="center" vertical="center"/>
    </xf>
    <xf numFmtId="0" fontId="28" fillId="6" borderId="0" xfId="20" applyFill="1" applyBorder="1" applyAlignment="1">
      <alignment horizontal="center" vertical="center"/>
    </xf>
    <xf numFmtId="0" fontId="30" fillId="6" borderId="0" xfId="20" applyFont="1" applyFill="1" applyBorder="1" applyAlignment="1">
      <alignment horizontal="left" vertical="center"/>
    </xf>
    <xf numFmtId="0" fontId="28" fillId="6" borderId="9" xfId="20" applyFill="1" applyBorder="1" applyAlignment="1">
      <alignment horizontal="center" vertical="center"/>
    </xf>
    <xf numFmtId="0" fontId="28" fillId="6" borderId="17" xfId="20" applyFill="1" applyBorder="1" applyAlignment="1">
      <alignment horizontal="center" vertical="center"/>
    </xf>
    <xf numFmtId="0" fontId="32" fillId="6" borderId="16" xfId="21" applyFill="1" applyBorder="1"/>
    <xf numFmtId="0" fontId="32" fillId="6" borderId="0" xfId="21" applyFill="1" applyBorder="1"/>
    <xf numFmtId="0" fontId="32" fillId="6" borderId="17" xfId="21" applyFill="1" applyBorder="1"/>
    <xf numFmtId="0" fontId="33" fillId="6" borderId="0" xfId="20" applyFont="1" applyFill="1" applyBorder="1" applyAlignment="1">
      <alignment horizontal="left" vertical="center"/>
    </xf>
    <xf numFmtId="0" fontId="34" fillId="6" borderId="0" xfId="20" applyFont="1" applyFill="1" applyBorder="1" applyAlignment="1">
      <alignment horizontal="left" vertical="center"/>
    </xf>
    <xf numFmtId="0" fontId="35" fillId="6" borderId="0" xfId="21" applyFont="1" applyFill="1" applyBorder="1" applyAlignment="1">
      <alignment horizontal="left" vertical="center"/>
    </xf>
    <xf numFmtId="0" fontId="36" fillId="6" borderId="0" xfId="21" applyFont="1" applyFill="1" applyBorder="1" applyAlignment="1">
      <alignment horizontal="left" vertical="center"/>
    </xf>
    <xf numFmtId="0" fontId="37" fillId="6" borderId="0" xfId="20" applyFont="1" applyFill="1" applyBorder="1" applyAlignment="1">
      <alignment horizontal="left" vertical="center"/>
    </xf>
    <xf numFmtId="0" fontId="38" fillId="6" borderId="0" xfId="21" applyFont="1" applyFill="1" applyBorder="1" applyAlignment="1">
      <alignment horizontal="left" vertical="center"/>
    </xf>
    <xf numFmtId="0" fontId="37" fillId="6" borderId="16" xfId="20" applyFont="1" applyFill="1" applyBorder="1" applyAlignment="1">
      <alignment horizontal="center" vertical="center"/>
    </xf>
    <xf numFmtId="0" fontId="35" fillId="6" borderId="17" xfId="21" applyFont="1" applyFill="1" applyBorder="1" applyAlignment="1">
      <alignment horizontal="left" vertical="center"/>
    </xf>
    <xf numFmtId="0" fontId="28" fillId="6" borderId="9" xfId="20" applyFont="1" applyFill="1" applyBorder="1" applyAlignment="1">
      <alignment horizontal="center" vertical="center"/>
    </xf>
    <xf numFmtId="0" fontId="34" fillId="6" borderId="0" xfId="20" applyFont="1" applyFill="1" applyBorder="1" applyAlignment="1">
      <alignment vertical="center"/>
    </xf>
    <xf numFmtId="0" fontId="32" fillId="6" borderId="0" xfId="21" applyFill="1"/>
    <xf numFmtId="0" fontId="34" fillId="6" borderId="16" xfId="20" applyFont="1" applyFill="1" applyBorder="1" applyAlignment="1">
      <alignment horizontal="right" vertical="center"/>
    </xf>
    <xf numFmtId="0" fontId="37" fillId="6" borderId="0" xfId="20" applyFont="1" applyFill="1" applyBorder="1" applyAlignment="1">
      <alignment horizontal="center" vertical="center"/>
    </xf>
    <xf numFmtId="0" fontId="37" fillId="6" borderId="0" xfId="20" applyFont="1" applyFill="1" applyBorder="1" applyAlignment="1">
      <alignment horizontal="right" vertical="center"/>
    </xf>
    <xf numFmtId="0" fontId="39" fillId="6" borderId="0" xfId="20" applyFont="1" applyFill="1" applyBorder="1" applyAlignment="1">
      <alignment horizontal="left" vertical="center"/>
    </xf>
    <xf numFmtId="183" fontId="37" fillId="6" borderId="17" xfId="20" applyNumberFormat="1" applyFont="1" applyFill="1" applyBorder="1" applyAlignment="1">
      <alignment horizontal="center" vertical="center"/>
    </xf>
    <xf numFmtId="0" fontId="37" fillId="6" borderId="0" xfId="20" applyFont="1" applyFill="1" applyBorder="1" applyAlignment="1">
      <alignment vertical="center"/>
    </xf>
    <xf numFmtId="0" fontId="39" fillId="6" borderId="0" xfId="20" applyFont="1" applyFill="1" applyBorder="1" applyAlignment="1">
      <alignment horizontal="center" vertical="center"/>
    </xf>
    <xf numFmtId="0" fontId="37" fillId="6" borderId="17" xfId="20" applyFont="1" applyFill="1" applyBorder="1" applyAlignment="1">
      <alignment horizontal="left" vertical="center"/>
    </xf>
    <xf numFmtId="0" fontId="37" fillId="6" borderId="17" xfId="20" applyFont="1" applyFill="1" applyBorder="1" applyAlignment="1">
      <alignment horizontal="center" vertical="center"/>
    </xf>
    <xf numFmtId="0" fontId="28" fillId="6" borderId="3" xfId="20" applyFill="1" applyBorder="1" applyAlignment="1">
      <alignment horizontal="center" vertical="center"/>
    </xf>
    <xf numFmtId="0" fontId="37" fillId="6" borderId="18" xfId="20" applyFont="1" applyFill="1" applyBorder="1" applyAlignment="1">
      <alignment horizontal="center" vertical="center"/>
    </xf>
    <xf numFmtId="0" fontId="37" fillId="6" borderId="19" xfId="20" applyFont="1" applyFill="1" applyBorder="1" applyAlignment="1">
      <alignment horizontal="center" vertical="center"/>
    </xf>
    <xf numFmtId="0" fontId="37" fillId="6" borderId="20" xfId="2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 applyBorder="1" applyAlignment="1"/>
    <xf numFmtId="0" fontId="4" fillId="0" borderId="0" xfId="0" applyNumberFormat="1" applyFont="1" applyBorder="1" applyAlignment="1">
      <alignment horizontal="left"/>
    </xf>
    <xf numFmtId="49" fontId="9" fillId="0" borderId="0" xfId="0" applyNumberFormat="1" applyFont="1" applyAlignment="1">
      <alignment horizontal="distributed"/>
    </xf>
    <xf numFmtId="0" fontId="9" fillId="0" borderId="0" xfId="0" applyNumberFormat="1" applyFont="1" applyAlignment="1">
      <alignment horizontal="distributed"/>
    </xf>
    <xf numFmtId="49" fontId="4" fillId="0" borderId="0" xfId="0" applyNumberFormat="1" applyFont="1" applyAlignment="1"/>
    <xf numFmtId="0" fontId="4" fillId="0" borderId="0" xfId="0" applyNumberFormat="1" applyFont="1" applyAlignment="1"/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49" fontId="4" fillId="0" borderId="1" xfId="0" applyNumberFormat="1" applyFont="1" applyBorder="1" applyAlignment="1">
      <alignment horizontal="left" vertical="center"/>
    </xf>
    <xf numFmtId="49" fontId="4" fillId="0" borderId="8" xfId="0" applyNumberFormat="1" applyFont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4" fillId="0" borderId="23" xfId="0" applyNumberFormat="1" applyFont="1" applyBorder="1" applyAlignment="1">
      <alignment horizontal="left" vertical="center"/>
    </xf>
    <xf numFmtId="49" fontId="4" fillId="0" borderId="31" xfId="0" applyNumberFormat="1" applyFont="1" applyBorder="1" applyAlignment="1">
      <alignment horizontal="left" vertical="center"/>
    </xf>
    <xf numFmtId="49" fontId="4" fillId="0" borderId="32" xfId="0" applyNumberFormat="1" applyFont="1" applyBorder="1" applyAlignment="1">
      <alignment horizontal="left" vertical="center"/>
    </xf>
    <xf numFmtId="49" fontId="4" fillId="0" borderId="37" xfId="0" applyNumberFormat="1" applyFont="1" applyBorder="1" applyAlignment="1">
      <alignment horizontal="left" vertical="center" indent="2"/>
    </xf>
    <xf numFmtId="49" fontId="4" fillId="0" borderId="3" xfId="0" applyNumberFormat="1" applyFont="1" applyBorder="1" applyAlignment="1">
      <alignment horizontal="left" vertical="center" indent="2"/>
    </xf>
    <xf numFmtId="49" fontId="4" fillId="0" borderId="29" xfId="0" applyNumberFormat="1" applyFont="1" applyBorder="1" applyAlignment="1">
      <alignment horizontal="left" vertical="center" indent="2"/>
    </xf>
    <xf numFmtId="49" fontId="4" fillId="0" borderId="1" xfId="0" applyNumberFormat="1" applyFont="1" applyBorder="1" applyAlignment="1">
      <alignment horizontal="left" vertical="center" indent="2"/>
    </xf>
    <xf numFmtId="0" fontId="4" fillId="0" borderId="0" xfId="0" applyFont="1" applyAlignment="1">
      <alignment horizontal="left" vertical="center"/>
    </xf>
    <xf numFmtId="178" fontId="4" fillId="0" borderId="23" xfId="0" applyNumberFormat="1" applyFont="1" applyBorder="1" applyAlignment="1">
      <alignment vertical="center"/>
    </xf>
    <xf numFmtId="178" fontId="4" fillId="0" borderId="3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78" fontId="4" fillId="0" borderId="35" xfId="0" applyNumberFormat="1" applyFont="1" applyBorder="1" applyAlignment="1">
      <alignment vertical="center"/>
    </xf>
    <xf numFmtId="178" fontId="4" fillId="0" borderId="36" xfId="0" applyNumberFormat="1" applyFont="1" applyBorder="1" applyAlignment="1">
      <alignment vertical="center"/>
    </xf>
    <xf numFmtId="49" fontId="4" fillId="0" borderId="24" xfId="0" applyNumberFormat="1" applyFont="1" applyBorder="1" applyAlignment="1">
      <alignment horizontal="left" vertical="center" indent="1"/>
    </xf>
    <xf numFmtId="49" fontId="4" fillId="0" borderId="0" xfId="0" applyNumberFormat="1" applyFont="1" applyAlignment="1">
      <alignment horizontal="left" vertical="center" indent="1"/>
    </xf>
    <xf numFmtId="49" fontId="4" fillId="0" borderId="25" xfId="0" applyNumberFormat="1" applyFont="1" applyBorder="1" applyAlignment="1">
      <alignment horizontal="left" vertical="center" indent="1"/>
    </xf>
    <xf numFmtId="49" fontId="4" fillId="0" borderId="26" xfId="0" applyNumberFormat="1" applyFont="1" applyBorder="1" applyAlignment="1">
      <alignment horizontal="left" vertical="center" indent="1"/>
    </xf>
    <xf numFmtId="49" fontId="4" fillId="0" borderId="27" xfId="0" applyNumberFormat="1" applyFont="1" applyBorder="1" applyAlignment="1">
      <alignment horizontal="left" vertical="center" indent="1"/>
    </xf>
    <xf numFmtId="49" fontId="4" fillId="0" borderId="0" xfId="0" applyNumberFormat="1" applyFont="1" applyBorder="1" applyAlignment="1">
      <alignment horizontal="left" vertical="center" indent="1"/>
    </xf>
    <xf numFmtId="49" fontId="4" fillId="0" borderId="28" xfId="0" applyNumberFormat="1" applyFont="1" applyBorder="1" applyAlignment="1">
      <alignment horizontal="left" vertical="center" indent="1"/>
    </xf>
    <xf numFmtId="49" fontId="4" fillId="0" borderId="21" xfId="0" applyNumberFormat="1" applyFont="1" applyBorder="1" applyAlignment="1">
      <alignment horizontal="left" vertical="center"/>
    </xf>
    <xf numFmtId="49" fontId="4" fillId="0" borderId="22" xfId="0" applyNumberFormat="1" applyFont="1" applyBorder="1" applyAlignment="1">
      <alignment horizontal="left" vertical="center"/>
    </xf>
    <xf numFmtId="49" fontId="4" fillId="0" borderId="33" xfId="0" applyNumberFormat="1" applyFont="1" applyBorder="1" applyAlignment="1">
      <alignment horizontal="left" vertical="center" indent="1"/>
    </xf>
    <xf numFmtId="49" fontId="4" fillId="0" borderId="14" xfId="0" applyNumberFormat="1" applyFont="1" applyBorder="1" applyAlignment="1">
      <alignment horizontal="left" vertical="center" indent="1"/>
    </xf>
    <xf numFmtId="49" fontId="4" fillId="0" borderId="34" xfId="0" applyNumberFormat="1" applyFont="1" applyBorder="1" applyAlignment="1">
      <alignment horizontal="left" vertical="center" indent="1"/>
    </xf>
    <xf numFmtId="0" fontId="4" fillId="0" borderId="23" xfId="0" applyFont="1" applyBorder="1" applyAlignment="1">
      <alignment horizontal="left" vertical="center" indent="1"/>
    </xf>
    <xf numFmtId="0" fontId="0" fillId="0" borderId="30" xfId="0" applyBorder="1" applyAlignment="1">
      <alignment horizontal="left" vertical="center" indent="1"/>
    </xf>
    <xf numFmtId="49" fontId="4" fillId="0" borderId="38" xfId="0" applyNumberFormat="1" applyFont="1" applyBorder="1" applyAlignment="1">
      <alignment horizontal="left" vertical="center" indent="2"/>
    </xf>
    <xf numFmtId="49" fontId="4" fillId="0" borderId="11" xfId="0" applyNumberFormat="1" applyFont="1" applyBorder="1" applyAlignment="1">
      <alignment horizontal="left" vertical="center" indent="2"/>
    </xf>
    <xf numFmtId="0" fontId="4" fillId="0" borderId="26" xfId="0" applyFont="1" applyBorder="1" applyAlignment="1">
      <alignment vertical="center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26" xfId="0" applyNumberFormat="1" applyFont="1" applyBorder="1" applyAlignment="1">
      <alignment horizontal="right" vertical="center"/>
    </xf>
    <xf numFmtId="0" fontId="28" fillId="6" borderId="2" xfId="20" applyFill="1" applyBorder="1" applyAlignment="1">
      <alignment horizontal="center" vertical="center"/>
    </xf>
    <xf numFmtId="0" fontId="28" fillId="6" borderId="3" xfId="20" applyFill="1" applyBorder="1" applyAlignment="1">
      <alignment horizontal="center" vertical="center"/>
    </xf>
    <xf numFmtId="0" fontId="28" fillId="6" borderId="2" xfId="20" applyFont="1" applyFill="1" applyBorder="1" applyAlignment="1">
      <alignment horizontal="center" vertical="center"/>
    </xf>
    <xf numFmtId="0" fontId="30" fillId="6" borderId="0" xfId="20" applyFont="1" applyFill="1" applyBorder="1" applyAlignment="1">
      <alignment horizontal="left" vertical="center"/>
    </xf>
    <xf numFmtId="0" fontId="30" fillId="6" borderId="17" xfId="20" applyFont="1" applyFill="1" applyBorder="1" applyAlignment="1">
      <alignment horizontal="left" vertical="center"/>
    </xf>
    <xf numFmtId="0" fontId="31" fillId="6" borderId="16" xfId="20" applyFont="1" applyFill="1" applyBorder="1" applyAlignment="1">
      <alignment horizontal="center" vertical="center"/>
    </xf>
    <xf numFmtId="0" fontId="31" fillId="6" borderId="0" xfId="20" applyFont="1" applyFill="1" applyBorder="1" applyAlignment="1">
      <alignment horizontal="center" vertical="center"/>
    </xf>
    <xf numFmtId="0" fontId="31" fillId="6" borderId="17" xfId="20" applyFont="1" applyFill="1" applyBorder="1" applyAlignment="1">
      <alignment horizontal="center" vertical="center"/>
    </xf>
    <xf numFmtId="42" fontId="37" fillId="6" borderId="0" xfId="14" applyFont="1" applyFill="1" applyBorder="1" applyAlignment="1">
      <alignment horizontal="center" vertical="center"/>
    </xf>
    <xf numFmtId="0" fontId="40" fillId="6" borderId="0" xfId="21" applyFont="1" applyFill="1" applyAlignment="1">
      <alignment horizontal="center" wrapText="1"/>
    </xf>
    <xf numFmtId="0" fontId="17" fillId="0" borderId="40" xfId="2" applyFont="1" applyBorder="1" applyAlignment="1">
      <alignment horizontal="center" vertical="center"/>
    </xf>
    <xf numFmtId="0" fontId="17" fillId="0" borderId="42" xfId="2" applyFont="1" applyBorder="1" applyAlignment="1">
      <alignment horizontal="center" vertical="center"/>
    </xf>
    <xf numFmtId="0" fontId="17" fillId="0" borderId="41" xfId="2" applyFont="1" applyBorder="1" applyAlignment="1">
      <alignment horizontal="center" vertical="center"/>
    </xf>
    <xf numFmtId="0" fontId="17" fillId="0" borderId="39" xfId="2" applyFont="1" applyBorder="1" applyAlignment="1">
      <alignment horizontal="center" vertical="center"/>
    </xf>
    <xf numFmtId="0" fontId="17" fillId="0" borderId="40" xfId="2" applyFont="1" applyBorder="1" applyAlignment="1">
      <alignment horizontal="left" vertical="center"/>
    </xf>
    <xf numFmtId="0" fontId="17" fillId="0" borderId="42" xfId="2" applyFont="1" applyBorder="1" applyAlignment="1">
      <alignment horizontal="left" vertical="center"/>
    </xf>
    <xf numFmtId="0" fontId="17" fillId="0" borderId="41" xfId="2" applyFont="1" applyBorder="1" applyAlignment="1">
      <alignment horizontal="left" vertical="center"/>
    </xf>
    <xf numFmtId="0" fontId="17" fillId="0" borderId="39" xfId="2" applyFont="1" applyBorder="1" applyAlignment="1">
      <alignment horizontal="left" vertical="center"/>
    </xf>
    <xf numFmtId="0" fontId="16" fillId="0" borderId="41" xfId="2" applyBorder="1">
      <alignment vertical="center"/>
    </xf>
    <xf numFmtId="0" fontId="17" fillId="0" borderId="39" xfId="2" applyFont="1" applyBorder="1" applyAlignment="1">
      <alignment horizontal="center" vertical="center" textRotation="255"/>
    </xf>
    <xf numFmtId="49" fontId="17" fillId="0" borderId="0" xfId="2" applyNumberFormat="1" applyFont="1" applyAlignment="1">
      <alignment horizontal="left" vertical="center"/>
    </xf>
    <xf numFmtId="0" fontId="17" fillId="0" borderId="0" xfId="2" applyFont="1" applyAlignment="1">
      <alignment horizontal="left" vertical="center"/>
    </xf>
    <xf numFmtId="49" fontId="4" fillId="0" borderId="23" xfId="0" applyNumberFormat="1" applyFont="1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0" xfId="0" applyBorder="1" applyAlignment="1">
      <alignment horizontal="left"/>
    </xf>
    <xf numFmtId="178" fontId="4" fillId="0" borderId="1" xfId="0" applyNumberFormat="1" applyFont="1" applyBorder="1" applyAlignment="1">
      <alignment horizontal="center" vertical="center"/>
    </xf>
    <xf numFmtId="49" fontId="4" fillId="0" borderId="19" xfId="0" applyNumberFormat="1" applyFont="1" applyBorder="1" applyAlignment="1">
      <alignment horizontal="left"/>
    </xf>
    <xf numFmtId="49" fontId="0" fillId="0" borderId="19" xfId="0" applyNumberFormat="1" applyBorder="1" applyAlignment="1">
      <alignment horizontal="left"/>
    </xf>
    <xf numFmtId="49" fontId="4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178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49" fontId="6" fillId="0" borderId="19" xfId="0" applyNumberFormat="1" applyFont="1" applyBorder="1" applyAlignment="1">
      <alignment horizontal="left"/>
    </xf>
    <xf numFmtId="0" fontId="4" fillId="0" borderId="18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left"/>
    </xf>
    <xf numFmtId="49" fontId="10" fillId="0" borderId="23" xfId="0" applyNumberFormat="1" applyFont="1" applyBorder="1" applyAlignment="1">
      <alignment horizontal="left"/>
    </xf>
    <xf numFmtId="0" fontId="13" fillId="0" borderId="31" xfId="0" applyFont="1" applyBorder="1" applyAlignment="1">
      <alignment horizontal="left"/>
    </xf>
    <xf numFmtId="0" fontId="13" fillId="0" borderId="30" xfId="0" applyFont="1" applyBorder="1" applyAlignment="1">
      <alignment horizontal="left"/>
    </xf>
    <xf numFmtId="0" fontId="0" fillId="0" borderId="2" xfId="0" applyBorder="1" applyAlignment="1"/>
    <xf numFmtId="0" fontId="0" fillId="0" borderId="19" xfId="0" applyBorder="1" applyAlignment="1">
      <alignment horizontal="left"/>
    </xf>
    <xf numFmtId="49" fontId="0" fillId="0" borderId="2" xfId="0" applyNumberFormat="1" applyBorder="1" applyAlignment="1"/>
    <xf numFmtId="0" fontId="0" fillId="0" borderId="2" xfId="0" applyBorder="1" applyAlignment="1">
      <alignment horizontal="center"/>
    </xf>
    <xf numFmtId="0" fontId="15" fillId="4" borderId="13" xfId="0" applyFont="1" applyFill="1" applyBorder="1" applyAlignment="1">
      <alignment horizontal="center" vertical="center"/>
    </xf>
    <xf numFmtId="0" fontId="15" fillId="4" borderId="14" xfId="0" applyFont="1" applyFill="1" applyBorder="1" applyAlignment="1">
      <alignment horizontal="center" vertical="center"/>
    </xf>
    <xf numFmtId="0" fontId="15" fillId="4" borderId="15" xfId="0" applyFont="1" applyFill="1" applyBorder="1" applyAlignment="1">
      <alignment horizontal="center" vertical="center"/>
    </xf>
    <xf numFmtId="0" fontId="15" fillId="4" borderId="18" xfId="0" applyFont="1" applyFill="1" applyBorder="1" applyAlignment="1">
      <alignment horizontal="center" vertical="center"/>
    </xf>
    <xf numFmtId="0" fontId="15" fillId="4" borderId="19" xfId="0" applyFont="1" applyFill="1" applyBorder="1" applyAlignment="1">
      <alignment horizontal="center" vertical="center"/>
    </xf>
    <xf numFmtId="0" fontId="15" fillId="4" borderId="20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</cellXfs>
  <cellStyles count="22">
    <cellStyle name="Header1" xfId="7" xr:uid="{00000000-0005-0000-0000-000000000000}"/>
    <cellStyle name="Header2" xfId="8" xr:uid="{00000000-0005-0000-0000-000001000000}"/>
    <cellStyle name="백분율 2" xfId="9" xr:uid="{00000000-0005-0000-0000-000002000000}"/>
    <cellStyle name="쉼표 [0]" xfId="1" builtinId="6"/>
    <cellStyle name="쉼표 [0] 2" xfId="3" xr:uid="{00000000-0005-0000-0000-000004000000}"/>
    <cellStyle name="쉼표 [0] 2 2" xfId="5" xr:uid="{00000000-0005-0000-0000-000005000000}"/>
    <cellStyle name="쉼표 [0] 2 2 2" xfId="10" xr:uid="{00000000-0005-0000-0000-000006000000}"/>
    <cellStyle name="쉼표 [0] 2 3" xfId="11" xr:uid="{00000000-0005-0000-0000-000007000000}"/>
    <cellStyle name="콤마 [0]_12월제안" xfId="12" xr:uid="{00000000-0005-0000-0000-000008000000}"/>
    <cellStyle name="콤마_12월제안" xfId="13" xr:uid="{00000000-0005-0000-0000-000009000000}"/>
    <cellStyle name="통화 [0] 2" xfId="14" xr:uid="{00000000-0005-0000-0000-00000A000000}"/>
    <cellStyle name="통화 [0] 3" xfId="15" xr:uid="{00000000-0005-0000-0000-00000B000000}"/>
    <cellStyle name="표준" xfId="0" builtinId="0"/>
    <cellStyle name="표준 2" xfId="2" xr:uid="{00000000-0005-0000-0000-00000D000000}"/>
    <cellStyle name="표준 2 2" xfId="6" xr:uid="{00000000-0005-0000-0000-00000E000000}"/>
    <cellStyle name="표준 2 2 2 2" xfId="16" xr:uid="{00000000-0005-0000-0000-00000F000000}"/>
    <cellStyle name="표준 2 3" xfId="4" xr:uid="{00000000-0005-0000-0000-000010000000}"/>
    <cellStyle name="표준 3" xfId="17" xr:uid="{00000000-0005-0000-0000-000011000000}"/>
    <cellStyle name="표준 45" xfId="18" xr:uid="{00000000-0005-0000-0000-000012000000}"/>
    <cellStyle name="표준 5" xfId="19" xr:uid="{00000000-0005-0000-0000-000013000000}"/>
    <cellStyle name="표준_Sheet1" xfId="21" xr:uid="{00000000-0005-0000-0000-000014000000}"/>
    <cellStyle name="표준_결재서식" xfId="20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1</xdr:row>
      <xdr:rowOff>19050</xdr:rowOff>
    </xdr:from>
    <xdr:to>
      <xdr:col>5</xdr:col>
      <xdr:colOff>428625</xdr:colOff>
      <xdr:row>1</xdr:row>
      <xdr:rowOff>19050</xdr:rowOff>
    </xdr:to>
    <xdr:sp macro="" textlink="">
      <xdr:nvSpPr>
        <xdr:cNvPr id="2053" name="Line 5">
          <a:extLst>
            <a:ext uri="{FF2B5EF4-FFF2-40B4-BE49-F238E27FC236}">
              <a16:creationId xmlns:a16="http://schemas.microsoft.com/office/drawing/2014/main" id="{CC7D7CCB-136E-4A24-9549-53546E493F08}"/>
            </a:ext>
          </a:extLst>
        </xdr:cNvPr>
        <xdr:cNvSpPr>
          <a:spLocks noChangeShapeType="1"/>
        </xdr:cNvSpPr>
      </xdr:nvSpPr>
      <xdr:spPr bwMode="auto">
        <a:xfrm>
          <a:off x="2238375" y="466725"/>
          <a:ext cx="15049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13</xdr:row>
      <xdr:rowOff>38100</xdr:rowOff>
    </xdr:from>
    <xdr:to>
      <xdr:col>6</xdr:col>
      <xdr:colOff>390525</xdr:colOff>
      <xdr:row>13</xdr:row>
      <xdr:rowOff>38100</xdr:rowOff>
    </xdr:to>
    <xdr:sp macro="" textlink="">
      <xdr:nvSpPr>
        <xdr:cNvPr id="1033" name="Line 9">
          <a:extLst>
            <a:ext uri="{FF2B5EF4-FFF2-40B4-BE49-F238E27FC236}">
              <a16:creationId xmlns:a16="http://schemas.microsoft.com/office/drawing/2014/main" id="{569E9C65-044D-4306-A6DD-84597E94C562}"/>
            </a:ext>
          </a:extLst>
        </xdr:cNvPr>
        <xdr:cNvSpPr>
          <a:spLocks noChangeShapeType="1"/>
        </xdr:cNvSpPr>
      </xdr:nvSpPr>
      <xdr:spPr bwMode="auto">
        <a:xfrm>
          <a:off x="333375" y="2200275"/>
          <a:ext cx="38290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15</xdr:row>
      <xdr:rowOff>38100</xdr:rowOff>
    </xdr:from>
    <xdr:to>
      <xdr:col>9</xdr:col>
      <xdr:colOff>95250</xdr:colOff>
      <xdr:row>15</xdr:row>
      <xdr:rowOff>38100</xdr:rowOff>
    </xdr:to>
    <xdr:sp macro="" textlink="">
      <xdr:nvSpPr>
        <xdr:cNvPr id="1034" name="Line 10">
          <a:extLst>
            <a:ext uri="{FF2B5EF4-FFF2-40B4-BE49-F238E27FC236}">
              <a16:creationId xmlns:a16="http://schemas.microsoft.com/office/drawing/2014/main" id="{AD4F367A-AB65-4ED4-BED5-4534FA735AB5}"/>
            </a:ext>
          </a:extLst>
        </xdr:cNvPr>
        <xdr:cNvSpPr>
          <a:spLocks noChangeShapeType="1"/>
        </xdr:cNvSpPr>
      </xdr:nvSpPr>
      <xdr:spPr bwMode="auto">
        <a:xfrm>
          <a:off x="333375" y="2438400"/>
          <a:ext cx="9458325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1</xdr:row>
      <xdr:rowOff>19050</xdr:rowOff>
    </xdr:from>
    <xdr:to>
      <xdr:col>7</xdr:col>
      <xdr:colOff>514350</xdr:colOff>
      <xdr:row>1</xdr:row>
      <xdr:rowOff>19050</xdr:rowOff>
    </xdr:to>
    <xdr:sp macro="" textlink="">
      <xdr:nvSpPr>
        <xdr:cNvPr id="1035" name="Line 11">
          <a:extLst>
            <a:ext uri="{FF2B5EF4-FFF2-40B4-BE49-F238E27FC236}">
              <a16:creationId xmlns:a16="http://schemas.microsoft.com/office/drawing/2014/main" id="{3D7842D3-0400-4735-BC81-98CAB274E292}"/>
            </a:ext>
          </a:extLst>
        </xdr:cNvPr>
        <xdr:cNvSpPr>
          <a:spLocks noChangeShapeType="1"/>
        </xdr:cNvSpPr>
      </xdr:nvSpPr>
      <xdr:spPr bwMode="auto">
        <a:xfrm flipV="1">
          <a:off x="4114800" y="466725"/>
          <a:ext cx="152400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8</xdr:row>
      <xdr:rowOff>38100</xdr:rowOff>
    </xdr:from>
    <xdr:to>
      <xdr:col>4</xdr:col>
      <xdr:colOff>152400</xdr:colOff>
      <xdr:row>8</xdr:row>
      <xdr:rowOff>38100</xdr:rowOff>
    </xdr:to>
    <xdr:sp macro="" textlink="">
      <xdr:nvSpPr>
        <xdr:cNvPr id="1037" name="Line 13">
          <a:extLst>
            <a:ext uri="{FF2B5EF4-FFF2-40B4-BE49-F238E27FC236}">
              <a16:creationId xmlns:a16="http://schemas.microsoft.com/office/drawing/2014/main" id="{759E76A0-0A2A-4DE1-BD7B-C0F525A882E4}"/>
            </a:ext>
          </a:extLst>
        </xdr:cNvPr>
        <xdr:cNvSpPr>
          <a:spLocks noChangeShapeType="1"/>
        </xdr:cNvSpPr>
      </xdr:nvSpPr>
      <xdr:spPr bwMode="auto">
        <a:xfrm>
          <a:off x="333375" y="1571625"/>
          <a:ext cx="26479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4</xdr:row>
      <xdr:rowOff>38100</xdr:rowOff>
    </xdr:from>
    <xdr:to>
      <xdr:col>4</xdr:col>
      <xdr:colOff>152400</xdr:colOff>
      <xdr:row>4</xdr:row>
      <xdr:rowOff>38100</xdr:rowOff>
    </xdr:to>
    <xdr:sp macro="" textlink="">
      <xdr:nvSpPr>
        <xdr:cNvPr id="1038" name="Line 14">
          <a:extLst>
            <a:ext uri="{FF2B5EF4-FFF2-40B4-BE49-F238E27FC236}">
              <a16:creationId xmlns:a16="http://schemas.microsoft.com/office/drawing/2014/main" id="{B1DD40BF-CE0C-4222-8FE4-869BF224667C}"/>
            </a:ext>
          </a:extLst>
        </xdr:cNvPr>
        <xdr:cNvSpPr>
          <a:spLocks noChangeShapeType="1"/>
        </xdr:cNvSpPr>
      </xdr:nvSpPr>
      <xdr:spPr bwMode="auto">
        <a:xfrm>
          <a:off x="333375" y="1000125"/>
          <a:ext cx="26479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6</xdr:row>
      <xdr:rowOff>38100</xdr:rowOff>
    </xdr:from>
    <xdr:to>
      <xdr:col>4</xdr:col>
      <xdr:colOff>152400</xdr:colOff>
      <xdr:row>6</xdr:row>
      <xdr:rowOff>38100</xdr:rowOff>
    </xdr:to>
    <xdr:sp macro="" textlink="">
      <xdr:nvSpPr>
        <xdr:cNvPr id="1039" name="Line 15">
          <a:extLst>
            <a:ext uri="{FF2B5EF4-FFF2-40B4-BE49-F238E27FC236}">
              <a16:creationId xmlns:a16="http://schemas.microsoft.com/office/drawing/2014/main" id="{D41BC216-3769-4830-8791-E46B7DBAAAB4}"/>
            </a:ext>
          </a:extLst>
        </xdr:cNvPr>
        <xdr:cNvSpPr>
          <a:spLocks noChangeShapeType="1"/>
        </xdr:cNvSpPr>
      </xdr:nvSpPr>
      <xdr:spPr bwMode="auto">
        <a:xfrm>
          <a:off x="333375" y="1285875"/>
          <a:ext cx="26479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11</xdr:col>
      <xdr:colOff>581025</xdr:colOff>
      <xdr:row>0</xdr:row>
      <xdr:rowOff>38100</xdr:rowOff>
    </xdr:from>
    <xdr:to>
      <xdr:col>15</xdr:col>
      <xdr:colOff>1190625</xdr:colOff>
      <xdr:row>2</xdr:row>
      <xdr:rowOff>295275</xdr:rowOff>
    </xdr:to>
    <xdr:pic>
      <xdr:nvPicPr>
        <xdr:cNvPr id="1060" name="Picture 36">
          <a:extLst>
            <a:ext uri="{FF2B5EF4-FFF2-40B4-BE49-F238E27FC236}">
              <a16:creationId xmlns:a16="http://schemas.microsoft.com/office/drawing/2014/main" id="{AA809F61-80F6-47A1-B8AE-F4AAACE3C2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01300" y="38100"/>
          <a:ext cx="4572000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742950</xdr:colOff>
      <xdr:row>3</xdr:row>
      <xdr:rowOff>28575</xdr:rowOff>
    </xdr:from>
    <xdr:to>
      <xdr:col>15</xdr:col>
      <xdr:colOff>1038225</xdr:colOff>
      <xdr:row>15</xdr:row>
      <xdr:rowOff>28575</xdr:rowOff>
    </xdr:to>
    <xdr:pic>
      <xdr:nvPicPr>
        <xdr:cNvPr id="1067" name="Picture 43">
          <a:extLst>
            <a:ext uri="{FF2B5EF4-FFF2-40B4-BE49-F238E27FC236}">
              <a16:creationId xmlns:a16="http://schemas.microsoft.com/office/drawing/2014/main" id="{95FD3F92-2EAF-4C62-8B6A-7E6EE4EE5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63225" y="838200"/>
          <a:ext cx="4257675" cy="15906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9525</xdr:colOff>
      <xdr:row>0</xdr:row>
      <xdr:rowOff>57150</xdr:rowOff>
    </xdr:from>
    <xdr:to>
      <xdr:col>21</xdr:col>
      <xdr:colOff>476250</xdr:colOff>
      <xdr:row>30</xdr:row>
      <xdr:rowOff>123825</xdr:rowOff>
    </xdr:to>
    <xdr:pic>
      <xdr:nvPicPr>
        <xdr:cNvPr id="1073" name="Picture 49">
          <a:extLst>
            <a:ext uri="{FF2B5EF4-FFF2-40B4-BE49-F238E27FC236}">
              <a16:creationId xmlns:a16="http://schemas.microsoft.com/office/drawing/2014/main" id="{6720A277-65E8-4C92-978C-19C35D3E3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20925" y="57150"/>
          <a:ext cx="4276725" cy="48672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4098" name="Line 2">
          <a:extLst>
            <a:ext uri="{FF2B5EF4-FFF2-40B4-BE49-F238E27FC236}">
              <a16:creationId xmlns:a16="http://schemas.microsoft.com/office/drawing/2014/main" id="{903A2E66-09A9-46AD-99C5-20993D18B5CE}"/>
            </a:ext>
          </a:extLst>
        </xdr:cNvPr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8</xdr:col>
      <xdr:colOff>257175</xdr:colOff>
      <xdr:row>0</xdr:row>
      <xdr:rowOff>38100</xdr:rowOff>
    </xdr:from>
    <xdr:to>
      <xdr:col>12</xdr:col>
      <xdr:colOff>904875</xdr:colOff>
      <xdr:row>2</xdr:row>
      <xdr:rowOff>28575</xdr:rowOff>
    </xdr:to>
    <xdr:pic>
      <xdr:nvPicPr>
        <xdr:cNvPr id="4100" name="Picture 4">
          <a:extLst>
            <a:ext uri="{FF2B5EF4-FFF2-40B4-BE49-F238E27FC236}">
              <a16:creationId xmlns:a16="http://schemas.microsoft.com/office/drawing/2014/main" id="{C94B084C-A944-41A4-9C6D-0FD8B23BAE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63275" y="38100"/>
          <a:ext cx="4572000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57150</xdr:colOff>
      <xdr:row>7</xdr:row>
      <xdr:rowOff>47625</xdr:rowOff>
    </xdr:from>
    <xdr:to>
      <xdr:col>18</xdr:col>
      <xdr:colOff>523875</xdr:colOff>
      <xdr:row>35</xdr:row>
      <xdr:rowOff>114300</xdr:rowOff>
    </xdr:to>
    <xdr:pic>
      <xdr:nvPicPr>
        <xdr:cNvPr id="4101" name="Picture 5">
          <a:extLst>
            <a:ext uri="{FF2B5EF4-FFF2-40B4-BE49-F238E27FC236}">
              <a16:creationId xmlns:a16="http://schemas.microsoft.com/office/drawing/2014/main" id="{302A88B2-FE65-4975-AE6F-296E741B88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49600" y="1781175"/>
          <a:ext cx="4276725" cy="48672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38100</xdr:colOff>
      <xdr:row>0</xdr:row>
      <xdr:rowOff>76200</xdr:rowOff>
    </xdr:from>
    <xdr:to>
      <xdr:col>18</xdr:col>
      <xdr:colOff>485775</xdr:colOff>
      <xdr:row>6</xdr:row>
      <xdr:rowOff>104775</xdr:rowOff>
    </xdr:to>
    <xdr:pic>
      <xdr:nvPicPr>
        <xdr:cNvPr id="4102" name="Picture 6">
          <a:extLst>
            <a:ext uri="{FF2B5EF4-FFF2-40B4-BE49-F238E27FC236}">
              <a16:creationId xmlns:a16="http://schemas.microsoft.com/office/drawing/2014/main" id="{9B97331A-4C83-41C9-A20C-829FC7B460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30550" y="76200"/>
          <a:ext cx="4257675" cy="15906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0</xdr:colOff>
      <xdr:row>86</xdr:row>
      <xdr:rowOff>0</xdr:rowOff>
    </xdr:from>
    <xdr:to>
      <xdr:col>30</xdr:col>
      <xdr:colOff>676835</xdr:colOff>
      <xdr:row>94</xdr:row>
      <xdr:rowOff>104775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91B323A-3D94-4B32-A453-721E02EBD6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067059" y="24765000"/>
          <a:ext cx="3702423" cy="243559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739589</xdr:colOff>
      <xdr:row>91</xdr:row>
      <xdr:rowOff>201705</xdr:rowOff>
    </xdr:from>
    <xdr:to>
      <xdr:col>37</xdr:col>
      <xdr:colOff>366732</xdr:colOff>
      <xdr:row>108</xdr:row>
      <xdr:rowOff>220514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B7F278F-6F02-5613-84E3-A6A63F04BD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567648" y="21616146"/>
          <a:ext cx="11057143" cy="190139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26" name="Picture 10">
          <a:extLst>
            <a:ext uri="{FF2B5EF4-FFF2-40B4-BE49-F238E27FC236}">
              <a16:creationId xmlns:a16="http://schemas.microsoft.com/office/drawing/2014/main" id="{351D3746-F676-4F53-BE44-968BE405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21</xdr:row>
      <xdr:rowOff>47625</xdr:rowOff>
    </xdr:from>
    <xdr:to>
      <xdr:col>1</xdr:col>
      <xdr:colOff>5467350</xdr:colOff>
      <xdr:row>31</xdr:row>
      <xdr:rowOff>190500</xdr:rowOff>
    </xdr:to>
    <xdr:sp macro="" textlink="">
      <xdr:nvSpPr>
        <xdr:cNvPr id="7175" name="Rectangle 7">
          <a:extLst>
            <a:ext uri="{FF2B5EF4-FFF2-40B4-BE49-F238E27FC236}">
              <a16:creationId xmlns:a16="http://schemas.microsoft.com/office/drawing/2014/main" id="{20C58769-A46E-4C7C-82ED-85782229D23F}"/>
            </a:ext>
          </a:extLst>
        </xdr:cNvPr>
        <xdr:cNvSpPr>
          <a:spLocks noChangeArrowheads="1"/>
        </xdr:cNvSpPr>
      </xdr:nvSpPr>
      <xdr:spPr bwMode="auto">
        <a:xfrm>
          <a:off x="942975" y="5067300"/>
          <a:ext cx="4924425" cy="2524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21</xdr:row>
      <xdr:rowOff>133350</xdr:rowOff>
    </xdr:from>
    <xdr:to>
      <xdr:col>1</xdr:col>
      <xdr:colOff>2781300</xdr:colOff>
      <xdr:row>31</xdr:row>
      <xdr:rowOff>133350</xdr:rowOff>
    </xdr:to>
    <xdr:pic>
      <xdr:nvPicPr>
        <xdr:cNvPr id="7176" name="Picture 8" descr="행높이팝업">
          <a:extLst>
            <a:ext uri="{FF2B5EF4-FFF2-40B4-BE49-F238E27FC236}">
              <a16:creationId xmlns:a16="http://schemas.microsoft.com/office/drawing/2014/main" id="{E182F931-98AC-4D39-AD6F-5CF178437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515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24</xdr:row>
      <xdr:rowOff>104775</xdr:rowOff>
    </xdr:from>
    <xdr:to>
      <xdr:col>1</xdr:col>
      <xdr:colOff>4953000</xdr:colOff>
      <xdr:row>28</xdr:row>
      <xdr:rowOff>66675</xdr:rowOff>
    </xdr:to>
    <xdr:pic>
      <xdr:nvPicPr>
        <xdr:cNvPr id="7177" name="Picture 9" descr="행높이">
          <a:extLst>
            <a:ext uri="{FF2B5EF4-FFF2-40B4-BE49-F238E27FC236}">
              <a16:creationId xmlns:a16="http://schemas.microsoft.com/office/drawing/2014/main" id="{EFF472D9-9590-410C-9E4F-78D999E33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583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3.&#54532;&#47536;&#53944;/&#51312;&#50980;&#49457;/&#44033;&#54868;&#45453;&#49328;&#47932;&#49884;&#51109;-&#49444;&#44228;&#54364;&#51648;_ver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3.&#54532;&#47536;&#53944;/&#51312;&#50980;&#49457;/&#44033;&#54868;&#46041;&#45453;&#49328;&#47932;&#46020;&#47588;&#49884;&#51109;&#44288;&#47532;&#49324;&#47924;&#49548;/2.&#45236;&#50669;&#49436;-&#51089;&#50629;&#50857;/02.2&#52264;%20&#51068;&#50948;&#54252;&#54632;&#51089;&#50629;/1.&#45453;&#49688;&#49328;&#47932;&#46020;&#47588;&#49884;&#51109;%20&#45432;&#54980;&#51204;&#44592;&#49444;&#48708;&#51221;&#48708;%20&#49892;&#49884;&#49444;&#44228;%20&#51204;&#44592;&#44277;&#49324;(&#45800;&#44032;&#52628;&#44032;&#51089;&#50629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판"/>
      <sheetName val="결제판"/>
      <sheetName val="a4가로표지 (3)"/>
      <sheetName val="도면표지 (2)"/>
      <sheetName val="a4표지 (3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겉표지"/>
      <sheetName val="표지"/>
      <sheetName val="원가"/>
      <sheetName val="원가계산서"/>
      <sheetName val="총괄표"/>
      <sheetName val="내역서"/>
      <sheetName val="노임근거"/>
      <sheetName val="일대목차"/>
      <sheetName val="일위대가"/>
      <sheetName val="일위노임"/>
      <sheetName val="합산자재"/>
      <sheetName val="단가조사"/>
      <sheetName val="옵션"/>
      <sheetName val="사용설명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6">
          <cell r="H16">
            <v>373</v>
          </cell>
          <cell r="I16">
            <v>0</v>
          </cell>
          <cell r="J16">
            <v>0</v>
          </cell>
        </row>
        <row r="17">
          <cell r="H17">
            <v>750</v>
          </cell>
          <cell r="I17">
            <v>0</v>
          </cell>
          <cell r="J17">
            <v>0</v>
          </cell>
        </row>
        <row r="18">
          <cell r="H18">
            <v>6176</v>
          </cell>
          <cell r="I18">
            <v>0</v>
          </cell>
          <cell r="J18">
            <v>0</v>
          </cell>
        </row>
        <row r="21">
          <cell r="I21">
            <v>0</v>
          </cell>
          <cell r="J21">
            <v>0</v>
          </cell>
        </row>
        <row r="22">
          <cell r="I22">
            <v>0</v>
          </cell>
          <cell r="J22">
            <v>0</v>
          </cell>
        </row>
        <row r="23">
          <cell r="I23">
            <v>0</v>
          </cell>
          <cell r="J23">
            <v>0</v>
          </cell>
        </row>
        <row r="25">
          <cell r="H25">
            <v>200</v>
          </cell>
          <cell r="I25">
            <v>0</v>
          </cell>
          <cell r="J25">
            <v>0</v>
          </cell>
        </row>
        <row r="27">
          <cell r="I27">
            <v>0</v>
          </cell>
          <cell r="J27">
            <v>0</v>
          </cell>
        </row>
        <row r="28">
          <cell r="I28">
            <v>0</v>
          </cell>
          <cell r="J28">
            <v>0</v>
          </cell>
        </row>
        <row r="29">
          <cell r="I29">
            <v>0</v>
          </cell>
          <cell r="J29">
            <v>0</v>
          </cell>
        </row>
        <row r="30">
          <cell r="I30">
            <v>0</v>
          </cell>
          <cell r="J30">
            <v>0</v>
          </cell>
        </row>
        <row r="34">
          <cell r="I34">
            <v>0</v>
          </cell>
          <cell r="J34">
            <v>0</v>
          </cell>
        </row>
        <row r="35">
          <cell r="I35">
            <v>0</v>
          </cell>
        </row>
        <row r="36">
          <cell r="I36">
            <v>0</v>
          </cell>
          <cell r="J36">
            <v>0</v>
          </cell>
        </row>
        <row r="37">
          <cell r="I37">
            <v>0</v>
          </cell>
          <cell r="J37">
            <v>0</v>
          </cell>
        </row>
        <row r="38">
          <cell r="I38">
            <v>0</v>
          </cell>
        </row>
        <row r="39">
          <cell r="I39">
            <v>0</v>
          </cell>
          <cell r="J39">
            <v>0</v>
          </cell>
        </row>
        <row r="40">
          <cell r="I40">
            <v>0</v>
          </cell>
          <cell r="J40">
            <v>0</v>
          </cell>
        </row>
        <row r="41">
          <cell r="I41">
            <v>0</v>
          </cell>
          <cell r="J41">
            <v>0</v>
          </cell>
        </row>
        <row r="42">
          <cell r="I42">
            <v>0</v>
          </cell>
          <cell r="J42">
            <v>0</v>
          </cell>
        </row>
        <row r="43">
          <cell r="I43">
            <v>0</v>
          </cell>
          <cell r="J43">
            <v>0</v>
          </cell>
        </row>
        <row r="46">
          <cell r="H46">
            <v>28</v>
          </cell>
          <cell r="I46">
            <v>0</v>
          </cell>
          <cell r="J46">
            <v>0</v>
          </cell>
        </row>
        <row r="47">
          <cell r="H47">
            <v>9</v>
          </cell>
          <cell r="I47">
            <v>0</v>
          </cell>
          <cell r="J47">
            <v>0</v>
          </cell>
        </row>
        <row r="48">
          <cell r="J48">
            <v>0</v>
          </cell>
        </row>
        <row r="49">
          <cell r="I49">
            <v>0</v>
          </cell>
          <cell r="J49">
            <v>0</v>
          </cell>
        </row>
        <row r="50">
          <cell r="I50">
            <v>0</v>
          </cell>
          <cell r="J50">
            <v>0</v>
          </cell>
        </row>
        <row r="51">
          <cell r="I51">
            <v>0</v>
          </cell>
          <cell r="J51">
            <v>0</v>
          </cell>
        </row>
        <row r="52">
          <cell r="J52">
            <v>0</v>
          </cell>
        </row>
        <row r="53">
          <cell r="J53">
            <v>0</v>
          </cell>
        </row>
        <row r="54">
          <cell r="I54">
            <v>0</v>
          </cell>
          <cell r="J54">
            <v>0</v>
          </cell>
        </row>
        <row r="55">
          <cell r="I55">
            <v>0</v>
          </cell>
          <cell r="J55">
            <v>0</v>
          </cell>
        </row>
        <row r="56">
          <cell r="J56">
            <v>0</v>
          </cell>
        </row>
        <row r="57">
          <cell r="I57">
            <v>0</v>
          </cell>
          <cell r="J57">
            <v>0</v>
          </cell>
        </row>
        <row r="58">
          <cell r="I58">
            <v>0</v>
          </cell>
          <cell r="J58">
            <v>0</v>
          </cell>
        </row>
        <row r="59">
          <cell r="I59">
            <v>0</v>
          </cell>
          <cell r="J59">
            <v>0</v>
          </cell>
        </row>
        <row r="60">
          <cell r="J60">
            <v>0</v>
          </cell>
        </row>
        <row r="61">
          <cell r="J61">
            <v>0</v>
          </cell>
        </row>
        <row r="63">
          <cell r="I63">
            <v>0</v>
          </cell>
          <cell r="J63">
            <v>0</v>
          </cell>
        </row>
        <row r="64">
          <cell r="I64">
            <v>0</v>
          </cell>
          <cell r="J64">
            <v>0</v>
          </cell>
        </row>
        <row r="65">
          <cell r="I65">
            <v>0</v>
          </cell>
          <cell r="J65">
            <v>0</v>
          </cell>
        </row>
        <row r="66">
          <cell r="I66">
            <v>0</v>
          </cell>
          <cell r="J66">
            <v>0</v>
          </cell>
        </row>
        <row r="67">
          <cell r="J67">
            <v>0</v>
          </cell>
        </row>
        <row r="68">
          <cell r="I68">
            <v>0</v>
          </cell>
          <cell r="J68">
            <v>0</v>
          </cell>
        </row>
        <row r="69">
          <cell r="I69">
            <v>0</v>
          </cell>
          <cell r="J69">
            <v>0</v>
          </cell>
        </row>
        <row r="70">
          <cell r="I70">
            <v>0</v>
          </cell>
          <cell r="J70">
            <v>0</v>
          </cell>
        </row>
        <row r="71">
          <cell r="J71">
            <v>0</v>
          </cell>
        </row>
        <row r="74">
          <cell r="I74">
            <v>0</v>
          </cell>
          <cell r="J74">
            <v>0</v>
          </cell>
        </row>
        <row r="75">
          <cell r="I75">
            <v>0</v>
          </cell>
          <cell r="J75">
            <v>0</v>
          </cell>
        </row>
        <row r="76">
          <cell r="I76">
            <v>0</v>
          </cell>
          <cell r="J76">
            <v>0</v>
          </cell>
        </row>
        <row r="77">
          <cell r="I77">
            <v>0</v>
          </cell>
          <cell r="J77">
            <v>0</v>
          </cell>
        </row>
        <row r="78">
          <cell r="I78">
            <v>0</v>
          </cell>
          <cell r="J78">
            <v>0</v>
          </cell>
        </row>
        <row r="79">
          <cell r="I79">
            <v>0</v>
          </cell>
          <cell r="J79">
            <v>0</v>
          </cell>
        </row>
        <row r="80">
          <cell r="J80">
            <v>0</v>
          </cell>
        </row>
        <row r="81">
          <cell r="H81">
            <v>0</v>
          </cell>
          <cell r="I81">
            <v>273676</v>
          </cell>
          <cell r="J81">
            <v>0</v>
          </cell>
        </row>
        <row r="82">
          <cell r="J82">
            <v>0</v>
          </cell>
        </row>
        <row r="83">
          <cell r="I83">
            <v>0</v>
          </cell>
          <cell r="J83">
            <v>0</v>
          </cell>
        </row>
        <row r="84">
          <cell r="I84">
            <v>0</v>
          </cell>
          <cell r="J84">
            <v>0</v>
          </cell>
        </row>
        <row r="85">
          <cell r="I85">
            <v>0</v>
          </cell>
          <cell r="J85">
            <v>0</v>
          </cell>
        </row>
        <row r="87">
          <cell r="I87">
            <v>0</v>
          </cell>
          <cell r="J87">
            <v>0</v>
          </cell>
        </row>
        <row r="88">
          <cell r="J88">
            <v>0</v>
          </cell>
        </row>
        <row r="89">
          <cell r="J89">
            <v>0</v>
          </cell>
        </row>
        <row r="90">
          <cell r="J90">
            <v>0</v>
          </cell>
        </row>
        <row r="92">
          <cell r="H92">
            <v>0</v>
          </cell>
          <cell r="I92">
            <v>0</v>
          </cell>
          <cell r="J92">
            <v>0</v>
          </cell>
        </row>
        <row r="93">
          <cell r="H93">
            <v>0</v>
          </cell>
          <cell r="J93">
            <v>0</v>
          </cell>
        </row>
        <row r="94">
          <cell r="H94">
            <v>0</v>
          </cell>
          <cell r="I94">
            <v>0</v>
          </cell>
          <cell r="J94">
            <v>0</v>
          </cell>
        </row>
        <row r="95">
          <cell r="H95">
            <v>0</v>
          </cell>
          <cell r="I95">
            <v>0</v>
          </cell>
          <cell r="J95">
            <v>0</v>
          </cell>
        </row>
        <row r="98">
          <cell r="I98">
            <v>0</v>
          </cell>
          <cell r="J98">
            <v>0</v>
          </cell>
        </row>
        <row r="99">
          <cell r="I99">
            <v>0</v>
          </cell>
          <cell r="J99">
            <v>0</v>
          </cell>
        </row>
        <row r="100">
          <cell r="I100">
            <v>0</v>
          </cell>
          <cell r="J100">
            <v>0</v>
          </cell>
        </row>
        <row r="104">
          <cell r="I104">
            <v>0</v>
          </cell>
          <cell r="J104">
            <v>0</v>
          </cell>
        </row>
        <row r="105">
          <cell r="I105">
            <v>0</v>
          </cell>
          <cell r="J105">
            <v>0</v>
          </cell>
        </row>
        <row r="106">
          <cell r="J106">
            <v>0</v>
          </cell>
        </row>
        <row r="107">
          <cell r="I107">
            <v>0</v>
          </cell>
          <cell r="J107">
            <v>0</v>
          </cell>
        </row>
      </sheetData>
      <sheetData sheetId="11"/>
      <sheetData sheetId="12">
        <row r="13">
          <cell r="B13">
            <v>100</v>
          </cell>
          <cell r="E13">
            <v>5</v>
          </cell>
        </row>
        <row r="36">
          <cell r="B36">
            <v>3</v>
          </cell>
        </row>
      </sheetData>
      <sheetData sheetId="1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7"/>
  <sheetViews>
    <sheetView workbookViewId="0">
      <selection activeCell="J20" sqref="J20"/>
    </sheetView>
  </sheetViews>
  <sheetFormatPr defaultRowHeight="13.5" x14ac:dyDescent="0.15"/>
  <cols>
    <col min="1" max="1" width="8.88671875" style="2"/>
    <col min="2" max="2" width="3.109375" style="2" customWidth="1"/>
    <col min="3" max="6" width="8.88671875" style="2"/>
    <col min="7" max="7" width="7.77734375" style="2" customWidth="1"/>
    <col min="8" max="8" width="5.33203125" style="2" customWidth="1"/>
    <col min="9" max="9" width="9.44140625" style="2" customWidth="1"/>
    <col min="10" max="25" width="8.88671875" style="2"/>
    <col min="26" max="26" width="37.77734375" style="2" customWidth="1"/>
    <col min="27" max="16384" width="8.88671875" style="2"/>
  </cols>
  <sheetData>
    <row r="1" spans="1:26" ht="35.25" x14ac:dyDescent="0.4">
      <c r="A1" s="193" t="str">
        <f>표지!A1</f>
        <v>內 譯 書</v>
      </c>
      <c r="B1" s="193"/>
      <c r="C1" s="193"/>
      <c r="D1" s="193"/>
      <c r="E1" s="193"/>
      <c r="F1" s="193"/>
      <c r="G1" s="193"/>
      <c r="H1" s="193"/>
      <c r="I1" s="193"/>
      <c r="P1" s="2" t="s">
        <v>107</v>
      </c>
      <c r="Z1" s="9" t="s">
        <v>144</v>
      </c>
    </row>
    <row r="2" spans="1:26" ht="6" customHeight="1" x14ac:dyDescent="0.15"/>
    <row r="3" spans="1:26" ht="8.1" customHeight="1" x14ac:dyDescent="0.15"/>
    <row r="4" spans="1:26" ht="8.1" customHeight="1" x14ac:dyDescent="0.15"/>
    <row r="5" spans="1:26" ht="8.1" customHeight="1" x14ac:dyDescent="0.15"/>
    <row r="6" spans="1:26" ht="8.1" customHeight="1" x14ac:dyDescent="0.15"/>
    <row r="7" spans="1:26" ht="8.1" customHeight="1" x14ac:dyDescent="0.15"/>
    <row r="8" spans="1:26" ht="8.1" customHeight="1" x14ac:dyDescent="0.15"/>
    <row r="9" spans="1:26" ht="8.1" customHeight="1" x14ac:dyDescent="0.15"/>
    <row r="10" spans="1:26" ht="8.1" customHeight="1" x14ac:dyDescent="0.15"/>
    <row r="11" spans="1:26" ht="8.1" customHeight="1" x14ac:dyDescent="0.15"/>
    <row r="12" spans="1:26" ht="8.1" customHeight="1" x14ac:dyDescent="0.15"/>
    <row r="13" spans="1:26" ht="8.1" customHeight="1" x14ac:dyDescent="0.15"/>
    <row r="14" spans="1:26" ht="8.1" customHeight="1" x14ac:dyDescent="0.15"/>
    <row r="15" spans="1:26" ht="8.1" customHeight="1" x14ac:dyDescent="0.15"/>
    <row r="16" spans="1:26" ht="8.1" customHeight="1" x14ac:dyDescent="0.15"/>
    <row r="17" spans="2:8" x14ac:dyDescent="0.15">
      <c r="B17" s="82"/>
      <c r="C17" s="83"/>
      <c r="D17" s="83"/>
      <c r="E17" s="83"/>
      <c r="F17" s="83"/>
      <c r="G17" s="83"/>
      <c r="H17" s="84"/>
    </row>
    <row r="18" spans="2:8" x14ac:dyDescent="0.15">
      <c r="B18" s="85"/>
      <c r="C18" s="20" t="s">
        <v>5</v>
      </c>
      <c r="D18" s="194" t="str">
        <f>표지!C13</f>
        <v>샘플</v>
      </c>
      <c r="E18" s="194"/>
      <c r="F18" s="194"/>
      <c r="G18" s="194"/>
      <c r="H18" s="86"/>
    </row>
    <row r="19" spans="2:8" x14ac:dyDescent="0.15">
      <c r="B19" s="85"/>
      <c r="C19" s="20"/>
      <c r="D19" s="20"/>
      <c r="E19" s="20"/>
      <c r="F19" s="20"/>
      <c r="G19" s="20"/>
      <c r="H19" s="86"/>
    </row>
    <row r="20" spans="2:8" x14ac:dyDescent="0.15">
      <c r="B20" s="85"/>
      <c r="C20" s="20" t="s">
        <v>67</v>
      </c>
      <c r="D20" s="194" t="str">
        <f>표지!C4</f>
        <v xml:space="preserve">             貴下</v>
      </c>
      <c r="E20" s="194"/>
      <c r="F20" s="194"/>
      <c r="G20" s="194"/>
      <c r="H20" s="86"/>
    </row>
    <row r="21" spans="2:8" x14ac:dyDescent="0.15">
      <c r="B21" s="85"/>
      <c r="C21" s="20"/>
      <c r="D21" s="20"/>
      <c r="E21" s="20"/>
      <c r="F21" s="20"/>
      <c r="G21" s="20"/>
      <c r="H21" s="86"/>
    </row>
    <row r="22" spans="2:8" x14ac:dyDescent="0.15">
      <c r="B22" s="85"/>
      <c r="C22" s="20" t="s">
        <v>68</v>
      </c>
      <c r="D22" s="195" t="str">
        <f>표지!C6</f>
        <v>2026년 8월 31일</v>
      </c>
      <c r="E22" s="195"/>
      <c r="F22" s="195"/>
      <c r="G22" s="195"/>
      <c r="H22" s="86"/>
    </row>
    <row r="23" spans="2:8" x14ac:dyDescent="0.15">
      <c r="B23" s="87"/>
      <c r="C23" s="88"/>
      <c r="D23" s="88"/>
      <c r="E23" s="88"/>
      <c r="F23" s="88"/>
      <c r="G23" s="88"/>
      <c r="H23" s="89"/>
    </row>
    <row r="24" spans="2:8" ht="7.5" customHeight="1" x14ac:dyDescent="0.15"/>
    <row r="25" spans="2:8" ht="7.5" customHeight="1" x14ac:dyDescent="0.15"/>
    <row r="26" spans="2:8" ht="7.5" customHeight="1" x14ac:dyDescent="0.15"/>
    <row r="27" spans="2:8" ht="7.5" customHeight="1" x14ac:dyDescent="0.15"/>
    <row r="28" spans="2:8" ht="7.5" customHeight="1" x14ac:dyDescent="0.15"/>
    <row r="29" spans="2:8" ht="7.5" customHeight="1" x14ac:dyDescent="0.15"/>
    <row r="30" spans="2:8" ht="7.5" customHeight="1" x14ac:dyDescent="0.15"/>
    <row r="31" spans="2:8" ht="7.5" customHeight="1" x14ac:dyDescent="0.15"/>
    <row r="32" spans="2:8" ht="7.5" customHeight="1" x14ac:dyDescent="0.15"/>
    <row r="33" spans="3:7" ht="7.5" customHeight="1" x14ac:dyDescent="0.15"/>
    <row r="34" spans="3:7" ht="7.5" customHeight="1" x14ac:dyDescent="0.15"/>
    <row r="35" spans="3:7" ht="7.5" customHeight="1" x14ac:dyDescent="0.15"/>
    <row r="36" spans="3:7" ht="22.5" x14ac:dyDescent="0.25">
      <c r="D36" s="196" t="str">
        <f>표지!I3</f>
        <v>대 한 민 국 주 식 회 사</v>
      </c>
      <c r="E36" s="197"/>
      <c r="F36" s="197"/>
      <c r="G36" s="47"/>
    </row>
    <row r="37" spans="3:7" ht="12" customHeight="1" x14ac:dyDescent="0.15">
      <c r="D37" s="198" t="str">
        <f>표지!I4</f>
        <v xml:space="preserve"> </v>
      </c>
      <c r="E37" s="199"/>
      <c r="F37" s="199"/>
      <c r="G37" s="199"/>
    </row>
    <row r="38" spans="3:7" ht="12" customHeight="1" x14ac:dyDescent="0.15">
      <c r="D38" s="198" t="str">
        <f>표지!I5</f>
        <v>ㅇ ㅇ 시 ㅇ  ㅇ  구 ㅇ  ㅇ  동</v>
      </c>
      <c r="E38" s="199"/>
      <c r="F38" s="199"/>
      <c r="G38" s="199"/>
    </row>
    <row r="39" spans="3:7" ht="12" customHeight="1" x14ac:dyDescent="0.15">
      <c r="D39" s="198" t="str">
        <f>표지!I6</f>
        <v xml:space="preserve"> </v>
      </c>
      <c r="E39" s="199"/>
      <c r="F39" s="199"/>
      <c r="G39" s="199"/>
    </row>
    <row r="40" spans="3:7" ht="12" customHeight="1" x14ac:dyDescent="0.15">
      <c r="D40" s="198" t="str">
        <f>표지!I7</f>
        <v>대표이사    홍      길      동</v>
      </c>
      <c r="E40" s="199"/>
      <c r="F40" s="199"/>
      <c r="G40" s="199"/>
    </row>
    <row r="41" spans="3:7" ht="12" customHeight="1" x14ac:dyDescent="0.15">
      <c r="D41" s="198" t="str">
        <f>표지!I8</f>
        <v xml:space="preserve"> </v>
      </c>
      <c r="E41" s="199"/>
      <c r="F41" s="199"/>
      <c r="G41" s="199"/>
    </row>
    <row r="42" spans="3:7" ht="12" customHeight="1" x14ac:dyDescent="0.15">
      <c r="D42" s="198" t="str">
        <f>표지!I9</f>
        <v>대표전화   (02) 0 0 0 - 0 0 0 0</v>
      </c>
      <c r="E42" s="199"/>
      <c r="F42" s="199"/>
      <c r="G42" s="199"/>
    </row>
    <row r="43" spans="3:7" ht="12" customHeight="1" x14ac:dyDescent="0.15">
      <c r="D43" s="198" t="str">
        <f>표지!I10</f>
        <v xml:space="preserve"> </v>
      </c>
      <c r="E43" s="199"/>
      <c r="F43" s="199"/>
      <c r="G43" s="199"/>
    </row>
    <row r="44" spans="3:7" ht="12" customHeight="1" x14ac:dyDescent="0.15">
      <c r="D44" s="198" t="str">
        <f>표지!I11</f>
        <v>팩    스   (02) 0 0 0 - 0 0 0 0</v>
      </c>
      <c r="E44" s="199"/>
      <c r="F44" s="199"/>
      <c r="G44" s="199"/>
    </row>
    <row r="45" spans="3:7" ht="12" customHeight="1" x14ac:dyDescent="0.15">
      <c r="C45" s="2" t="s">
        <v>3</v>
      </c>
      <c r="D45" s="198" t="str">
        <f>표지!I12</f>
        <v xml:space="preserve"> </v>
      </c>
      <c r="E45" s="199"/>
      <c r="F45" s="199"/>
      <c r="G45" s="199"/>
    </row>
    <row r="46" spans="3:7" ht="12" customHeight="1" x14ac:dyDescent="0.15">
      <c r="D46" s="198" t="str">
        <f>표지!I13</f>
        <v xml:space="preserve"> </v>
      </c>
      <c r="E46" s="199"/>
      <c r="F46" s="199"/>
      <c r="G46" s="199"/>
    </row>
    <row r="47" spans="3:7" ht="12" customHeight="1" x14ac:dyDescent="0.15">
      <c r="D47" s="198"/>
      <c r="E47" s="199"/>
      <c r="F47" s="199"/>
      <c r="G47" s="199"/>
    </row>
  </sheetData>
  <mergeCells count="16">
    <mergeCell ref="D40:G40"/>
    <mergeCell ref="D42:G42"/>
    <mergeCell ref="D39:G39"/>
    <mergeCell ref="D41:G41"/>
    <mergeCell ref="D37:G37"/>
    <mergeCell ref="D38:G38"/>
    <mergeCell ref="D47:G47"/>
    <mergeCell ref="D43:G43"/>
    <mergeCell ref="D44:G44"/>
    <mergeCell ref="D45:G45"/>
    <mergeCell ref="D46:G46"/>
    <mergeCell ref="A1:I1"/>
    <mergeCell ref="D18:G18"/>
    <mergeCell ref="D20:G20"/>
    <mergeCell ref="D22:G22"/>
    <mergeCell ref="D36:F36"/>
  </mergeCells>
  <phoneticPr fontId="2" type="noConversion"/>
  <printOptions horizontalCentered="1" verticalCentered="1"/>
  <pageMargins left="0.94488188976377963" right="0.35433070866141736" top="0.59055118110236227" bottom="0.39370078740157483" header="0.51181102362204722" footer="0.51181102362204722"/>
  <pageSetup paperSize="9" orientation="landscape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6"/>
  <sheetViews>
    <sheetView zoomScaleNormal="100" workbookViewId="0">
      <selection activeCell="J20" sqref="J20"/>
    </sheetView>
  </sheetViews>
  <sheetFormatPr defaultRowHeight="13.5" x14ac:dyDescent="0.15"/>
  <cols>
    <col min="1" max="1" width="3.44140625" style="9" customWidth="1"/>
    <col min="2" max="2" width="8.5546875" style="9" customWidth="1"/>
    <col min="3" max="3" width="16.6640625" style="9" customWidth="1"/>
    <col min="4" max="5" width="4.33203125" style="9" customWidth="1"/>
    <col min="6" max="6" width="6.6640625" style="9" customWidth="1"/>
    <col min="7" max="7" width="15.77734375" style="9" customWidth="1"/>
    <col min="8" max="8" width="25.6640625" style="9" customWidth="1"/>
    <col min="9" max="9" width="27.6640625" style="9" customWidth="1"/>
    <col min="10" max="10" width="1.44140625" style="9" customWidth="1"/>
    <col min="11" max="11" width="3.33203125" style="9" hidden="1" customWidth="1"/>
    <col min="12" max="13" width="8.88671875" style="9"/>
    <col min="14" max="14" width="13.77734375" style="9" customWidth="1"/>
    <col min="15" max="15" width="14.6640625" style="9" customWidth="1"/>
    <col min="16" max="16" width="14.33203125" style="9" customWidth="1"/>
    <col min="17" max="16384" width="8.88671875" style="9"/>
  </cols>
  <sheetData>
    <row r="1" spans="1:14" ht="35.25" x14ac:dyDescent="0.15">
      <c r="A1" s="200" t="s">
        <v>633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M1" s="17"/>
      <c r="N1" s="17"/>
    </row>
    <row r="2" spans="1:14" ht="3.75" customHeight="1" x14ac:dyDescent="0.15"/>
    <row r="3" spans="1:14" ht="24.75" customHeight="1" x14ac:dyDescent="0.25">
      <c r="H3" s="34"/>
      <c r="I3" s="45" t="s">
        <v>632</v>
      </c>
      <c r="J3" s="45"/>
      <c r="K3" s="46"/>
    </row>
    <row r="4" spans="1:14" ht="12" customHeight="1" x14ac:dyDescent="0.15">
      <c r="B4" s="35" t="s">
        <v>61</v>
      </c>
      <c r="C4" s="212" t="s">
        <v>636</v>
      </c>
      <c r="D4" s="212"/>
      <c r="E4" s="212"/>
      <c r="F4" s="212"/>
      <c r="G4" s="212"/>
      <c r="H4" s="36"/>
      <c r="I4" s="204" t="s">
        <v>3</v>
      </c>
      <c r="J4" s="204"/>
      <c r="K4" s="204"/>
      <c r="N4"/>
    </row>
    <row r="5" spans="1:14" ht="11.1" customHeight="1" x14ac:dyDescent="0.15">
      <c r="B5" s="212"/>
      <c r="C5" s="212"/>
      <c r="D5" s="212"/>
      <c r="E5" s="212"/>
      <c r="F5" s="212"/>
      <c r="G5" s="212"/>
      <c r="H5" s="37" t="s">
        <v>3</v>
      </c>
      <c r="I5" s="204" t="s">
        <v>635</v>
      </c>
      <c r="J5" s="204"/>
      <c r="K5" s="204"/>
    </row>
    <row r="6" spans="1:14" ht="12" customHeight="1" x14ac:dyDescent="0.15">
      <c r="B6" s="36" t="s">
        <v>62</v>
      </c>
      <c r="C6" s="204" t="s">
        <v>637</v>
      </c>
      <c r="D6" s="204"/>
      <c r="E6" s="204"/>
      <c r="F6" s="204"/>
      <c r="G6" s="204"/>
      <c r="H6" s="36"/>
      <c r="I6" s="204" t="s">
        <v>117</v>
      </c>
      <c r="J6" s="204"/>
      <c r="K6" s="204"/>
      <c r="M6"/>
    </row>
    <row r="7" spans="1:14" ht="11.1" customHeight="1" x14ac:dyDescent="0.15">
      <c r="B7" s="212"/>
      <c r="C7" s="212"/>
      <c r="D7" s="212"/>
      <c r="E7" s="212"/>
      <c r="F7" s="212"/>
      <c r="G7" s="212"/>
      <c r="H7" s="37" t="s">
        <v>3</v>
      </c>
      <c r="I7" s="204" t="s">
        <v>638</v>
      </c>
      <c r="J7" s="204"/>
      <c r="K7" s="204"/>
    </row>
    <row r="8" spans="1:14" ht="12" customHeight="1" x14ac:dyDescent="0.15">
      <c r="B8" s="212" t="s">
        <v>634</v>
      </c>
      <c r="C8" s="212"/>
      <c r="D8" s="212"/>
      <c r="E8" s="212"/>
      <c r="F8" s="212"/>
      <c r="G8" s="212"/>
      <c r="H8" s="36"/>
      <c r="I8" s="204" t="s">
        <v>118</v>
      </c>
      <c r="J8" s="204"/>
      <c r="K8" s="204"/>
    </row>
    <row r="9" spans="1:14" ht="11.1" customHeight="1" x14ac:dyDescent="0.15">
      <c r="B9" s="212"/>
      <c r="C9" s="212"/>
      <c r="D9" s="212"/>
      <c r="E9" s="212"/>
      <c r="F9" s="212"/>
      <c r="G9" s="212"/>
      <c r="H9" s="37" t="s">
        <v>3</v>
      </c>
      <c r="I9" s="204" t="s">
        <v>639</v>
      </c>
      <c r="J9" s="204"/>
      <c r="K9" s="204"/>
    </row>
    <row r="10" spans="1:14" ht="11.1" customHeight="1" x14ac:dyDescent="0.15">
      <c r="B10" s="36"/>
      <c r="C10" s="36"/>
      <c r="D10" s="36"/>
      <c r="E10" s="36"/>
      <c r="F10" s="36"/>
      <c r="G10" s="36"/>
      <c r="H10" s="36"/>
      <c r="I10" s="204" t="s">
        <v>118</v>
      </c>
      <c r="J10" s="204"/>
      <c r="K10" s="204"/>
    </row>
    <row r="11" spans="1:14" ht="11.1" customHeight="1" x14ac:dyDescent="0.15">
      <c r="B11" s="36"/>
      <c r="C11" s="36"/>
      <c r="D11" s="36"/>
      <c r="E11" s="36"/>
      <c r="F11" s="36"/>
      <c r="G11" s="36"/>
      <c r="H11" s="37" t="s">
        <v>3</v>
      </c>
      <c r="I11" s="204" t="s">
        <v>641</v>
      </c>
      <c r="J11" s="204"/>
      <c r="K11" s="204"/>
    </row>
    <row r="12" spans="1:14" ht="6" customHeight="1" x14ac:dyDescent="0.15">
      <c r="B12" s="36"/>
      <c r="C12" s="36"/>
      <c r="D12" s="36"/>
      <c r="E12" s="36"/>
      <c r="F12" s="36"/>
      <c r="G12" s="36"/>
      <c r="H12" s="37"/>
      <c r="I12" s="212" t="s">
        <v>118</v>
      </c>
      <c r="J12" s="212"/>
      <c r="K12" s="212"/>
    </row>
    <row r="13" spans="1:14" ht="12" customHeight="1" x14ac:dyDescent="0.15">
      <c r="B13" s="36" t="s">
        <v>63</v>
      </c>
      <c r="C13" s="212" t="s">
        <v>640</v>
      </c>
      <c r="D13" s="212"/>
      <c r="E13" s="212"/>
      <c r="F13" s="212"/>
      <c r="G13" s="212"/>
      <c r="H13" s="36"/>
      <c r="I13" s="212" t="s">
        <v>69</v>
      </c>
      <c r="J13" s="212"/>
      <c r="K13" s="212"/>
    </row>
    <row r="14" spans="1:14" ht="6" customHeight="1" x14ac:dyDescent="0.15">
      <c r="B14" s="212"/>
      <c r="C14" s="212"/>
      <c r="D14" s="212"/>
      <c r="E14" s="212"/>
      <c r="F14" s="212"/>
      <c r="G14" s="212"/>
      <c r="H14" s="212"/>
      <c r="I14" s="212"/>
      <c r="J14" s="36"/>
    </row>
    <row r="15" spans="1:14" ht="12.75" customHeight="1" x14ac:dyDescent="0.15">
      <c r="B15" s="38" t="s">
        <v>64</v>
      </c>
      <c r="C15" s="215" t="str">
        <f>"一金"&amp;NUMBERSTRING(F40,2)&amp;"원整("&amp;DOLLAR(F40,0)&amp;")"</f>
        <v>一金零원整(₩0)</v>
      </c>
      <c r="D15" s="215"/>
      <c r="E15" s="215"/>
      <c r="F15" s="215"/>
      <c r="G15" s="215"/>
      <c r="H15" s="215"/>
      <c r="I15" s="215"/>
      <c r="J15" s="39"/>
    </row>
    <row r="16" spans="1:14" ht="7.35" customHeight="1" thickBot="1" x14ac:dyDescent="0.2">
      <c r="B16" s="40"/>
      <c r="C16" s="41"/>
      <c r="D16" s="41"/>
      <c r="E16" s="41"/>
      <c r="F16" s="41"/>
      <c r="G16" s="41"/>
      <c r="H16" s="41"/>
      <c r="I16" s="41"/>
      <c r="J16" s="41"/>
    </row>
    <row r="17" spans="2:16" ht="16.5" customHeight="1" thickBot="1" x14ac:dyDescent="0.2">
      <c r="B17" s="218" t="s">
        <v>0</v>
      </c>
      <c r="C17" s="216"/>
      <c r="D17" s="23" t="s">
        <v>1</v>
      </c>
      <c r="E17" s="23" t="s">
        <v>2</v>
      </c>
      <c r="F17" s="216" t="s">
        <v>65</v>
      </c>
      <c r="G17" s="216"/>
      <c r="H17" s="216" t="s">
        <v>66</v>
      </c>
      <c r="I17" s="216"/>
      <c r="J17" s="217"/>
      <c r="M17" s="44" t="s">
        <v>108</v>
      </c>
      <c r="N17" s="44" t="s">
        <v>109</v>
      </c>
      <c r="O17" s="44" t="s">
        <v>114</v>
      </c>
      <c r="P17" s="44" t="s">
        <v>115</v>
      </c>
    </row>
    <row r="18" spans="2:16" ht="12.95" customHeight="1" x14ac:dyDescent="0.15">
      <c r="B18" s="208" t="s">
        <v>3</v>
      </c>
      <c r="C18" s="209"/>
      <c r="D18" s="42" t="s">
        <v>3</v>
      </c>
      <c r="E18" s="42"/>
      <c r="F18" s="219"/>
      <c r="G18" s="220"/>
      <c r="H18" s="228" t="s">
        <v>3</v>
      </c>
      <c r="I18" s="228"/>
      <c r="J18" s="229"/>
      <c r="K18" s="43"/>
      <c r="N18" s="68">
        <f t="shared" ref="N18:N39" si="0">E18*F18</f>
        <v>0</v>
      </c>
      <c r="O18" s="68"/>
      <c r="P18" s="68"/>
    </row>
    <row r="19" spans="2:16" ht="12.95" customHeight="1" x14ac:dyDescent="0.15">
      <c r="B19" s="210" t="s">
        <v>3</v>
      </c>
      <c r="C19" s="211"/>
      <c r="D19" s="44"/>
      <c r="E19" s="44"/>
      <c r="F19" s="213"/>
      <c r="G19" s="214"/>
      <c r="H19" s="206"/>
      <c r="I19" s="206"/>
      <c r="J19" s="207"/>
      <c r="N19" s="68">
        <f t="shared" si="0"/>
        <v>0</v>
      </c>
      <c r="O19" s="68"/>
      <c r="P19" s="68"/>
    </row>
    <row r="20" spans="2:16" ht="12.95" customHeight="1" x14ac:dyDescent="0.15">
      <c r="B20" s="210" t="s">
        <v>3</v>
      </c>
      <c r="C20" s="211"/>
      <c r="D20" s="44"/>
      <c r="E20" s="44"/>
      <c r="F20" s="213"/>
      <c r="G20" s="214"/>
      <c r="H20" s="206"/>
      <c r="I20" s="206"/>
      <c r="J20" s="207"/>
      <c r="N20" s="68">
        <f t="shared" si="0"/>
        <v>0</v>
      </c>
      <c r="O20" s="68"/>
      <c r="P20" s="68"/>
    </row>
    <row r="21" spans="2:16" ht="12.95" customHeight="1" x14ac:dyDescent="0.15">
      <c r="B21" s="210" t="s">
        <v>3</v>
      </c>
      <c r="C21" s="211"/>
      <c r="D21" s="44"/>
      <c r="E21" s="44"/>
      <c r="F21" s="213"/>
      <c r="G21" s="214"/>
      <c r="H21" s="202"/>
      <c r="I21" s="202"/>
      <c r="J21" s="203"/>
      <c r="N21" s="68">
        <f t="shared" si="0"/>
        <v>0</v>
      </c>
      <c r="O21" s="68"/>
      <c r="P21" s="68"/>
    </row>
    <row r="22" spans="2:16" ht="12.95" customHeight="1" x14ac:dyDescent="0.15">
      <c r="B22" s="210" t="s">
        <v>3</v>
      </c>
      <c r="C22" s="211"/>
      <c r="D22" s="44"/>
      <c r="E22" s="44"/>
      <c r="F22" s="213"/>
      <c r="G22" s="214"/>
      <c r="H22" s="202"/>
      <c r="I22" s="202"/>
      <c r="J22" s="203"/>
      <c r="N22" s="68">
        <f t="shared" si="0"/>
        <v>0</v>
      </c>
      <c r="O22" s="68"/>
      <c r="P22" s="68"/>
    </row>
    <row r="23" spans="2:16" ht="12.95" customHeight="1" x14ac:dyDescent="0.15">
      <c r="B23" s="210" t="s">
        <v>3</v>
      </c>
      <c r="C23" s="211"/>
      <c r="D23" s="44"/>
      <c r="E23" s="44"/>
      <c r="F23" s="213"/>
      <c r="G23" s="214"/>
      <c r="H23" s="202"/>
      <c r="I23" s="202"/>
      <c r="J23" s="203"/>
      <c r="N23" s="68">
        <f t="shared" si="0"/>
        <v>0</v>
      </c>
      <c r="O23" s="68"/>
      <c r="P23" s="68"/>
    </row>
    <row r="24" spans="2:16" ht="12.95" customHeight="1" x14ac:dyDescent="0.15">
      <c r="B24" s="210" t="s">
        <v>3</v>
      </c>
      <c r="C24" s="211"/>
      <c r="D24" s="44"/>
      <c r="E24" s="44"/>
      <c r="F24" s="213"/>
      <c r="G24" s="214"/>
      <c r="H24" s="202"/>
      <c r="I24" s="202"/>
      <c r="J24" s="203"/>
      <c r="N24" s="68">
        <f t="shared" si="0"/>
        <v>0</v>
      </c>
      <c r="O24" s="68"/>
      <c r="P24" s="68"/>
    </row>
    <row r="25" spans="2:16" ht="12.95" customHeight="1" x14ac:dyDescent="0.15">
      <c r="B25" s="210" t="s">
        <v>3</v>
      </c>
      <c r="C25" s="211"/>
      <c r="D25" s="44"/>
      <c r="E25" s="44"/>
      <c r="F25" s="213"/>
      <c r="G25" s="214"/>
      <c r="H25" s="205" t="s">
        <v>3</v>
      </c>
      <c r="I25" s="206"/>
      <c r="J25" s="207"/>
      <c r="N25" s="68">
        <f t="shared" si="0"/>
        <v>0</v>
      </c>
      <c r="O25" s="68"/>
      <c r="P25" s="68"/>
    </row>
    <row r="26" spans="2:16" ht="12.95" customHeight="1" x14ac:dyDescent="0.15">
      <c r="B26" s="210" t="s">
        <v>3</v>
      </c>
      <c r="C26" s="211"/>
      <c r="D26" s="44"/>
      <c r="E26" s="44"/>
      <c r="F26" s="213"/>
      <c r="G26" s="214"/>
      <c r="H26" s="205" t="s">
        <v>3</v>
      </c>
      <c r="I26" s="206"/>
      <c r="J26" s="207"/>
      <c r="N26" s="68">
        <f t="shared" si="0"/>
        <v>0</v>
      </c>
      <c r="O26" s="68"/>
      <c r="P26" s="68"/>
    </row>
    <row r="27" spans="2:16" ht="12.95" customHeight="1" x14ac:dyDescent="0.15">
      <c r="B27" s="210" t="s">
        <v>3</v>
      </c>
      <c r="C27" s="211"/>
      <c r="D27" s="44"/>
      <c r="E27" s="44"/>
      <c r="F27" s="213"/>
      <c r="G27" s="214"/>
      <c r="H27" s="205" t="s">
        <v>3</v>
      </c>
      <c r="I27" s="206"/>
      <c r="J27" s="207"/>
      <c r="N27" s="68">
        <f t="shared" si="0"/>
        <v>0</v>
      </c>
      <c r="O27" s="68"/>
      <c r="P27" s="68"/>
    </row>
    <row r="28" spans="2:16" ht="12.95" customHeight="1" x14ac:dyDescent="0.15">
      <c r="B28" s="210" t="s">
        <v>3</v>
      </c>
      <c r="C28" s="211"/>
      <c r="D28" s="44"/>
      <c r="E28" s="44"/>
      <c r="F28" s="213"/>
      <c r="G28" s="214"/>
      <c r="H28" s="202"/>
      <c r="I28" s="202"/>
      <c r="J28" s="203"/>
      <c r="N28" s="68">
        <f t="shared" si="0"/>
        <v>0</v>
      </c>
      <c r="O28" s="68"/>
      <c r="P28" s="68"/>
    </row>
    <row r="29" spans="2:16" ht="12.95" customHeight="1" x14ac:dyDescent="0.15">
      <c r="B29" s="210" t="s">
        <v>3</v>
      </c>
      <c r="C29" s="211"/>
      <c r="D29" s="44"/>
      <c r="E29" s="44"/>
      <c r="F29" s="213"/>
      <c r="G29" s="214"/>
      <c r="H29" s="205"/>
      <c r="I29" s="206"/>
      <c r="J29" s="207"/>
      <c r="N29" s="68">
        <f t="shared" si="0"/>
        <v>0</v>
      </c>
      <c r="O29" s="68"/>
      <c r="P29" s="68"/>
    </row>
    <row r="30" spans="2:16" ht="12.95" customHeight="1" x14ac:dyDescent="0.15">
      <c r="B30" s="210" t="s">
        <v>3</v>
      </c>
      <c r="C30" s="211"/>
      <c r="D30" s="44"/>
      <c r="E30" s="44"/>
      <c r="F30" s="213"/>
      <c r="G30" s="214"/>
      <c r="H30" s="205"/>
      <c r="I30" s="206"/>
      <c r="J30" s="207"/>
      <c r="N30" s="68">
        <f t="shared" si="0"/>
        <v>0</v>
      </c>
      <c r="O30" s="68"/>
      <c r="P30" s="68"/>
    </row>
    <row r="31" spans="2:16" ht="12.95" customHeight="1" x14ac:dyDescent="0.15">
      <c r="B31" s="210" t="s">
        <v>3</v>
      </c>
      <c r="C31" s="211"/>
      <c r="D31" s="44"/>
      <c r="E31" s="44"/>
      <c r="F31" s="213"/>
      <c r="G31" s="214"/>
      <c r="H31" s="202"/>
      <c r="I31" s="202"/>
      <c r="J31" s="203"/>
      <c r="N31" s="68">
        <f t="shared" si="0"/>
        <v>0</v>
      </c>
      <c r="O31"/>
      <c r="P31" s="68"/>
    </row>
    <row r="32" spans="2:16" ht="12.95" customHeight="1" x14ac:dyDescent="0.15">
      <c r="B32" s="210" t="s">
        <v>3</v>
      </c>
      <c r="C32" s="211"/>
      <c r="D32" s="44"/>
      <c r="E32" s="44"/>
      <c r="F32" s="213"/>
      <c r="G32" s="214"/>
      <c r="H32" s="202"/>
      <c r="I32" s="202"/>
      <c r="J32" s="203"/>
      <c r="N32" s="68">
        <f t="shared" si="0"/>
        <v>0</v>
      </c>
      <c r="O32" s="68"/>
      <c r="P32" s="68"/>
    </row>
    <row r="33" spans="2:16" ht="12.95" customHeight="1" x14ac:dyDescent="0.15">
      <c r="B33" s="210" t="s">
        <v>3</v>
      </c>
      <c r="C33" s="211"/>
      <c r="D33" s="44"/>
      <c r="E33" s="44"/>
      <c r="F33" s="213"/>
      <c r="G33" s="214"/>
      <c r="H33" s="202"/>
      <c r="I33" s="202"/>
      <c r="J33" s="203"/>
      <c r="N33" s="68">
        <f t="shared" si="0"/>
        <v>0</v>
      </c>
      <c r="O33" s="68"/>
      <c r="P33" s="68"/>
    </row>
    <row r="34" spans="2:16" ht="12.95" customHeight="1" x14ac:dyDescent="0.15">
      <c r="B34" s="210" t="s">
        <v>3</v>
      </c>
      <c r="C34" s="211"/>
      <c r="D34" s="44"/>
      <c r="E34" s="44"/>
      <c r="F34" s="213"/>
      <c r="G34" s="214"/>
      <c r="H34" s="202"/>
      <c r="I34" s="202"/>
      <c r="J34" s="203"/>
      <c r="N34" s="68">
        <f t="shared" si="0"/>
        <v>0</v>
      </c>
      <c r="O34" s="68"/>
      <c r="P34" s="68"/>
    </row>
    <row r="35" spans="2:16" ht="12.95" customHeight="1" x14ac:dyDescent="0.15">
      <c r="B35" s="210" t="s">
        <v>3</v>
      </c>
      <c r="C35" s="211"/>
      <c r="D35" s="44"/>
      <c r="E35" s="44"/>
      <c r="F35" s="213"/>
      <c r="G35" s="214"/>
      <c r="H35" s="202"/>
      <c r="I35" s="202"/>
      <c r="J35" s="203"/>
      <c r="N35" s="68">
        <f t="shared" si="0"/>
        <v>0</v>
      </c>
      <c r="O35" s="68"/>
      <c r="P35" s="68"/>
    </row>
    <row r="36" spans="2:16" ht="12.95" customHeight="1" x14ac:dyDescent="0.15">
      <c r="B36" s="210" t="s">
        <v>3</v>
      </c>
      <c r="C36" s="211"/>
      <c r="D36" s="44"/>
      <c r="E36" s="44"/>
      <c r="F36" s="213"/>
      <c r="G36" s="214"/>
      <c r="H36" s="202"/>
      <c r="I36" s="202"/>
      <c r="J36" s="203"/>
      <c r="N36" s="68">
        <f t="shared" si="0"/>
        <v>0</v>
      </c>
      <c r="O36" s="68"/>
      <c r="P36" s="68"/>
    </row>
    <row r="37" spans="2:16" ht="12.95" customHeight="1" x14ac:dyDescent="0.15">
      <c r="B37" s="210" t="s">
        <v>3</v>
      </c>
      <c r="C37" s="211"/>
      <c r="D37" s="44"/>
      <c r="E37" s="44"/>
      <c r="F37" s="213"/>
      <c r="G37" s="214"/>
      <c r="H37" s="202"/>
      <c r="I37" s="202"/>
      <c r="J37" s="203"/>
      <c r="N37" s="68">
        <f t="shared" si="0"/>
        <v>0</v>
      </c>
      <c r="O37" s="68"/>
      <c r="P37" s="68"/>
    </row>
    <row r="38" spans="2:16" ht="12.95" hidden="1" customHeight="1" x14ac:dyDescent="0.15">
      <c r="B38" s="210" t="s">
        <v>3</v>
      </c>
      <c r="C38" s="211"/>
      <c r="D38" s="44"/>
      <c r="E38" s="44"/>
      <c r="F38" s="213"/>
      <c r="G38" s="214"/>
      <c r="H38" s="202"/>
      <c r="I38" s="202"/>
      <c r="J38" s="203"/>
      <c r="N38" s="68">
        <f t="shared" si="0"/>
        <v>0</v>
      </c>
      <c r="O38" s="68"/>
      <c r="P38" s="68"/>
    </row>
    <row r="39" spans="2:16" ht="12" hidden="1" customHeight="1" x14ac:dyDescent="0.15">
      <c r="B39" s="210" t="s">
        <v>3</v>
      </c>
      <c r="C39" s="211"/>
      <c r="D39" s="44"/>
      <c r="E39" s="44"/>
      <c r="F39" s="213"/>
      <c r="G39" s="214"/>
      <c r="H39" s="202"/>
      <c r="I39" s="202"/>
      <c r="J39" s="203"/>
      <c r="N39" s="68">
        <f t="shared" si="0"/>
        <v>0</v>
      </c>
      <c r="O39" s="68"/>
      <c r="P39" s="68"/>
    </row>
    <row r="40" spans="2:16" ht="12.95" customHeight="1" x14ac:dyDescent="0.15">
      <c r="B40" s="210" t="s">
        <v>3</v>
      </c>
      <c r="C40" s="211"/>
      <c r="D40" s="44"/>
      <c r="E40" s="44"/>
      <c r="F40" s="213">
        <f>N40</f>
        <v>0</v>
      </c>
      <c r="G40" s="214"/>
      <c r="H40" s="202"/>
      <c r="I40" s="202"/>
      <c r="J40" s="203"/>
      <c r="N40" s="68">
        <f>SUM(N18:N39)</f>
        <v>0</v>
      </c>
      <c r="O40" s="68"/>
      <c r="P40" s="68"/>
    </row>
    <row r="41" spans="2:16" ht="11.1" customHeight="1" x14ac:dyDescent="0.15">
      <c r="B41" s="230" t="s">
        <v>642</v>
      </c>
      <c r="C41" s="231"/>
      <c r="D41" s="231"/>
      <c r="E41" s="231"/>
      <c r="F41" s="231"/>
      <c r="G41" s="231"/>
      <c r="H41" s="231"/>
      <c r="I41" s="231"/>
      <c r="J41" s="232"/>
      <c r="N41" s="68"/>
      <c r="O41" s="68"/>
      <c r="P41" s="68"/>
    </row>
    <row r="42" spans="2:16" ht="11.1" customHeight="1" x14ac:dyDescent="0.15">
      <c r="B42" s="221" t="s">
        <v>643</v>
      </c>
      <c r="C42" s="222"/>
      <c r="D42" s="222"/>
      <c r="E42" s="222"/>
      <c r="F42" s="222"/>
      <c r="G42" s="222"/>
      <c r="H42" s="222"/>
      <c r="I42" s="222"/>
      <c r="J42" s="225"/>
      <c r="N42" s="68"/>
      <c r="O42" s="68"/>
      <c r="P42" s="68"/>
    </row>
    <row r="43" spans="2:16" ht="11.1" customHeight="1" x14ac:dyDescent="0.15">
      <c r="B43" s="221" t="s">
        <v>52</v>
      </c>
      <c r="C43" s="222"/>
      <c r="D43" s="222"/>
      <c r="E43" s="222"/>
      <c r="F43" s="222"/>
      <c r="G43" s="222"/>
      <c r="H43" s="226"/>
      <c r="I43" s="222"/>
      <c r="J43" s="225"/>
      <c r="N43" s="68"/>
      <c r="O43" s="68"/>
      <c r="P43" s="68"/>
    </row>
    <row r="44" spans="2:16" ht="11.1" customHeight="1" thickBot="1" x14ac:dyDescent="0.2">
      <c r="B44" s="223" t="s">
        <v>3</v>
      </c>
      <c r="C44" s="224"/>
      <c r="D44" s="224"/>
      <c r="E44" s="224"/>
      <c r="F44" s="224"/>
      <c r="G44" s="224"/>
      <c r="H44" s="224"/>
      <c r="I44" s="224"/>
      <c r="J44" s="227"/>
      <c r="N44" s="68"/>
      <c r="O44" s="68"/>
      <c r="P44" s="68"/>
    </row>
    <row r="45" spans="2:16" x14ac:dyDescent="0.15">
      <c r="N45" s="68"/>
      <c r="O45" s="68"/>
      <c r="P45" s="68"/>
    </row>
    <row r="46" spans="2:16" x14ac:dyDescent="0.15">
      <c r="N46" s="68"/>
      <c r="O46" s="68"/>
      <c r="P46" s="68"/>
    </row>
    <row r="47" spans="2:16" x14ac:dyDescent="0.15">
      <c r="N47" s="68"/>
      <c r="O47" s="68"/>
      <c r="P47" s="68"/>
    </row>
    <row r="48" spans="2:16" x14ac:dyDescent="0.15">
      <c r="N48" s="68"/>
      <c r="O48" s="68"/>
      <c r="P48" s="68"/>
    </row>
    <row r="49" spans="14:16" x14ac:dyDescent="0.15">
      <c r="N49" s="68"/>
      <c r="O49" s="68"/>
      <c r="P49" s="68"/>
    </row>
    <row r="50" spans="14:16" x14ac:dyDescent="0.15">
      <c r="N50" s="68"/>
      <c r="O50" s="68"/>
      <c r="P50" s="68"/>
    </row>
    <row r="51" spans="14:16" x14ac:dyDescent="0.15">
      <c r="N51" s="68"/>
      <c r="O51" s="68"/>
      <c r="P51" s="68"/>
    </row>
    <row r="52" spans="14:16" x14ac:dyDescent="0.15">
      <c r="N52" s="68"/>
      <c r="O52" s="68"/>
      <c r="P52" s="68"/>
    </row>
    <row r="53" spans="14:16" x14ac:dyDescent="0.15">
      <c r="N53" s="68"/>
      <c r="O53" s="68"/>
      <c r="P53" s="68"/>
    </row>
    <row r="54" spans="14:16" x14ac:dyDescent="0.15">
      <c r="N54" s="68"/>
      <c r="O54" s="68"/>
      <c r="P54" s="68"/>
    </row>
    <row r="55" spans="14:16" x14ac:dyDescent="0.15">
      <c r="N55" s="68"/>
      <c r="O55" s="68"/>
      <c r="P55" s="68"/>
    </row>
    <row r="56" spans="14:16" x14ac:dyDescent="0.15">
      <c r="N56" s="68"/>
    </row>
  </sheetData>
  <mergeCells count="101">
    <mergeCell ref="H19:J19"/>
    <mergeCell ref="H20:J20"/>
    <mergeCell ref="B41:G41"/>
    <mergeCell ref="H41:J41"/>
    <mergeCell ref="B26:C26"/>
    <mergeCell ref="B27:C27"/>
    <mergeCell ref="F26:G26"/>
    <mergeCell ref="F27:G27"/>
    <mergeCell ref="F20:G20"/>
    <mergeCell ref="B40:C40"/>
    <mergeCell ref="B23:C23"/>
    <mergeCell ref="B19:C19"/>
    <mergeCell ref="B31:C31"/>
    <mergeCell ref="H21:J21"/>
    <mergeCell ref="H22:J22"/>
    <mergeCell ref="H23:J23"/>
    <mergeCell ref="B24:C24"/>
    <mergeCell ref="H26:J26"/>
    <mergeCell ref="B36:C36"/>
    <mergeCell ref="F36:G36"/>
    <mergeCell ref="H36:J36"/>
    <mergeCell ref="B37:C37"/>
    <mergeCell ref="F37:G37"/>
    <mergeCell ref="H37:J37"/>
    <mergeCell ref="B43:G43"/>
    <mergeCell ref="B44:G44"/>
    <mergeCell ref="H42:J42"/>
    <mergeCell ref="H43:J43"/>
    <mergeCell ref="H44:J44"/>
    <mergeCell ref="B39:C39"/>
    <mergeCell ref="I4:K4"/>
    <mergeCell ref="I5:K5"/>
    <mergeCell ref="I6:K6"/>
    <mergeCell ref="I7:K7"/>
    <mergeCell ref="C4:G4"/>
    <mergeCell ref="C6:G6"/>
    <mergeCell ref="B8:G8"/>
    <mergeCell ref="H18:J18"/>
    <mergeCell ref="B5:G5"/>
    <mergeCell ref="B7:G7"/>
    <mergeCell ref="B25:C25"/>
    <mergeCell ref="F19:G19"/>
    <mergeCell ref="F23:G23"/>
    <mergeCell ref="F24:G24"/>
    <mergeCell ref="F25:G25"/>
    <mergeCell ref="B21:C21"/>
    <mergeCell ref="B22:C22"/>
    <mergeCell ref="B32:C32"/>
    <mergeCell ref="F21:G21"/>
    <mergeCell ref="B20:C20"/>
    <mergeCell ref="B17:C17"/>
    <mergeCell ref="F30:G30"/>
    <mergeCell ref="B9:G9"/>
    <mergeCell ref="B14:G14"/>
    <mergeCell ref="F18:G18"/>
    <mergeCell ref="F17:G17"/>
    <mergeCell ref="B42:G42"/>
    <mergeCell ref="F32:G32"/>
    <mergeCell ref="B33:C33"/>
    <mergeCell ref="F33:G33"/>
    <mergeCell ref="B34:C34"/>
    <mergeCell ref="F34:G34"/>
    <mergeCell ref="B35:C35"/>
    <mergeCell ref="F35:G35"/>
    <mergeCell ref="F38:G38"/>
    <mergeCell ref="H38:J38"/>
    <mergeCell ref="H24:J24"/>
    <mergeCell ref="H31:J31"/>
    <mergeCell ref="H28:J28"/>
    <mergeCell ref="H30:J30"/>
    <mergeCell ref="H27:J27"/>
    <mergeCell ref="H29:J29"/>
    <mergeCell ref="F29:G29"/>
    <mergeCell ref="H32:J32"/>
    <mergeCell ref="H33:J33"/>
    <mergeCell ref="H34:J34"/>
    <mergeCell ref="H35:J35"/>
    <mergeCell ref="A1:K1"/>
    <mergeCell ref="H40:J40"/>
    <mergeCell ref="H39:J39"/>
    <mergeCell ref="I9:K9"/>
    <mergeCell ref="H25:J25"/>
    <mergeCell ref="B18:C18"/>
    <mergeCell ref="B29:C29"/>
    <mergeCell ref="B30:C30"/>
    <mergeCell ref="B28:C28"/>
    <mergeCell ref="I13:K13"/>
    <mergeCell ref="F40:G40"/>
    <mergeCell ref="I10:K10"/>
    <mergeCell ref="H14:I14"/>
    <mergeCell ref="C15:I15"/>
    <mergeCell ref="C13:G13"/>
    <mergeCell ref="I11:K11"/>
    <mergeCell ref="I12:K12"/>
    <mergeCell ref="B38:C38"/>
    <mergeCell ref="F22:G22"/>
    <mergeCell ref="I8:K8"/>
    <mergeCell ref="F28:G28"/>
    <mergeCell ref="F39:G39"/>
    <mergeCell ref="F31:G31"/>
    <mergeCell ref="H17:J17"/>
  </mergeCells>
  <phoneticPr fontId="2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52"/>
  <sheetViews>
    <sheetView zoomScaleNormal="100" workbookViewId="0">
      <selection activeCell="J20" sqref="J20"/>
    </sheetView>
  </sheetViews>
  <sheetFormatPr defaultRowHeight="13.5" x14ac:dyDescent="0.15"/>
  <cols>
    <col min="1" max="1" width="3.21875" style="9" customWidth="1"/>
    <col min="2" max="2" width="3.44140625" style="9" customWidth="1"/>
    <col min="3" max="3" width="25.33203125" style="9" customWidth="1"/>
    <col min="4" max="4" width="22" style="68" customWidth="1"/>
    <col min="5" max="5" width="56.5546875" style="9" customWidth="1"/>
    <col min="6" max="6" width="8.77734375" style="9" hidden="1" customWidth="1"/>
    <col min="7" max="7" width="8.88671875" style="9" hidden="1" customWidth="1"/>
    <col min="8" max="8" width="14.33203125" style="68" customWidth="1"/>
    <col min="9" max="10" width="8.88671875" style="9"/>
    <col min="11" max="11" width="13.33203125" style="9" customWidth="1"/>
    <col min="12" max="12" width="14.6640625" style="9" customWidth="1"/>
    <col min="13" max="13" width="13.5546875" style="9" customWidth="1"/>
    <col min="14" max="16384" width="8.88671875" style="9"/>
  </cols>
  <sheetData>
    <row r="1" spans="1:13" ht="35.25" x14ac:dyDescent="0.15">
      <c r="A1" s="200" t="s">
        <v>644</v>
      </c>
      <c r="B1" s="200"/>
      <c r="C1" s="200"/>
      <c r="D1" s="200"/>
      <c r="E1" s="200"/>
    </row>
    <row r="2" spans="1:13" ht="24.75" customHeight="1" x14ac:dyDescent="0.15"/>
    <row r="3" spans="1:13" ht="14.25" thickBot="1" x14ac:dyDescent="0.2">
      <c r="A3" s="241" t="s">
        <v>116</v>
      </c>
      <c r="B3" s="241"/>
      <c r="C3" s="237" t="s">
        <v>646</v>
      </c>
      <c r="D3" s="237"/>
      <c r="E3" s="22" t="s">
        <v>645</v>
      </c>
    </row>
    <row r="4" spans="1:13" ht="21.75" customHeight="1" thickBot="1" x14ac:dyDescent="0.2">
      <c r="A4" s="218" t="s">
        <v>6</v>
      </c>
      <c r="B4" s="216"/>
      <c r="C4" s="23" t="s">
        <v>7</v>
      </c>
      <c r="D4" s="60" t="s">
        <v>8</v>
      </c>
      <c r="E4" s="24" t="s">
        <v>53</v>
      </c>
      <c r="F4" s="9" t="s">
        <v>3</v>
      </c>
      <c r="I4" s="44" t="s">
        <v>111</v>
      </c>
      <c r="J4" s="44" t="s">
        <v>112</v>
      </c>
      <c r="K4" s="44" t="s">
        <v>110</v>
      </c>
      <c r="L4" s="44" t="s">
        <v>114</v>
      </c>
      <c r="M4" s="44" t="s">
        <v>113</v>
      </c>
    </row>
    <row r="5" spans="1:13" ht="14.1" customHeight="1" x14ac:dyDescent="0.15">
      <c r="A5" s="25"/>
      <c r="B5" s="238" t="s">
        <v>54</v>
      </c>
      <c r="C5" s="26" t="s">
        <v>647</v>
      </c>
      <c r="D5" s="69">
        <f>옵션!$B$2</f>
        <v>27109991</v>
      </c>
      <c r="E5" s="27"/>
      <c r="G5" s="9" t="s">
        <v>3</v>
      </c>
      <c r="J5" s="9">
        <v>1</v>
      </c>
      <c r="K5" s="68">
        <f>D5*J5</f>
        <v>27109991</v>
      </c>
      <c r="L5" s="68"/>
      <c r="M5" s="68"/>
    </row>
    <row r="6" spans="1:13" ht="14.1" customHeight="1" x14ac:dyDescent="0.15">
      <c r="A6" s="25"/>
      <c r="B6" s="238"/>
      <c r="C6" s="28" t="s">
        <v>648</v>
      </c>
      <c r="D6" s="70"/>
      <c r="E6" s="29"/>
      <c r="K6" s="68">
        <f t="shared" ref="K6:K34" si="0">D6*J6</f>
        <v>0</v>
      </c>
      <c r="L6" s="68"/>
      <c r="M6" s="68"/>
    </row>
    <row r="7" spans="1:13" ht="14.1" customHeight="1" x14ac:dyDescent="0.15">
      <c r="A7" s="25" t="s">
        <v>3</v>
      </c>
      <c r="B7" s="239"/>
      <c r="C7" s="28" t="s">
        <v>649</v>
      </c>
      <c r="D7" s="70">
        <f>SUM(D5:D6)</f>
        <v>27109991</v>
      </c>
      <c r="E7" s="29"/>
      <c r="K7" s="68">
        <f t="shared" si="0"/>
        <v>0</v>
      </c>
      <c r="L7" s="68"/>
      <c r="M7" s="68"/>
    </row>
    <row r="8" spans="1:13" ht="14.1" customHeight="1" x14ac:dyDescent="0.15">
      <c r="A8" s="30" t="s">
        <v>55</v>
      </c>
      <c r="B8" s="240" t="s">
        <v>56</v>
      </c>
      <c r="C8" s="28" t="s">
        <v>650</v>
      </c>
      <c r="D8" s="70">
        <f>옵션!$C$2</f>
        <v>30633718</v>
      </c>
      <c r="E8" s="29"/>
      <c r="J8" s="9">
        <v>1</v>
      </c>
      <c r="K8" s="68">
        <f t="shared" si="0"/>
        <v>30633718</v>
      </c>
      <c r="L8" s="68"/>
      <c r="M8" s="68"/>
    </row>
    <row r="9" spans="1:13" ht="14.1" customHeight="1" x14ac:dyDescent="0.15">
      <c r="A9" s="25"/>
      <c r="B9" s="238"/>
      <c r="C9" s="28" t="s">
        <v>651</v>
      </c>
      <c r="D9" s="70">
        <f>TRUNC(D8*I9/100)</f>
        <v>5483435</v>
      </c>
      <c r="E9" s="29" t="s">
        <v>652</v>
      </c>
      <c r="I9" s="9">
        <v>17.899999999999999</v>
      </c>
      <c r="J9" s="9">
        <v>1</v>
      </c>
      <c r="K9" s="68">
        <f t="shared" si="0"/>
        <v>5483435</v>
      </c>
      <c r="L9" s="68"/>
      <c r="M9" s="68"/>
    </row>
    <row r="10" spans="1:13" ht="14.1" customHeight="1" x14ac:dyDescent="0.15">
      <c r="A10" s="25"/>
      <c r="B10" s="239"/>
      <c r="C10" s="28" t="s">
        <v>649</v>
      </c>
      <c r="D10" s="70">
        <f>SUM(D8:D9)</f>
        <v>36117153</v>
      </c>
      <c r="E10" s="29"/>
      <c r="K10" s="68">
        <f t="shared" si="0"/>
        <v>0</v>
      </c>
      <c r="L10" s="68"/>
      <c r="M10" s="68"/>
    </row>
    <row r="11" spans="1:13" ht="14.1" customHeight="1" x14ac:dyDescent="0.15">
      <c r="A11" s="25" t="s">
        <v>3</v>
      </c>
      <c r="B11" s="31"/>
      <c r="C11" s="28" t="s">
        <v>653</v>
      </c>
      <c r="D11" s="70">
        <f>TRUNC(D10*I11/100)</f>
        <v>1285770</v>
      </c>
      <c r="E11" s="29" t="s">
        <v>654</v>
      </c>
      <c r="I11" s="9">
        <v>3.56</v>
      </c>
      <c r="J11" s="9">
        <v>1</v>
      </c>
      <c r="K11" s="68">
        <f t="shared" si="0"/>
        <v>1285770</v>
      </c>
      <c r="L11" s="68"/>
      <c r="M11" s="68"/>
    </row>
    <row r="12" spans="1:13" ht="14.1" customHeight="1" x14ac:dyDescent="0.15">
      <c r="A12" s="25"/>
      <c r="B12" s="31"/>
      <c r="C12" s="28" t="s">
        <v>655</v>
      </c>
      <c r="D12" s="70">
        <f>TRUNC(D10*I12/100)</f>
        <v>364783</v>
      </c>
      <c r="E12" s="29" t="s">
        <v>656</v>
      </c>
      <c r="I12" s="9">
        <v>1.01</v>
      </c>
      <c r="J12" s="9">
        <v>1</v>
      </c>
      <c r="K12" s="68">
        <f t="shared" si="0"/>
        <v>364783</v>
      </c>
      <c r="L12" s="68"/>
      <c r="M12" s="68"/>
    </row>
    <row r="13" spans="1:13" ht="14.1" customHeight="1" x14ac:dyDescent="0.15">
      <c r="A13" s="30" t="s">
        <v>57</v>
      </c>
      <c r="B13" s="72"/>
      <c r="C13" s="28" t="s">
        <v>657</v>
      </c>
      <c r="D13" s="70">
        <f>TRUNC(D8*I13/100)</f>
        <v>704575</v>
      </c>
      <c r="E13" s="29" t="s">
        <v>658</v>
      </c>
      <c r="I13" s="9">
        <v>2.2999999999999998</v>
      </c>
      <c r="J13" s="9">
        <v>1</v>
      </c>
      <c r="K13" s="68">
        <f t="shared" si="0"/>
        <v>704575</v>
      </c>
      <c r="L13" s="68"/>
      <c r="M13" s="68"/>
    </row>
    <row r="14" spans="1:13" ht="14.1" customHeight="1" x14ac:dyDescent="0.15">
      <c r="A14" s="25"/>
      <c r="B14" s="32" t="s">
        <v>58</v>
      </c>
      <c r="C14" s="28" t="s">
        <v>659</v>
      </c>
      <c r="D14" s="70">
        <f>TRUNC((D7+D8+0/1.1)*I14/100)</f>
        <v>1795829</v>
      </c>
      <c r="E14" s="29" t="s">
        <v>660</v>
      </c>
      <c r="I14" s="9">
        <v>3.11</v>
      </c>
      <c r="J14" s="9">
        <v>1</v>
      </c>
      <c r="K14" s="68">
        <f t="shared" si="0"/>
        <v>1795829</v>
      </c>
      <c r="L14" s="68"/>
      <c r="M14" s="68"/>
    </row>
    <row r="15" spans="1:13" ht="14.1" customHeight="1" x14ac:dyDescent="0.15">
      <c r="A15" s="25" t="s">
        <v>3</v>
      </c>
      <c r="B15" s="31"/>
      <c r="C15" s="28" t="s">
        <v>661</v>
      </c>
      <c r="D15" s="70">
        <f>TRUNC((D7+D10)*I15/100)</f>
        <v>3287811</v>
      </c>
      <c r="E15" s="29" t="s">
        <v>662</v>
      </c>
      <c r="I15" s="9">
        <v>5.2</v>
      </c>
      <c r="J15" s="9">
        <v>1</v>
      </c>
      <c r="K15" s="68">
        <f t="shared" si="0"/>
        <v>3287811</v>
      </c>
      <c r="L15" s="68"/>
      <c r="M15" s="68"/>
    </row>
    <row r="16" spans="1:13" ht="14.1" customHeight="1" x14ac:dyDescent="0.15">
      <c r="A16" s="25"/>
      <c r="B16" s="31"/>
      <c r="C16" s="28" t="s">
        <v>663</v>
      </c>
      <c r="D16" s="70">
        <f>TRUNC(D8*I16/100)</f>
        <v>1101282</v>
      </c>
      <c r="E16" s="29" t="s">
        <v>664</v>
      </c>
      <c r="I16" s="9">
        <v>3.5950000000000002</v>
      </c>
      <c r="J16" s="9">
        <v>1</v>
      </c>
      <c r="K16" s="68">
        <f t="shared" si="0"/>
        <v>1101282</v>
      </c>
      <c r="L16" s="68"/>
      <c r="M16" s="68"/>
    </row>
    <row r="17" spans="1:13" ht="14.1" customHeight="1" x14ac:dyDescent="0.15">
      <c r="A17" s="25"/>
      <c r="B17" s="31"/>
      <c r="C17" s="28" t="s">
        <v>665</v>
      </c>
      <c r="D17" s="70">
        <f>TRUNC(D8*I17/100)</f>
        <v>1455101</v>
      </c>
      <c r="E17" s="29" t="s">
        <v>666</v>
      </c>
      <c r="I17" s="9">
        <v>4.75</v>
      </c>
      <c r="J17" s="9">
        <v>1</v>
      </c>
      <c r="K17" s="68">
        <f t="shared" si="0"/>
        <v>1455101</v>
      </c>
      <c r="L17" s="68"/>
      <c r="M17" s="68"/>
    </row>
    <row r="18" spans="1:13" ht="14.1" customHeight="1" x14ac:dyDescent="0.15">
      <c r="A18" s="30" t="s">
        <v>59</v>
      </c>
      <c r="B18" s="31"/>
      <c r="C18" s="28" t="s">
        <v>667</v>
      </c>
      <c r="D18" s="70">
        <f>TRUNC(D16*I18/100)</f>
        <v>144708</v>
      </c>
      <c r="E18" s="29" t="s">
        <v>668</v>
      </c>
      <c r="I18" s="9">
        <v>13.14</v>
      </c>
      <c r="J18" s="9">
        <v>1</v>
      </c>
      <c r="K18" s="68">
        <f t="shared" si="0"/>
        <v>144708</v>
      </c>
      <c r="L18" s="68"/>
      <c r="M18" s="68"/>
    </row>
    <row r="19" spans="1:13" ht="14.1" customHeight="1" x14ac:dyDescent="0.15">
      <c r="A19" s="25" t="s">
        <v>3</v>
      </c>
      <c r="B19" s="32" t="s">
        <v>3</v>
      </c>
      <c r="C19" s="28" t="s">
        <v>669</v>
      </c>
      <c r="D19" s="70">
        <f>TRUNC(D10*I19/100)</f>
        <v>34672</v>
      </c>
      <c r="E19" s="29" t="s">
        <v>670</v>
      </c>
      <c r="I19" s="9">
        <v>9.6000000000000002E-2</v>
      </c>
      <c r="J19" s="9">
        <v>1</v>
      </c>
      <c r="K19" s="68">
        <f t="shared" si="0"/>
        <v>34672</v>
      </c>
      <c r="L19" s="68"/>
      <c r="M19" s="68"/>
    </row>
    <row r="20" spans="1:13" ht="14.1" customHeight="1" x14ac:dyDescent="0.15">
      <c r="A20" s="25"/>
      <c r="B20" s="72"/>
      <c r="C20" s="28" t="s">
        <v>3</v>
      </c>
      <c r="D20" s="70"/>
      <c r="E20" s="29"/>
      <c r="K20" s="68">
        <f t="shared" si="0"/>
        <v>0</v>
      </c>
      <c r="L20" s="68"/>
      <c r="M20" s="68"/>
    </row>
    <row r="21" spans="1:13" ht="14.1" customHeight="1" x14ac:dyDescent="0.15">
      <c r="A21" s="25"/>
      <c r="B21" s="31"/>
      <c r="C21" s="28" t="s">
        <v>3</v>
      </c>
      <c r="D21" s="70"/>
      <c r="E21" s="29"/>
      <c r="K21" s="68">
        <f t="shared" si="0"/>
        <v>0</v>
      </c>
      <c r="L21" s="68"/>
      <c r="M21" s="68"/>
    </row>
    <row r="22" spans="1:13" ht="14.1" customHeight="1" x14ac:dyDescent="0.15">
      <c r="A22" s="25"/>
      <c r="B22" s="32" t="s">
        <v>60</v>
      </c>
      <c r="C22" s="28" t="s">
        <v>3</v>
      </c>
      <c r="D22" s="70"/>
      <c r="E22" s="29"/>
      <c r="K22" s="68">
        <f t="shared" si="0"/>
        <v>0</v>
      </c>
      <c r="L22" s="68"/>
      <c r="M22" s="68"/>
    </row>
    <row r="23" spans="1:13" ht="14.1" customHeight="1" x14ac:dyDescent="0.15">
      <c r="A23" s="30" t="s">
        <v>60</v>
      </c>
      <c r="B23" s="31"/>
      <c r="C23" s="28" t="s">
        <v>3</v>
      </c>
      <c r="D23" s="70"/>
      <c r="E23" s="29"/>
      <c r="K23" s="68">
        <f t="shared" si="0"/>
        <v>0</v>
      </c>
      <c r="L23" s="68"/>
      <c r="M23" s="68"/>
    </row>
    <row r="24" spans="1:13" ht="14.1" customHeight="1" x14ac:dyDescent="0.15">
      <c r="A24" s="25"/>
      <c r="B24" s="31"/>
      <c r="C24" s="28" t="s">
        <v>3</v>
      </c>
      <c r="D24" s="70"/>
      <c r="E24" s="29"/>
      <c r="K24" s="68">
        <f t="shared" si="0"/>
        <v>0</v>
      </c>
      <c r="L24" s="68"/>
      <c r="M24" s="68"/>
    </row>
    <row r="25" spans="1:13" ht="14.1" customHeight="1" x14ac:dyDescent="0.15">
      <c r="A25" s="25"/>
      <c r="B25" s="31"/>
      <c r="C25" s="98" t="s">
        <v>671</v>
      </c>
      <c r="D25" s="70">
        <f>SUM(D11:D24)</f>
        <v>10174531</v>
      </c>
      <c r="E25" s="29"/>
      <c r="K25" s="68">
        <f t="shared" si="0"/>
        <v>0</v>
      </c>
      <c r="L25" s="68"/>
      <c r="M25" s="68"/>
    </row>
    <row r="26" spans="1:13" ht="14.1" customHeight="1" x14ac:dyDescent="0.15">
      <c r="A26" s="25"/>
      <c r="B26" s="233" t="s">
        <v>679</v>
      </c>
      <c r="C26" s="234"/>
      <c r="D26" s="70">
        <f>D7+D10+D25</f>
        <v>73401675</v>
      </c>
      <c r="E26" s="29"/>
      <c r="K26" s="68">
        <f t="shared" si="0"/>
        <v>0</v>
      </c>
      <c r="L26" s="68"/>
      <c r="M26" s="68"/>
    </row>
    <row r="27" spans="1:13" ht="14.1" customHeight="1" x14ac:dyDescent="0.15">
      <c r="A27" s="210" t="s">
        <v>672</v>
      </c>
      <c r="B27" s="211"/>
      <c r="C27" s="211"/>
      <c r="D27" s="70">
        <f>TRUNC((D7+D10+D25)*I27/100)</f>
        <v>5872134</v>
      </c>
      <c r="E27" s="29" t="s">
        <v>673</v>
      </c>
      <c r="I27" s="9">
        <v>8</v>
      </c>
      <c r="J27" s="9">
        <v>1</v>
      </c>
      <c r="K27" s="68">
        <f t="shared" si="0"/>
        <v>5872134</v>
      </c>
      <c r="L27" s="68"/>
      <c r="M27" s="68"/>
    </row>
    <row r="28" spans="1:13" ht="14.1" customHeight="1" x14ac:dyDescent="0.15">
      <c r="A28" s="210" t="s">
        <v>674</v>
      </c>
      <c r="B28" s="211"/>
      <c r="C28" s="211"/>
      <c r="D28" s="70">
        <f>L28-((SUM(K5:K27)+L28-TRUNC((SUM(K5:K27)+L28)/M28)*M28))</f>
        <v>7726191</v>
      </c>
      <c r="E28" s="29" t="s">
        <v>675</v>
      </c>
      <c r="I28" s="9">
        <v>15</v>
      </c>
      <c r="J28" s="9">
        <v>1</v>
      </c>
      <c r="K28" s="68">
        <f t="shared" si="0"/>
        <v>7726191</v>
      </c>
      <c r="L28" s="68">
        <f>TRUNC((D10+D25+D27)*I28/100)</f>
        <v>7824572</v>
      </c>
      <c r="M28" s="68">
        <v>100000</v>
      </c>
    </row>
    <row r="29" spans="1:13" ht="14.1" customHeight="1" x14ac:dyDescent="0.15">
      <c r="A29" s="210" t="s">
        <v>676</v>
      </c>
      <c r="B29" s="211"/>
      <c r="C29" s="211"/>
      <c r="D29" s="70">
        <f>SUM(K5:K28)</f>
        <v>87000000</v>
      </c>
      <c r="E29" s="29"/>
      <c r="K29" s="68">
        <f t="shared" si="0"/>
        <v>0</v>
      </c>
      <c r="L29" s="68"/>
      <c r="M29" s="68"/>
    </row>
    <row r="30" spans="1:13" ht="14.1" customHeight="1" x14ac:dyDescent="0.15">
      <c r="A30" s="210" t="s">
        <v>677</v>
      </c>
      <c r="B30" s="211"/>
      <c r="C30" s="211"/>
      <c r="D30" s="70">
        <f>TRUNC(D29*I30/100)</f>
        <v>8700000</v>
      </c>
      <c r="E30" s="29"/>
      <c r="I30" s="9">
        <v>10</v>
      </c>
      <c r="J30" s="9">
        <v>1</v>
      </c>
      <c r="K30" s="68">
        <f t="shared" si="0"/>
        <v>8700000</v>
      </c>
      <c r="L30" s="68"/>
      <c r="M30" s="68"/>
    </row>
    <row r="31" spans="1:13" ht="14.1" customHeight="1" x14ac:dyDescent="0.15">
      <c r="A31" s="210" t="s">
        <v>3</v>
      </c>
      <c r="B31" s="211"/>
      <c r="C31" s="211"/>
      <c r="D31" s="70"/>
      <c r="E31" s="29"/>
      <c r="K31" s="68">
        <f t="shared" si="0"/>
        <v>0</v>
      </c>
      <c r="L31" s="68"/>
      <c r="M31" s="68"/>
    </row>
    <row r="32" spans="1:13" ht="14.1" customHeight="1" x14ac:dyDescent="0.15">
      <c r="A32" s="210" t="s">
        <v>3</v>
      </c>
      <c r="B32" s="211"/>
      <c r="C32" s="211"/>
      <c r="D32" s="70"/>
      <c r="E32" s="29"/>
      <c r="K32" s="68">
        <f t="shared" si="0"/>
        <v>0</v>
      </c>
      <c r="L32" s="68"/>
      <c r="M32" s="68"/>
    </row>
    <row r="33" spans="1:13" ht="14.1" customHeight="1" x14ac:dyDescent="0.15">
      <c r="A33" s="210" t="s">
        <v>3</v>
      </c>
      <c r="B33" s="211"/>
      <c r="C33" s="211"/>
      <c r="D33" s="70"/>
      <c r="E33" s="29"/>
      <c r="K33" s="68">
        <f t="shared" si="0"/>
        <v>0</v>
      </c>
      <c r="L33" s="68"/>
      <c r="M33" s="68"/>
    </row>
    <row r="34" spans="1:13" ht="14.1" customHeight="1" x14ac:dyDescent="0.15">
      <c r="A34" s="210" t="s">
        <v>3</v>
      </c>
      <c r="B34" s="211"/>
      <c r="C34" s="211"/>
      <c r="D34" s="70"/>
      <c r="E34" s="29"/>
      <c r="K34" s="68">
        <f t="shared" si="0"/>
        <v>0</v>
      </c>
      <c r="L34" s="68"/>
      <c r="M34" s="68"/>
    </row>
    <row r="35" spans="1:13" ht="14.1" customHeight="1" thickBot="1" x14ac:dyDescent="0.2">
      <c r="A35" s="235" t="s">
        <v>678</v>
      </c>
      <c r="B35" s="236"/>
      <c r="C35" s="236"/>
      <c r="D35" s="71">
        <f>K35</f>
        <v>95700000</v>
      </c>
      <c r="E35" s="33"/>
      <c r="K35" s="68">
        <f>SUM(K5:K34)</f>
        <v>95700000</v>
      </c>
      <c r="L35" s="68"/>
      <c r="M35" s="68"/>
    </row>
    <row r="36" spans="1:13" ht="14.1" customHeight="1" x14ac:dyDescent="0.15">
      <c r="K36" s="68"/>
      <c r="L36" s="68"/>
      <c r="M36" s="68"/>
    </row>
    <row r="37" spans="1:13" x14ac:dyDescent="0.15">
      <c r="K37" s="68"/>
      <c r="L37" s="68"/>
      <c r="M37" s="68"/>
    </row>
    <row r="38" spans="1:13" x14ac:dyDescent="0.15">
      <c r="K38" s="68"/>
      <c r="L38" s="68"/>
      <c r="M38" s="68"/>
    </row>
    <row r="39" spans="1:13" x14ac:dyDescent="0.15">
      <c r="K39" s="68"/>
      <c r="L39" s="68"/>
      <c r="M39" s="68"/>
    </row>
    <row r="40" spans="1:13" x14ac:dyDescent="0.15">
      <c r="K40" s="68"/>
      <c r="L40" s="68"/>
      <c r="M40" s="68"/>
    </row>
    <row r="41" spans="1:13" x14ac:dyDescent="0.15">
      <c r="K41" s="68"/>
      <c r="L41" s="68"/>
      <c r="M41" s="68"/>
    </row>
    <row r="42" spans="1:13" x14ac:dyDescent="0.15">
      <c r="K42" s="68"/>
      <c r="L42" s="68"/>
      <c r="M42" s="68"/>
    </row>
    <row r="43" spans="1:13" x14ac:dyDescent="0.15">
      <c r="K43" s="68"/>
      <c r="L43" s="68"/>
      <c r="M43" s="68"/>
    </row>
    <row r="44" spans="1:13" x14ac:dyDescent="0.15">
      <c r="K44" s="68"/>
      <c r="L44" s="68"/>
      <c r="M44" s="68"/>
    </row>
    <row r="45" spans="1:13" x14ac:dyDescent="0.15">
      <c r="K45" s="68"/>
      <c r="L45" s="68"/>
      <c r="M45" s="68"/>
    </row>
    <row r="46" spans="1:13" x14ac:dyDescent="0.15">
      <c r="K46" s="68"/>
      <c r="L46" s="68"/>
      <c r="M46" s="68"/>
    </row>
    <row r="47" spans="1:13" x14ac:dyDescent="0.15">
      <c r="K47" s="68"/>
      <c r="L47" s="68"/>
      <c r="M47" s="68"/>
    </row>
    <row r="48" spans="1:13" x14ac:dyDescent="0.15">
      <c r="K48" s="68"/>
      <c r="L48" s="68"/>
      <c r="M48" s="68"/>
    </row>
    <row r="49" spans="11:13" x14ac:dyDescent="0.15">
      <c r="K49" s="68"/>
      <c r="L49" s="68"/>
      <c r="M49" s="68"/>
    </row>
    <row r="50" spans="11:13" x14ac:dyDescent="0.15">
      <c r="K50" s="68"/>
      <c r="L50" s="68"/>
      <c r="M50" s="68"/>
    </row>
    <row r="51" spans="11:13" x14ac:dyDescent="0.15">
      <c r="K51" s="68"/>
      <c r="L51" s="68"/>
      <c r="M51" s="68"/>
    </row>
    <row r="52" spans="11:13" x14ac:dyDescent="0.15">
      <c r="K52" s="68"/>
      <c r="L52" s="68"/>
      <c r="M52" s="68"/>
    </row>
  </sheetData>
  <mergeCells count="16">
    <mergeCell ref="C3:D3"/>
    <mergeCell ref="B5:B7"/>
    <mergeCell ref="B8:B10"/>
    <mergeCell ref="A1:E1"/>
    <mergeCell ref="A3:B3"/>
    <mergeCell ref="A4:B4"/>
    <mergeCell ref="B26:C26"/>
    <mergeCell ref="A34:C34"/>
    <mergeCell ref="A35:C35"/>
    <mergeCell ref="A32:C32"/>
    <mergeCell ref="A27:C27"/>
    <mergeCell ref="A28:C28"/>
    <mergeCell ref="A29:C29"/>
    <mergeCell ref="A33:C33"/>
    <mergeCell ref="A30:C30"/>
    <mergeCell ref="A31:C31"/>
  </mergeCells>
  <phoneticPr fontId="2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10"/>
  </sheetPr>
  <dimension ref="B1:Z31"/>
  <sheetViews>
    <sheetView view="pageBreakPreview" zoomScale="85" zoomScaleNormal="70" workbookViewId="0">
      <selection activeCell="T4" sqref="T4"/>
    </sheetView>
  </sheetViews>
  <sheetFormatPr defaultRowHeight="13.5" x14ac:dyDescent="0.15"/>
  <cols>
    <col min="1" max="1" width="4.109375" customWidth="1"/>
    <col min="2" max="2" width="12.77734375" customWidth="1"/>
    <col min="3" max="26" width="4.44140625" customWidth="1"/>
    <col min="257" max="257" width="4.109375" customWidth="1"/>
    <col min="258" max="258" width="12.77734375" customWidth="1"/>
    <col min="259" max="282" width="4.44140625" customWidth="1"/>
    <col min="513" max="513" width="4.109375" customWidth="1"/>
    <col min="514" max="514" width="12.77734375" customWidth="1"/>
    <col min="515" max="538" width="4.44140625" customWidth="1"/>
    <col min="769" max="769" width="4.109375" customWidth="1"/>
    <col min="770" max="770" width="12.77734375" customWidth="1"/>
    <col min="771" max="794" width="4.44140625" customWidth="1"/>
    <col min="1025" max="1025" width="4.109375" customWidth="1"/>
    <col min="1026" max="1026" width="12.77734375" customWidth="1"/>
    <col min="1027" max="1050" width="4.44140625" customWidth="1"/>
    <col min="1281" max="1281" width="4.109375" customWidth="1"/>
    <col min="1282" max="1282" width="12.77734375" customWidth="1"/>
    <col min="1283" max="1306" width="4.44140625" customWidth="1"/>
    <col min="1537" max="1537" width="4.109375" customWidth="1"/>
    <col min="1538" max="1538" width="12.77734375" customWidth="1"/>
    <col min="1539" max="1562" width="4.44140625" customWidth="1"/>
    <col min="1793" max="1793" width="4.109375" customWidth="1"/>
    <col min="1794" max="1794" width="12.77734375" customWidth="1"/>
    <col min="1795" max="1818" width="4.44140625" customWidth="1"/>
    <col min="2049" max="2049" width="4.109375" customWidth="1"/>
    <col min="2050" max="2050" width="12.77734375" customWidth="1"/>
    <col min="2051" max="2074" width="4.44140625" customWidth="1"/>
    <col min="2305" max="2305" width="4.109375" customWidth="1"/>
    <col min="2306" max="2306" width="12.77734375" customWidth="1"/>
    <col min="2307" max="2330" width="4.44140625" customWidth="1"/>
    <col min="2561" max="2561" width="4.109375" customWidth="1"/>
    <col min="2562" max="2562" width="12.77734375" customWidth="1"/>
    <col min="2563" max="2586" width="4.44140625" customWidth="1"/>
    <col min="2817" max="2817" width="4.109375" customWidth="1"/>
    <col min="2818" max="2818" width="12.77734375" customWidth="1"/>
    <col min="2819" max="2842" width="4.44140625" customWidth="1"/>
    <col min="3073" max="3073" width="4.109375" customWidth="1"/>
    <col min="3074" max="3074" width="12.77734375" customWidth="1"/>
    <col min="3075" max="3098" width="4.44140625" customWidth="1"/>
    <col min="3329" max="3329" width="4.109375" customWidth="1"/>
    <col min="3330" max="3330" width="12.77734375" customWidth="1"/>
    <col min="3331" max="3354" width="4.44140625" customWidth="1"/>
    <col min="3585" max="3585" width="4.109375" customWidth="1"/>
    <col min="3586" max="3586" width="12.77734375" customWidth="1"/>
    <col min="3587" max="3610" width="4.44140625" customWidth="1"/>
    <col min="3841" max="3841" width="4.109375" customWidth="1"/>
    <col min="3842" max="3842" width="12.77734375" customWidth="1"/>
    <col min="3843" max="3866" width="4.44140625" customWidth="1"/>
    <col min="4097" max="4097" width="4.109375" customWidth="1"/>
    <col min="4098" max="4098" width="12.77734375" customWidth="1"/>
    <col min="4099" max="4122" width="4.44140625" customWidth="1"/>
    <col min="4353" max="4353" width="4.109375" customWidth="1"/>
    <col min="4354" max="4354" width="12.77734375" customWidth="1"/>
    <col min="4355" max="4378" width="4.44140625" customWidth="1"/>
    <col min="4609" max="4609" width="4.109375" customWidth="1"/>
    <col min="4610" max="4610" width="12.77734375" customWidth="1"/>
    <col min="4611" max="4634" width="4.44140625" customWidth="1"/>
    <col min="4865" max="4865" width="4.109375" customWidth="1"/>
    <col min="4866" max="4866" width="12.77734375" customWidth="1"/>
    <col min="4867" max="4890" width="4.44140625" customWidth="1"/>
    <col min="5121" max="5121" width="4.109375" customWidth="1"/>
    <col min="5122" max="5122" width="12.77734375" customWidth="1"/>
    <col min="5123" max="5146" width="4.44140625" customWidth="1"/>
    <col min="5377" max="5377" width="4.109375" customWidth="1"/>
    <col min="5378" max="5378" width="12.77734375" customWidth="1"/>
    <col min="5379" max="5402" width="4.44140625" customWidth="1"/>
    <col min="5633" max="5633" width="4.109375" customWidth="1"/>
    <col min="5634" max="5634" width="12.77734375" customWidth="1"/>
    <col min="5635" max="5658" width="4.44140625" customWidth="1"/>
    <col min="5889" max="5889" width="4.109375" customWidth="1"/>
    <col min="5890" max="5890" width="12.77734375" customWidth="1"/>
    <col min="5891" max="5914" width="4.44140625" customWidth="1"/>
    <col min="6145" max="6145" width="4.109375" customWidth="1"/>
    <col min="6146" max="6146" width="12.77734375" customWidth="1"/>
    <col min="6147" max="6170" width="4.44140625" customWidth="1"/>
    <col min="6401" max="6401" width="4.109375" customWidth="1"/>
    <col min="6402" max="6402" width="12.77734375" customWidth="1"/>
    <col min="6403" max="6426" width="4.44140625" customWidth="1"/>
    <col min="6657" max="6657" width="4.109375" customWidth="1"/>
    <col min="6658" max="6658" width="12.77734375" customWidth="1"/>
    <col min="6659" max="6682" width="4.44140625" customWidth="1"/>
    <col min="6913" max="6913" width="4.109375" customWidth="1"/>
    <col min="6914" max="6914" width="12.77734375" customWidth="1"/>
    <col min="6915" max="6938" width="4.44140625" customWidth="1"/>
    <col min="7169" max="7169" width="4.109375" customWidth="1"/>
    <col min="7170" max="7170" width="12.77734375" customWidth="1"/>
    <col min="7171" max="7194" width="4.44140625" customWidth="1"/>
    <col min="7425" max="7425" width="4.109375" customWidth="1"/>
    <col min="7426" max="7426" width="12.77734375" customWidth="1"/>
    <col min="7427" max="7450" width="4.44140625" customWidth="1"/>
    <col min="7681" max="7681" width="4.109375" customWidth="1"/>
    <col min="7682" max="7682" width="12.77734375" customWidth="1"/>
    <col min="7683" max="7706" width="4.44140625" customWidth="1"/>
    <col min="7937" max="7937" width="4.109375" customWidth="1"/>
    <col min="7938" max="7938" width="12.77734375" customWidth="1"/>
    <col min="7939" max="7962" width="4.44140625" customWidth="1"/>
    <col min="8193" max="8193" width="4.109375" customWidth="1"/>
    <col min="8194" max="8194" width="12.77734375" customWidth="1"/>
    <col min="8195" max="8218" width="4.44140625" customWidth="1"/>
    <col min="8449" max="8449" width="4.109375" customWidth="1"/>
    <col min="8450" max="8450" width="12.77734375" customWidth="1"/>
    <col min="8451" max="8474" width="4.44140625" customWidth="1"/>
    <col min="8705" max="8705" width="4.109375" customWidth="1"/>
    <col min="8706" max="8706" width="12.77734375" customWidth="1"/>
    <col min="8707" max="8730" width="4.44140625" customWidth="1"/>
    <col min="8961" max="8961" width="4.109375" customWidth="1"/>
    <col min="8962" max="8962" width="12.77734375" customWidth="1"/>
    <col min="8963" max="8986" width="4.44140625" customWidth="1"/>
    <col min="9217" max="9217" width="4.109375" customWidth="1"/>
    <col min="9218" max="9218" width="12.77734375" customWidth="1"/>
    <col min="9219" max="9242" width="4.44140625" customWidth="1"/>
    <col min="9473" max="9473" width="4.109375" customWidth="1"/>
    <col min="9474" max="9474" width="12.77734375" customWidth="1"/>
    <col min="9475" max="9498" width="4.44140625" customWidth="1"/>
    <col min="9729" max="9729" width="4.109375" customWidth="1"/>
    <col min="9730" max="9730" width="12.77734375" customWidth="1"/>
    <col min="9731" max="9754" width="4.44140625" customWidth="1"/>
    <col min="9985" max="9985" width="4.109375" customWidth="1"/>
    <col min="9986" max="9986" width="12.77734375" customWidth="1"/>
    <col min="9987" max="10010" width="4.44140625" customWidth="1"/>
    <col min="10241" max="10241" width="4.109375" customWidth="1"/>
    <col min="10242" max="10242" width="12.77734375" customWidth="1"/>
    <col min="10243" max="10266" width="4.44140625" customWidth="1"/>
    <col min="10497" max="10497" width="4.109375" customWidth="1"/>
    <col min="10498" max="10498" width="12.77734375" customWidth="1"/>
    <col min="10499" max="10522" width="4.44140625" customWidth="1"/>
    <col min="10753" max="10753" width="4.109375" customWidth="1"/>
    <col min="10754" max="10754" width="12.77734375" customWidth="1"/>
    <col min="10755" max="10778" width="4.44140625" customWidth="1"/>
    <col min="11009" max="11009" width="4.109375" customWidth="1"/>
    <col min="11010" max="11010" width="12.77734375" customWidth="1"/>
    <col min="11011" max="11034" width="4.44140625" customWidth="1"/>
    <col min="11265" max="11265" width="4.109375" customWidth="1"/>
    <col min="11266" max="11266" width="12.77734375" customWidth="1"/>
    <col min="11267" max="11290" width="4.44140625" customWidth="1"/>
    <col min="11521" max="11521" width="4.109375" customWidth="1"/>
    <col min="11522" max="11522" width="12.77734375" customWidth="1"/>
    <col min="11523" max="11546" width="4.44140625" customWidth="1"/>
    <col min="11777" max="11777" width="4.109375" customWidth="1"/>
    <col min="11778" max="11778" width="12.77734375" customWidth="1"/>
    <col min="11779" max="11802" width="4.44140625" customWidth="1"/>
    <col min="12033" max="12033" width="4.109375" customWidth="1"/>
    <col min="12034" max="12034" width="12.77734375" customWidth="1"/>
    <col min="12035" max="12058" width="4.44140625" customWidth="1"/>
    <col min="12289" max="12289" width="4.109375" customWidth="1"/>
    <col min="12290" max="12290" width="12.77734375" customWidth="1"/>
    <col min="12291" max="12314" width="4.44140625" customWidth="1"/>
    <col min="12545" max="12545" width="4.109375" customWidth="1"/>
    <col min="12546" max="12546" width="12.77734375" customWidth="1"/>
    <col min="12547" max="12570" width="4.44140625" customWidth="1"/>
    <col min="12801" max="12801" width="4.109375" customWidth="1"/>
    <col min="12802" max="12802" width="12.77734375" customWidth="1"/>
    <col min="12803" max="12826" width="4.44140625" customWidth="1"/>
    <col min="13057" max="13057" width="4.109375" customWidth="1"/>
    <col min="13058" max="13058" width="12.77734375" customWidth="1"/>
    <col min="13059" max="13082" width="4.44140625" customWidth="1"/>
    <col min="13313" max="13313" width="4.109375" customWidth="1"/>
    <col min="13314" max="13314" width="12.77734375" customWidth="1"/>
    <col min="13315" max="13338" width="4.44140625" customWidth="1"/>
    <col min="13569" max="13569" width="4.109375" customWidth="1"/>
    <col min="13570" max="13570" width="12.77734375" customWidth="1"/>
    <col min="13571" max="13594" width="4.44140625" customWidth="1"/>
    <col min="13825" max="13825" width="4.109375" customWidth="1"/>
    <col min="13826" max="13826" width="12.77734375" customWidth="1"/>
    <col min="13827" max="13850" width="4.44140625" customWidth="1"/>
    <col min="14081" max="14081" width="4.109375" customWidth="1"/>
    <col min="14082" max="14082" width="12.77734375" customWidth="1"/>
    <col min="14083" max="14106" width="4.44140625" customWidth="1"/>
    <col min="14337" max="14337" width="4.109375" customWidth="1"/>
    <col min="14338" max="14338" width="12.77734375" customWidth="1"/>
    <col min="14339" max="14362" width="4.44140625" customWidth="1"/>
    <col min="14593" max="14593" width="4.109375" customWidth="1"/>
    <col min="14594" max="14594" width="12.77734375" customWidth="1"/>
    <col min="14595" max="14618" width="4.44140625" customWidth="1"/>
    <col min="14849" max="14849" width="4.109375" customWidth="1"/>
    <col min="14850" max="14850" width="12.77734375" customWidth="1"/>
    <col min="14851" max="14874" width="4.44140625" customWidth="1"/>
    <col min="15105" max="15105" width="4.109375" customWidth="1"/>
    <col min="15106" max="15106" width="12.77734375" customWidth="1"/>
    <col min="15107" max="15130" width="4.44140625" customWidth="1"/>
    <col min="15361" max="15361" width="4.109375" customWidth="1"/>
    <col min="15362" max="15362" width="12.77734375" customWidth="1"/>
    <col min="15363" max="15386" width="4.44140625" customWidth="1"/>
    <col min="15617" max="15617" width="4.109375" customWidth="1"/>
    <col min="15618" max="15618" width="12.77734375" customWidth="1"/>
    <col min="15619" max="15642" width="4.44140625" customWidth="1"/>
    <col min="15873" max="15873" width="4.109375" customWidth="1"/>
    <col min="15874" max="15874" width="12.77734375" customWidth="1"/>
    <col min="15875" max="15898" width="4.44140625" customWidth="1"/>
    <col min="16129" max="16129" width="4.109375" customWidth="1"/>
    <col min="16130" max="16130" width="12.77734375" customWidth="1"/>
    <col min="16131" max="16154" width="4.44140625" customWidth="1"/>
  </cols>
  <sheetData>
    <row r="1" spans="2:26" ht="21.75" customHeight="1" x14ac:dyDescent="0.15"/>
    <row r="2" spans="2:26" ht="12" customHeight="1" x14ac:dyDescent="0.15">
      <c r="B2" s="244" t="s">
        <v>1103</v>
      </c>
      <c r="C2" s="157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9"/>
    </row>
    <row r="3" spans="2:26" ht="12" customHeight="1" x14ac:dyDescent="0.15">
      <c r="B3" s="243"/>
      <c r="C3" s="160"/>
      <c r="D3" s="161" t="s">
        <v>1104</v>
      </c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3" t="s">
        <v>1105</v>
      </c>
      <c r="S3" s="163"/>
      <c r="T3" s="245" t="s">
        <v>1135</v>
      </c>
      <c r="U3" s="245"/>
      <c r="V3" s="245"/>
      <c r="W3" s="245"/>
      <c r="X3" s="245"/>
      <c r="Y3" s="245"/>
      <c r="Z3" s="246"/>
    </row>
    <row r="4" spans="2:26" ht="15.95" customHeight="1" x14ac:dyDescent="0.15">
      <c r="B4" s="164"/>
      <c r="C4" s="160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2"/>
      <c r="T4" s="162"/>
      <c r="U4" s="162"/>
      <c r="V4" s="162"/>
      <c r="W4" s="162"/>
      <c r="X4" s="162"/>
      <c r="Y4" s="162"/>
      <c r="Z4" s="165"/>
    </row>
    <row r="5" spans="2:26" ht="21" customHeight="1" x14ac:dyDescent="0.15">
      <c r="B5" s="164"/>
      <c r="C5" s="247" t="s">
        <v>1106</v>
      </c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9"/>
    </row>
    <row r="6" spans="2:26" ht="24" customHeight="1" x14ac:dyDescent="0.15">
      <c r="B6" s="164"/>
      <c r="C6" s="247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8"/>
      <c r="T6" s="248"/>
      <c r="U6" s="248"/>
      <c r="V6" s="248"/>
      <c r="W6" s="248"/>
      <c r="X6" s="248"/>
      <c r="Y6" s="248"/>
      <c r="Z6" s="249"/>
    </row>
    <row r="7" spans="2:26" ht="11.25" customHeight="1" x14ac:dyDescent="0.15">
      <c r="B7" s="244" t="s">
        <v>1107</v>
      </c>
      <c r="C7" s="166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  <c r="X7" s="167"/>
      <c r="Y7" s="167"/>
      <c r="Z7" s="168"/>
    </row>
    <row r="8" spans="2:26" ht="12" customHeight="1" x14ac:dyDescent="0.15">
      <c r="B8" s="243"/>
      <c r="C8" s="166"/>
      <c r="D8" s="169" t="s">
        <v>1108</v>
      </c>
      <c r="E8" s="162"/>
      <c r="F8" s="162"/>
      <c r="G8" s="162"/>
      <c r="H8" s="162"/>
      <c r="I8" s="162"/>
      <c r="J8" s="162"/>
      <c r="K8" s="162"/>
      <c r="L8" s="162"/>
      <c r="M8" s="162"/>
      <c r="N8" s="162"/>
      <c r="O8" s="162"/>
      <c r="P8" s="162"/>
      <c r="Q8" s="162"/>
      <c r="R8" s="162"/>
      <c r="S8" s="162"/>
      <c r="T8" s="162"/>
      <c r="U8" s="162"/>
      <c r="V8" s="162"/>
      <c r="W8" s="162"/>
      <c r="X8" s="162"/>
      <c r="Y8" s="167"/>
      <c r="Z8" s="168"/>
    </row>
    <row r="9" spans="2:26" ht="21.75" customHeight="1" x14ac:dyDescent="0.15">
      <c r="B9" s="164"/>
      <c r="C9" s="160"/>
      <c r="D9" s="169"/>
      <c r="E9" s="162"/>
      <c r="F9" s="162"/>
      <c r="G9" s="162"/>
      <c r="H9" s="162"/>
      <c r="I9" s="162"/>
      <c r="J9" s="162"/>
      <c r="K9" s="162"/>
      <c r="L9" s="162"/>
      <c r="M9" s="162"/>
      <c r="N9" s="162"/>
      <c r="O9" s="162"/>
      <c r="P9" s="162"/>
      <c r="Q9" s="162"/>
      <c r="R9" s="162"/>
      <c r="S9" s="162"/>
      <c r="T9" s="162"/>
      <c r="U9" s="162"/>
      <c r="V9" s="162"/>
      <c r="W9" s="162"/>
      <c r="X9" s="162"/>
      <c r="Y9" s="162"/>
      <c r="Z9" s="165"/>
    </row>
    <row r="10" spans="2:26" ht="23.25" customHeight="1" x14ac:dyDescent="0.15">
      <c r="B10" s="164"/>
      <c r="C10" s="160"/>
      <c r="D10" s="170"/>
      <c r="E10" s="171" t="s">
        <v>1109</v>
      </c>
      <c r="F10" s="172"/>
      <c r="G10" s="172"/>
      <c r="H10" s="172"/>
      <c r="I10" s="171"/>
      <c r="J10" s="171"/>
      <c r="K10" s="171"/>
      <c r="L10" s="171"/>
      <c r="M10" s="171"/>
      <c r="N10" s="171"/>
      <c r="O10" s="171"/>
      <c r="P10" s="171"/>
      <c r="Q10" s="171"/>
      <c r="R10" s="171"/>
      <c r="S10" s="171"/>
      <c r="T10" s="171"/>
      <c r="U10" s="171"/>
      <c r="V10" s="171"/>
      <c r="W10" s="171"/>
      <c r="X10" s="171"/>
      <c r="Y10" s="162"/>
      <c r="Z10" s="165"/>
    </row>
    <row r="11" spans="2:26" ht="15.95" customHeight="1" x14ac:dyDescent="0.15">
      <c r="B11" s="164"/>
      <c r="C11" s="160"/>
      <c r="D11" s="173"/>
      <c r="E11" s="174">
        <f>[1]입력판!B9</f>
        <v>0</v>
      </c>
      <c r="F11" s="171"/>
      <c r="G11" s="171"/>
      <c r="H11" s="171"/>
      <c r="I11" s="171"/>
      <c r="J11" s="171"/>
      <c r="K11" s="171"/>
      <c r="L11" s="171"/>
      <c r="M11" s="171"/>
      <c r="N11" s="171"/>
      <c r="O11" s="171"/>
      <c r="P11" s="171"/>
      <c r="Q11" s="171"/>
      <c r="R11" s="171"/>
      <c r="S11" s="171"/>
      <c r="T11" s="171"/>
      <c r="U11" s="171"/>
      <c r="V11" s="171"/>
      <c r="W11" s="171"/>
      <c r="X11" s="171"/>
      <c r="Y11" s="162"/>
      <c r="Z11" s="165"/>
    </row>
    <row r="12" spans="2:26" ht="12" customHeight="1" x14ac:dyDescent="0.15">
      <c r="B12" s="242" t="s">
        <v>1110</v>
      </c>
      <c r="C12" s="175"/>
      <c r="D12" s="170"/>
      <c r="E12" s="171"/>
      <c r="F12" s="171"/>
      <c r="G12" s="171"/>
      <c r="H12" s="171"/>
      <c r="I12" s="171"/>
      <c r="J12" s="171"/>
      <c r="K12" s="171"/>
      <c r="L12" s="171"/>
      <c r="M12" s="171"/>
      <c r="N12" s="171"/>
      <c r="O12" s="171"/>
      <c r="P12" s="171"/>
      <c r="Q12" s="171"/>
      <c r="R12" s="171"/>
      <c r="S12" s="171"/>
      <c r="T12" s="171"/>
      <c r="U12" s="171"/>
      <c r="V12" s="171"/>
      <c r="W12" s="171"/>
      <c r="X12" s="171"/>
      <c r="Y12" s="171"/>
      <c r="Z12" s="176"/>
    </row>
    <row r="13" spans="2:26" ht="12" customHeight="1" x14ac:dyDescent="0.15">
      <c r="B13" s="243"/>
      <c r="C13" s="175"/>
      <c r="D13" s="170"/>
      <c r="E13" s="174"/>
      <c r="F13" s="171"/>
      <c r="G13" s="171"/>
      <c r="H13" s="171"/>
      <c r="I13" s="171"/>
      <c r="J13" s="171"/>
      <c r="K13" s="171"/>
      <c r="L13" s="171"/>
      <c r="M13" s="171"/>
      <c r="N13" s="171"/>
      <c r="O13" s="171"/>
      <c r="P13" s="171"/>
      <c r="Q13" s="171"/>
      <c r="R13" s="171"/>
      <c r="S13" s="171"/>
      <c r="T13" s="171"/>
      <c r="U13" s="171"/>
      <c r="V13" s="171"/>
      <c r="W13" s="171"/>
      <c r="X13" s="171"/>
      <c r="Y13" s="171"/>
      <c r="Z13" s="176"/>
    </row>
    <row r="14" spans="2:26" ht="15.75" customHeight="1" x14ac:dyDescent="0.15">
      <c r="B14" s="177" t="s">
        <v>1104</v>
      </c>
      <c r="C14" s="175"/>
      <c r="D14" s="173"/>
      <c r="E14" s="174"/>
      <c r="F14" s="171"/>
      <c r="G14" s="171"/>
      <c r="H14" s="171"/>
      <c r="I14" s="171"/>
      <c r="J14" s="171"/>
      <c r="K14" s="171"/>
      <c r="L14" s="171"/>
      <c r="M14" s="171"/>
      <c r="N14" s="171"/>
      <c r="O14" s="171"/>
      <c r="P14" s="171"/>
      <c r="Q14" s="171"/>
      <c r="R14" s="171"/>
      <c r="S14" s="171"/>
      <c r="T14" s="171"/>
      <c r="U14" s="171"/>
      <c r="V14" s="171"/>
      <c r="W14" s="171"/>
      <c r="X14" s="171"/>
      <c r="Y14" s="171"/>
      <c r="Z14" s="176"/>
    </row>
    <row r="15" spans="2:26" ht="12.75" customHeight="1" x14ac:dyDescent="0.15">
      <c r="B15" s="177"/>
      <c r="C15" s="175"/>
      <c r="D15" s="173"/>
      <c r="E15" s="171"/>
      <c r="F15" s="171"/>
      <c r="G15" s="171"/>
      <c r="H15" s="171"/>
      <c r="I15" s="171"/>
      <c r="J15" s="171"/>
      <c r="K15" s="171"/>
      <c r="L15" s="171"/>
      <c r="M15" s="171"/>
      <c r="N15" s="171"/>
      <c r="O15" s="171"/>
      <c r="P15" s="171"/>
      <c r="Q15" s="171"/>
      <c r="R15" s="171"/>
      <c r="S15" s="171"/>
      <c r="T15" s="171"/>
      <c r="U15" s="171"/>
      <c r="V15" s="171"/>
      <c r="W15" s="171"/>
      <c r="X15" s="171"/>
      <c r="Y15" s="171"/>
      <c r="Z15" s="176"/>
    </row>
    <row r="16" spans="2:26" ht="12" customHeight="1" x14ac:dyDescent="0.15">
      <c r="B16" s="164" t="s">
        <v>1111</v>
      </c>
      <c r="C16" s="175"/>
      <c r="D16" s="170"/>
      <c r="E16" s="171"/>
      <c r="F16" s="171"/>
      <c r="G16" s="171"/>
      <c r="H16" s="171"/>
      <c r="I16" s="171"/>
      <c r="J16" s="171"/>
      <c r="K16" s="171"/>
      <c r="L16" s="171"/>
      <c r="M16" s="171"/>
      <c r="N16" s="171"/>
      <c r="O16" s="171"/>
      <c r="P16" s="171"/>
      <c r="Q16" s="171"/>
      <c r="R16" s="171"/>
      <c r="S16" s="171"/>
      <c r="T16" s="171"/>
      <c r="U16" s="171"/>
      <c r="V16" s="171"/>
      <c r="W16" s="171"/>
      <c r="X16" s="171"/>
      <c r="Y16" s="171"/>
      <c r="Z16" s="176"/>
    </row>
    <row r="17" spans="2:26" ht="12.75" customHeight="1" x14ac:dyDescent="0.15">
      <c r="B17" s="242" t="s">
        <v>1112</v>
      </c>
      <c r="C17" s="175"/>
      <c r="D17" s="173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1"/>
      <c r="T17" s="171"/>
      <c r="U17" s="171"/>
      <c r="V17" s="171"/>
      <c r="W17" s="171"/>
      <c r="X17" s="171"/>
      <c r="Y17" s="171"/>
      <c r="Z17" s="176"/>
    </row>
    <row r="18" spans="2:26" ht="11.25" customHeight="1" x14ac:dyDescent="0.15">
      <c r="B18" s="243"/>
      <c r="C18" s="175"/>
      <c r="D18" s="173"/>
      <c r="E18" s="171"/>
      <c r="F18" s="171"/>
      <c r="G18" s="171"/>
      <c r="H18" s="171"/>
      <c r="I18" s="171"/>
      <c r="J18" s="171"/>
      <c r="K18" s="171"/>
      <c r="L18" s="171"/>
      <c r="M18" s="171"/>
      <c r="N18" s="171"/>
      <c r="O18" s="171"/>
      <c r="P18" s="171"/>
      <c r="Q18" s="171"/>
      <c r="R18" s="171"/>
      <c r="S18" s="171"/>
      <c r="T18" s="171"/>
      <c r="U18" s="171"/>
      <c r="V18" s="171"/>
      <c r="W18" s="171"/>
      <c r="X18" s="171"/>
      <c r="Y18" s="171"/>
      <c r="Z18" s="176"/>
    </row>
    <row r="19" spans="2:26" ht="15.95" customHeight="1" x14ac:dyDescent="0.15">
      <c r="B19" s="164"/>
      <c r="C19" s="175"/>
      <c r="D19" s="170"/>
      <c r="E19" s="171"/>
      <c r="F19" s="171"/>
      <c r="G19" s="171"/>
      <c r="H19" s="171"/>
      <c r="I19" s="171"/>
      <c r="J19" s="171"/>
      <c r="K19" s="171"/>
      <c r="L19" s="171"/>
      <c r="M19" s="171"/>
      <c r="N19" s="171"/>
      <c r="O19" s="171"/>
      <c r="P19" s="171"/>
      <c r="Q19" s="171"/>
      <c r="R19" s="171"/>
      <c r="S19" s="171"/>
      <c r="T19" s="171"/>
      <c r="U19" s="171"/>
      <c r="V19" s="171"/>
      <c r="W19" s="171"/>
      <c r="X19" s="171"/>
      <c r="Y19" s="171"/>
      <c r="Z19" s="176"/>
    </row>
    <row r="20" spans="2:26" ht="17.25" customHeight="1" x14ac:dyDescent="0.15">
      <c r="B20" s="164"/>
      <c r="C20" s="175"/>
      <c r="D20" s="173"/>
      <c r="E20" s="171"/>
      <c r="F20" s="171"/>
      <c r="G20" s="171"/>
      <c r="H20" s="171"/>
      <c r="I20" s="171"/>
      <c r="J20" s="171"/>
      <c r="K20" s="171"/>
      <c r="L20" s="171"/>
      <c r="M20" s="171"/>
      <c r="N20" s="171"/>
      <c r="O20" s="171"/>
      <c r="P20" s="171"/>
      <c r="Q20" s="171"/>
      <c r="R20" s="171"/>
      <c r="S20" s="171"/>
      <c r="T20" s="171"/>
      <c r="U20" s="171"/>
      <c r="V20" s="171"/>
      <c r="W20" s="171"/>
      <c r="X20" s="171"/>
      <c r="Y20" s="171"/>
      <c r="Z20" s="176"/>
    </row>
    <row r="21" spans="2:26" ht="24.75" customHeight="1" x14ac:dyDescent="0.15">
      <c r="B21" s="164"/>
      <c r="C21" s="175"/>
      <c r="D21" s="178"/>
      <c r="E21" s="171"/>
      <c r="F21" s="171"/>
      <c r="G21" s="171"/>
      <c r="H21" s="171"/>
      <c r="I21" s="171"/>
      <c r="J21" s="171"/>
      <c r="K21" s="171"/>
      <c r="L21" s="171"/>
      <c r="M21" s="171"/>
      <c r="N21" s="171"/>
      <c r="O21" s="171"/>
      <c r="P21" s="171"/>
      <c r="Q21" s="171"/>
      <c r="R21" s="171"/>
      <c r="S21" s="171"/>
      <c r="T21" s="171"/>
      <c r="U21" s="171"/>
      <c r="V21" s="171"/>
      <c r="W21" s="171"/>
      <c r="X21" s="171"/>
      <c r="Y21" s="171"/>
      <c r="Z21" s="176"/>
    </row>
    <row r="22" spans="2:26" ht="11.25" customHeight="1" x14ac:dyDescent="0.15">
      <c r="B22" s="242" t="s">
        <v>1113</v>
      </c>
      <c r="C22" s="175"/>
      <c r="D22" s="173"/>
      <c r="E22" s="171"/>
      <c r="F22" s="179"/>
      <c r="G22" s="171"/>
      <c r="H22" s="171"/>
      <c r="I22" s="171"/>
      <c r="J22" s="171"/>
      <c r="K22" s="171"/>
      <c r="L22" s="171"/>
      <c r="M22" s="171"/>
      <c r="N22" s="171"/>
      <c r="O22" s="171"/>
      <c r="P22" s="171"/>
      <c r="Q22" s="171"/>
      <c r="R22" s="171"/>
      <c r="S22" s="171"/>
      <c r="T22" s="171"/>
      <c r="U22" s="171"/>
      <c r="V22" s="171"/>
      <c r="W22" s="171"/>
      <c r="X22" s="171"/>
      <c r="Y22" s="171"/>
      <c r="Z22" s="176"/>
    </row>
    <row r="23" spans="2:26" ht="12" customHeight="1" x14ac:dyDescent="0.15">
      <c r="B23" s="243"/>
      <c r="C23" s="180"/>
      <c r="D23" s="179"/>
      <c r="E23" s="179"/>
      <c r="F23" s="179"/>
      <c r="G23" s="179"/>
      <c r="H23" s="179"/>
      <c r="I23" s="179"/>
      <c r="J23" s="179"/>
      <c r="K23" s="179"/>
      <c r="L23" s="179"/>
      <c r="M23" s="179"/>
      <c r="N23" s="179"/>
      <c r="O23" s="179"/>
      <c r="P23" s="179"/>
      <c r="Q23" s="179"/>
      <c r="R23" s="179"/>
      <c r="S23" s="179"/>
      <c r="T23" s="179"/>
      <c r="U23" s="179"/>
      <c r="V23" s="179"/>
      <c r="W23" s="179"/>
      <c r="X23" s="179"/>
      <c r="Y23" s="171"/>
      <c r="Z23" s="176"/>
    </row>
    <row r="24" spans="2:26" ht="15.95" customHeight="1" x14ac:dyDescent="0.15">
      <c r="B24" s="164"/>
      <c r="C24" s="180"/>
      <c r="D24" s="173" t="s">
        <v>1114</v>
      </c>
      <c r="E24" s="181"/>
      <c r="F24" s="173"/>
      <c r="G24" s="173"/>
      <c r="H24" s="173"/>
      <c r="I24" s="173" t="s">
        <v>1115</v>
      </c>
      <c r="J24" s="173" t="str">
        <f>NUMBERSTRING(T24,1)&amp;"원정"</f>
        <v>구천사백삼십일만육천원정</v>
      </c>
      <c r="K24" s="173"/>
      <c r="L24" s="173"/>
      <c r="M24" s="173"/>
      <c r="N24" s="173"/>
      <c r="O24" s="173"/>
      <c r="P24" s="173"/>
      <c r="Q24" s="173"/>
      <c r="R24" s="173"/>
      <c r="S24" s="182" t="s">
        <v>1116</v>
      </c>
      <c r="T24" s="250">
        <f>T25+T26</f>
        <v>94316000</v>
      </c>
      <c r="U24" s="250"/>
      <c r="V24" s="250"/>
      <c r="W24" s="250"/>
      <c r="X24" s="173" t="s">
        <v>1117</v>
      </c>
      <c r="Y24" s="171"/>
      <c r="Z24" s="176"/>
    </row>
    <row r="25" spans="2:26" ht="17.25" customHeight="1" x14ac:dyDescent="0.15">
      <c r="B25" s="164"/>
      <c r="C25" s="180"/>
      <c r="D25" s="173" t="s">
        <v>1118</v>
      </c>
      <c r="E25" s="173"/>
      <c r="F25" s="173"/>
      <c r="G25" s="173"/>
      <c r="H25" s="173"/>
      <c r="I25" s="173" t="s">
        <v>1115</v>
      </c>
      <c r="J25" s="173" t="str">
        <f>NUMBERSTRING(T25,1)&amp;"원정"</f>
        <v>구천사백삼십일만육천원정</v>
      </c>
      <c r="K25" s="173"/>
      <c r="L25" s="173"/>
      <c r="M25" s="173"/>
      <c r="N25" s="173"/>
      <c r="O25" s="173"/>
      <c r="P25" s="173"/>
      <c r="Q25" s="173"/>
      <c r="R25" s="173"/>
      <c r="S25" s="182" t="s">
        <v>1116</v>
      </c>
      <c r="T25" s="250">
        <f>원가계산서!L34</f>
        <v>94316000</v>
      </c>
      <c r="U25" s="250"/>
      <c r="V25" s="250"/>
      <c r="W25" s="250"/>
      <c r="X25" s="173" t="s">
        <v>1117</v>
      </c>
      <c r="Y25" s="183"/>
      <c r="Z25" s="184"/>
    </row>
    <row r="26" spans="2:26" ht="18.75" customHeight="1" x14ac:dyDescent="0.15">
      <c r="B26" s="164"/>
      <c r="C26" s="180"/>
      <c r="D26" s="173" t="s">
        <v>1119</v>
      </c>
      <c r="E26" s="181"/>
      <c r="F26" s="173"/>
      <c r="G26" s="173"/>
      <c r="H26" s="173"/>
      <c r="I26" s="173" t="s">
        <v>1120</v>
      </c>
      <c r="J26" s="185" t="str">
        <f>NUMBERSTRING(T26,1)&amp;"원정"</f>
        <v>영원정</v>
      </c>
      <c r="K26" s="185"/>
      <c r="L26" s="185"/>
      <c r="M26" s="173"/>
      <c r="N26" s="173"/>
      <c r="O26" s="173"/>
      <c r="P26" s="173"/>
      <c r="Q26" s="173"/>
      <c r="R26" s="173"/>
      <c r="S26" s="182" t="s">
        <v>1121</v>
      </c>
      <c r="T26" s="250"/>
      <c r="U26" s="250"/>
      <c r="V26" s="250"/>
      <c r="W26" s="250"/>
      <c r="X26" s="173" t="s">
        <v>1122</v>
      </c>
      <c r="Y26" s="186"/>
      <c r="Z26" s="187"/>
    </row>
    <row r="27" spans="2:26" ht="10.5" customHeight="1" x14ac:dyDescent="0.15">
      <c r="B27" s="242" t="s">
        <v>1123</v>
      </c>
      <c r="C27" s="180"/>
      <c r="D27" s="179"/>
      <c r="E27" s="179"/>
      <c r="F27" s="179"/>
      <c r="G27" s="179"/>
      <c r="H27" s="179"/>
      <c r="I27" s="179"/>
      <c r="J27" s="179"/>
      <c r="K27" s="179"/>
      <c r="L27" s="179"/>
      <c r="M27" s="179"/>
      <c r="N27" s="179"/>
      <c r="O27" s="179"/>
      <c r="P27" s="179"/>
      <c r="Q27" s="179"/>
      <c r="R27" s="179"/>
      <c r="S27" s="179"/>
      <c r="T27" s="179"/>
      <c r="U27" s="179"/>
      <c r="V27" s="179"/>
      <c r="W27" s="179"/>
      <c r="X27" s="179"/>
      <c r="Y27" s="186"/>
      <c r="Z27" s="187"/>
    </row>
    <row r="28" spans="2:26" ht="15" customHeight="1" x14ac:dyDescent="0.15">
      <c r="B28" s="243"/>
      <c r="C28" s="175"/>
      <c r="D28" s="179"/>
      <c r="E28" s="179"/>
      <c r="F28" s="179"/>
      <c r="G28" s="179"/>
      <c r="H28" s="251" t="s">
        <v>1124</v>
      </c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179"/>
      <c r="W28" s="179"/>
      <c r="X28" s="179"/>
      <c r="Y28" s="179"/>
      <c r="Z28" s="188"/>
    </row>
    <row r="29" spans="2:26" ht="15.95" customHeight="1" x14ac:dyDescent="0.15">
      <c r="B29" s="164"/>
      <c r="C29" s="175"/>
      <c r="D29" s="179"/>
      <c r="E29" s="179"/>
      <c r="F29" s="179"/>
      <c r="G29" s="179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179"/>
      <c r="W29" s="179"/>
      <c r="X29" s="179"/>
      <c r="Y29" s="179"/>
      <c r="Z29" s="188"/>
    </row>
    <row r="30" spans="2:26" ht="20.25" customHeight="1" x14ac:dyDescent="0.15">
      <c r="B30" s="164"/>
      <c r="C30" s="175"/>
      <c r="D30" s="181"/>
      <c r="E30" s="181"/>
      <c r="F30" s="181"/>
      <c r="G30" s="18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1"/>
      <c r="T30" s="251"/>
      <c r="U30" s="251"/>
      <c r="V30" s="181"/>
      <c r="W30" s="181"/>
      <c r="X30" s="181"/>
      <c r="Y30" s="181"/>
      <c r="Z30" s="188"/>
    </row>
    <row r="31" spans="2:26" ht="15.95" customHeight="1" x14ac:dyDescent="0.15">
      <c r="B31" s="189"/>
      <c r="C31" s="190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1"/>
      <c r="T31" s="191"/>
      <c r="U31" s="191"/>
      <c r="V31" s="191"/>
      <c r="W31" s="191"/>
      <c r="X31" s="191"/>
      <c r="Y31" s="191"/>
      <c r="Z31" s="192"/>
    </row>
  </sheetData>
  <mergeCells count="12">
    <mergeCell ref="B22:B23"/>
    <mergeCell ref="T24:W24"/>
    <mergeCell ref="T25:W25"/>
    <mergeCell ref="T26:W26"/>
    <mergeCell ref="B27:B28"/>
    <mergeCell ref="H28:U30"/>
    <mergeCell ref="B17:B18"/>
    <mergeCell ref="B2:B3"/>
    <mergeCell ref="T3:Z3"/>
    <mergeCell ref="C5:Z6"/>
    <mergeCell ref="B7:B8"/>
    <mergeCell ref="B12:B13"/>
  </mergeCells>
  <phoneticPr fontId="2" type="noConversion"/>
  <pageMargins left="0.55118110236220474" right="0.35433070866141736" top="0.78740157480314965" bottom="0.78740157480314965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34"/>
  <sheetViews>
    <sheetView view="pageBreakPreview" zoomScaleNormal="100" zoomScaleSheetLayoutView="100" workbookViewId="0">
      <selection sqref="A1:J1"/>
    </sheetView>
  </sheetViews>
  <sheetFormatPr defaultRowHeight="12" x14ac:dyDescent="0.15"/>
  <cols>
    <col min="1" max="2" width="3.44140625" style="107" customWidth="1"/>
    <col min="3" max="3" width="17.5546875" style="107" customWidth="1"/>
    <col min="4" max="4" width="11.88671875" style="107" customWidth="1"/>
    <col min="5" max="5" width="17.88671875" style="107" customWidth="1"/>
    <col min="6" max="6" width="2.88671875" style="107" customWidth="1"/>
    <col min="7" max="7" width="7.44140625" style="107" customWidth="1"/>
    <col min="8" max="8" width="1.88671875" style="130" customWidth="1"/>
    <col min="9" max="9" width="8.109375" style="130" customWidth="1"/>
    <col min="10" max="10" width="2.33203125" style="130" customWidth="1"/>
    <col min="11" max="11" width="3.88671875" style="130" customWidth="1"/>
    <col min="12" max="12" width="13.5546875" style="131" customWidth="1"/>
    <col min="13" max="13" width="15.6640625" style="107" customWidth="1"/>
    <col min="14" max="14" width="14.5546875" style="107" customWidth="1"/>
    <col min="15" max="15" width="13.33203125" style="107" customWidth="1"/>
    <col min="16" max="256" width="8.88671875" style="107"/>
    <col min="257" max="258" width="3.44140625" style="107" customWidth="1"/>
    <col min="259" max="259" width="17.5546875" style="107" customWidth="1"/>
    <col min="260" max="260" width="11.88671875" style="107" customWidth="1"/>
    <col min="261" max="261" width="17.88671875" style="107" customWidth="1"/>
    <col min="262" max="262" width="2.88671875" style="107" customWidth="1"/>
    <col min="263" max="263" width="6.44140625" style="107" customWidth="1"/>
    <col min="264" max="264" width="1.88671875" style="107" customWidth="1"/>
    <col min="265" max="265" width="8.109375" style="107" customWidth="1"/>
    <col min="266" max="266" width="2.33203125" style="107" customWidth="1"/>
    <col min="267" max="267" width="3.88671875" style="107" customWidth="1"/>
    <col min="268" max="268" width="13.5546875" style="107" customWidth="1"/>
    <col min="269" max="269" width="15.6640625" style="107" customWidth="1"/>
    <col min="270" max="512" width="8.88671875" style="107"/>
    <col min="513" max="514" width="3.44140625" style="107" customWidth="1"/>
    <col min="515" max="515" width="17.5546875" style="107" customWidth="1"/>
    <col min="516" max="516" width="11.88671875" style="107" customWidth="1"/>
    <col min="517" max="517" width="17.88671875" style="107" customWidth="1"/>
    <col min="518" max="518" width="2.88671875" style="107" customWidth="1"/>
    <col min="519" max="519" width="6.44140625" style="107" customWidth="1"/>
    <col min="520" max="520" width="1.88671875" style="107" customWidth="1"/>
    <col min="521" max="521" width="8.109375" style="107" customWidth="1"/>
    <col min="522" max="522" width="2.33203125" style="107" customWidth="1"/>
    <col min="523" max="523" width="3.88671875" style="107" customWidth="1"/>
    <col min="524" max="524" width="13.5546875" style="107" customWidth="1"/>
    <col min="525" max="525" width="15.6640625" style="107" customWidth="1"/>
    <col min="526" max="768" width="8.88671875" style="107"/>
    <col min="769" max="770" width="3.44140625" style="107" customWidth="1"/>
    <col min="771" max="771" width="17.5546875" style="107" customWidth="1"/>
    <col min="772" max="772" width="11.88671875" style="107" customWidth="1"/>
    <col min="773" max="773" width="17.88671875" style="107" customWidth="1"/>
    <col min="774" max="774" width="2.88671875" style="107" customWidth="1"/>
    <col min="775" max="775" width="6.44140625" style="107" customWidth="1"/>
    <col min="776" max="776" width="1.88671875" style="107" customWidth="1"/>
    <col min="777" max="777" width="8.109375" style="107" customWidth="1"/>
    <col min="778" max="778" width="2.33203125" style="107" customWidth="1"/>
    <col min="779" max="779" width="3.88671875" style="107" customWidth="1"/>
    <col min="780" max="780" width="13.5546875" style="107" customWidth="1"/>
    <col min="781" max="781" width="15.6640625" style="107" customWidth="1"/>
    <col min="782" max="1024" width="8.88671875" style="107"/>
    <col min="1025" max="1026" width="3.44140625" style="107" customWidth="1"/>
    <col min="1027" max="1027" width="17.5546875" style="107" customWidth="1"/>
    <col min="1028" max="1028" width="11.88671875" style="107" customWidth="1"/>
    <col min="1029" max="1029" width="17.88671875" style="107" customWidth="1"/>
    <col min="1030" max="1030" width="2.88671875" style="107" customWidth="1"/>
    <col min="1031" max="1031" width="6.44140625" style="107" customWidth="1"/>
    <col min="1032" max="1032" width="1.88671875" style="107" customWidth="1"/>
    <col min="1033" max="1033" width="8.109375" style="107" customWidth="1"/>
    <col min="1034" max="1034" width="2.33203125" style="107" customWidth="1"/>
    <col min="1035" max="1035" width="3.88671875" style="107" customWidth="1"/>
    <col min="1036" max="1036" width="13.5546875" style="107" customWidth="1"/>
    <col min="1037" max="1037" width="15.6640625" style="107" customWidth="1"/>
    <col min="1038" max="1280" width="8.88671875" style="107"/>
    <col min="1281" max="1282" width="3.44140625" style="107" customWidth="1"/>
    <col min="1283" max="1283" width="17.5546875" style="107" customWidth="1"/>
    <col min="1284" max="1284" width="11.88671875" style="107" customWidth="1"/>
    <col min="1285" max="1285" width="17.88671875" style="107" customWidth="1"/>
    <col min="1286" max="1286" width="2.88671875" style="107" customWidth="1"/>
    <col min="1287" max="1287" width="6.44140625" style="107" customWidth="1"/>
    <col min="1288" max="1288" width="1.88671875" style="107" customWidth="1"/>
    <col min="1289" max="1289" width="8.109375" style="107" customWidth="1"/>
    <col min="1290" max="1290" width="2.33203125" style="107" customWidth="1"/>
    <col min="1291" max="1291" width="3.88671875" style="107" customWidth="1"/>
    <col min="1292" max="1292" width="13.5546875" style="107" customWidth="1"/>
    <col min="1293" max="1293" width="15.6640625" style="107" customWidth="1"/>
    <col min="1294" max="1536" width="8.88671875" style="107"/>
    <col min="1537" max="1538" width="3.44140625" style="107" customWidth="1"/>
    <col min="1539" max="1539" width="17.5546875" style="107" customWidth="1"/>
    <col min="1540" max="1540" width="11.88671875" style="107" customWidth="1"/>
    <col min="1541" max="1541" width="17.88671875" style="107" customWidth="1"/>
    <col min="1542" max="1542" width="2.88671875" style="107" customWidth="1"/>
    <col min="1543" max="1543" width="6.44140625" style="107" customWidth="1"/>
    <col min="1544" max="1544" width="1.88671875" style="107" customWidth="1"/>
    <col min="1545" max="1545" width="8.109375" style="107" customWidth="1"/>
    <col min="1546" max="1546" width="2.33203125" style="107" customWidth="1"/>
    <col min="1547" max="1547" width="3.88671875" style="107" customWidth="1"/>
    <col min="1548" max="1548" width="13.5546875" style="107" customWidth="1"/>
    <col min="1549" max="1549" width="15.6640625" style="107" customWidth="1"/>
    <col min="1550" max="1792" width="8.88671875" style="107"/>
    <col min="1793" max="1794" width="3.44140625" style="107" customWidth="1"/>
    <col min="1795" max="1795" width="17.5546875" style="107" customWidth="1"/>
    <col min="1796" max="1796" width="11.88671875" style="107" customWidth="1"/>
    <col min="1797" max="1797" width="17.88671875" style="107" customWidth="1"/>
    <col min="1798" max="1798" width="2.88671875" style="107" customWidth="1"/>
    <col min="1799" max="1799" width="6.44140625" style="107" customWidth="1"/>
    <col min="1800" max="1800" width="1.88671875" style="107" customWidth="1"/>
    <col min="1801" max="1801" width="8.109375" style="107" customWidth="1"/>
    <col min="1802" max="1802" width="2.33203125" style="107" customWidth="1"/>
    <col min="1803" max="1803" width="3.88671875" style="107" customWidth="1"/>
    <col min="1804" max="1804" width="13.5546875" style="107" customWidth="1"/>
    <col min="1805" max="1805" width="15.6640625" style="107" customWidth="1"/>
    <col min="1806" max="2048" width="8.88671875" style="107"/>
    <col min="2049" max="2050" width="3.44140625" style="107" customWidth="1"/>
    <col min="2051" max="2051" width="17.5546875" style="107" customWidth="1"/>
    <col min="2052" max="2052" width="11.88671875" style="107" customWidth="1"/>
    <col min="2053" max="2053" width="17.88671875" style="107" customWidth="1"/>
    <col min="2054" max="2054" width="2.88671875" style="107" customWidth="1"/>
    <col min="2055" max="2055" width="6.44140625" style="107" customWidth="1"/>
    <col min="2056" max="2056" width="1.88671875" style="107" customWidth="1"/>
    <col min="2057" max="2057" width="8.109375" style="107" customWidth="1"/>
    <col min="2058" max="2058" width="2.33203125" style="107" customWidth="1"/>
    <col min="2059" max="2059" width="3.88671875" style="107" customWidth="1"/>
    <col min="2060" max="2060" width="13.5546875" style="107" customWidth="1"/>
    <col min="2061" max="2061" width="15.6640625" style="107" customWidth="1"/>
    <col min="2062" max="2304" width="8.88671875" style="107"/>
    <col min="2305" max="2306" width="3.44140625" style="107" customWidth="1"/>
    <col min="2307" max="2307" width="17.5546875" style="107" customWidth="1"/>
    <col min="2308" max="2308" width="11.88671875" style="107" customWidth="1"/>
    <col min="2309" max="2309" width="17.88671875" style="107" customWidth="1"/>
    <col min="2310" max="2310" width="2.88671875" style="107" customWidth="1"/>
    <col min="2311" max="2311" width="6.44140625" style="107" customWidth="1"/>
    <col min="2312" max="2312" width="1.88671875" style="107" customWidth="1"/>
    <col min="2313" max="2313" width="8.109375" style="107" customWidth="1"/>
    <col min="2314" max="2314" width="2.33203125" style="107" customWidth="1"/>
    <col min="2315" max="2315" width="3.88671875" style="107" customWidth="1"/>
    <col min="2316" max="2316" width="13.5546875" style="107" customWidth="1"/>
    <col min="2317" max="2317" width="15.6640625" style="107" customWidth="1"/>
    <col min="2318" max="2560" width="8.88671875" style="107"/>
    <col min="2561" max="2562" width="3.44140625" style="107" customWidth="1"/>
    <col min="2563" max="2563" width="17.5546875" style="107" customWidth="1"/>
    <col min="2564" max="2564" width="11.88671875" style="107" customWidth="1"/>
    <col min="2565" max="2565" width="17.88671875" style="107" customWidth="1"/>
    <col min="2566" max="2566" width="2.88671875" style="107" customWidth="1"/>
    <col min="2567" max="2567" width="6.44140625" style="107" customWidth="1"/>
    <col min="2568" max="2568" width="1.88671875" style="107" customWidth="1"/>
    <col min="2569" max="2569" width="8.109375" style="107" customWidth="1"/>
    <col min="2570" max="2570" width="2.33203125" style="107" customWidth="1"/>
    <col min="2571" max="2571" width="3.88671875" style="107" customWidth="1"/>
    <col min="2572" max="2572" width="13.5546875" style="107" customWidth="1"/>
    <col min="2573" max="2573" width="15.6640625" style="107" customWidth="1"/>
    <col min="2574" max="2816" width="8.88671875" style="107"/>
    <col min="2817" max="2818" width="3.44140625" style="107" customWidth="1"/>
    <col min="2819" max="2819" width="17.5546875" style="107" customWidth="1"/>
    <col min="2820" max="2820" width="11.88671875" style="107" customWidth="1"/>
    <col min="2821" max="2821" width="17.88671875" style="107" customWidth="1"/>
    <col min="2822" max="2822" width="2.88671875" style="107" customWidth="1"/>
    <col min="2823" max="2823" width="6.44140625" style="107" customWidth="1"/>
    <col min="2824" max="2824" width="1.88671875" style="107" customWidth="1"/>
    <col min="2825" max="2825" width="8.109375" style="107" customWidth="1"/>
    <col min="2826" max="2826" width="2.33203125" style="107" customWidth="1"/>
    <col min="2827" max="2827" width="3.88671875" style="107" customWidth="1"/>
    <col min="2828" max="2828" width="13.5546875" style="107" customWidth="1"/>
    <col min="2829" max="2829" width="15.6640625" style="107" customWidth="1"/>
    <col min="2830" max="3072" width="8.88671875" style="107"/>
    <col min="3073" max="3074" width="3.44140625" style="107" customWidth="1"/>
    <col min="3075" max="3075" width="17.5546875" style="107" customWidth="1"/>
    <col min="3076" max="3076" width="11.88671875" style="107" customWidth="1"/>
    <col min="3077" max="3077" width="17.88671875" style="107" customWidth="1"/>
    <col min="3078" max="3078" width="2.88671875" style="107" customWidth="1"/>
    <col min="3079" max="3079" width="6.44140625" style="107" customWidth="1"/>
    <col min="3080" max="3080" width="1.88671875" style="107" customWidth="1"/>
    <col min="3081" max="3081" width="8.109375" style="107" customWidth="1"/>
    <col min="3082" max="3082" width="2.33203125" style="107" customWidth="1"/>
    <col min="3083" max="3083" width="3.88671875" style="107" customWidth="1"/>
    <col min="3084" max="3084" width="13.5546875" style="107" customWidth="1"/>
    <col min="3085" max="3085" width="15.6640625" style="107" customWidth="1"/>
    <col min="3086" max="3328" width="8.88671875" style="107"/>
    <col min="3329" max="3330" width="3.44140625" style="107" customWidth="1"/>
    <col min="3331" max="3331" width="17.5546875" style="107" customWidth="1"/>
    <col min="3332" max="3332" width="11.88671875" style="107" customWidth="1"/>
    <col min="3333" max="3333" width="17.88671875" style="107" customWidth="1"/>
    <col min="3334" max="3334" width="2.88671875" style="107" customWidth="1"/>
    <col min="3335" max="3335" width="6.44140625" style="107" customWidth="1"/>
    <col min="3336" max="3336" width="1.88671875" style="107" customWidth="1"/>
    <col min="3337" max="3337" width="8.109375" style="107" customWidth="1"/>
    <col min="3338" max="3338" width="2.33203125" style="107" customWidth="1"/>
    <col min="3339" max="3339" width="3.88671875" style="107" customWidth="1"/>
    <col min="3340" max="3340" width="13.5546875" style="107" customWidth="1"/>
    <col min="3341" max="3341" width="15.6640625" style="107" customWidth="1"/>
    <col min="3342" max="3584" width="8.88671875" style="107"/>
    <col min="3585" max="3586" width="3.44140625" style="107" customWidth="1"/>
    <col min="3587" max="3587" width="17.5546875" style="107" customWidth="1"/>
    <col min="3588" max="3588" width="11.88671875" style="107" customWidth="1"/>
    <col min="3589" max="3589" width="17.88671875" style="107" customWidth="1"/>
    <col min="3590" max="3590" width="2.88671875" style="107" customWidth="1"/>
    <col min="3591" max="3591" width="6.44140625" style="107" customWidth="1"/>
    <col min="3592" max="3592" width="1.88671875" style="107" customWidth="1"/>
    <col min="3593" max="3593" width="8.109375" style="107" customWidth="1"/>
    <col min="3594" max="3594" width="2.33203125" style="107" customWidth="1"/>
    <col min="3595" max="3595" width="3.88671875" style="107" customWidth="1"/>
    <col min="3596" max="3596" width="13.5546875" style="107" customWidth="1"/>
    <col min="3597" max="3597" width="15.6640625" style="107" customWidth="1"/>
    <col min="3598" max="3840" width="8.88671875" style="107"/>
    <col min="3841" max="3842" width="3.44140625" style="107" customWidth="1"/>
    <col min="3843" max="3843" width="17.5546875" style="107" customWidth="1"/>
    <col min="3844" max="3844" width="11.88671875" style="107" customWidth="1"/>
    <col min="3845" max="3845" width="17.88671875" style="107" customWidth="1"/>
    <col min="3846" max="3846" width="2.88671875" style="107" customWidth="1"/>
    <col min="3847" max="3847" width="6.44140625" style="107" customWidth="1"/>
    <col min="3848" max="3848" width="1.88671875" style="107" customWidth="1"/>
    <col min="3849" max="3849" width="8.109375" style="107" customWidth="1"/>
    <col min="3850" max="3850" width="2.33203125" style="107" customWidth="1"/>
    <col min="3851" max="3851" width="3.88671875" style="107" customWidth="1"/>
    <col min="3852" max="3852" width="13.5546875" style="107" customWidth="1"/>
    <col min="3853" max="3853" width="15.6640625" style="107" customWidth="1"/>
    <col min="3854" max="4096" width="8.88671875" style="107"/>
    <col min="4097" max="4098" width="3.44140625" style="107" customWidth="1"/>
    <col min="4099" max="4099" width="17.5546875" style="107" customWidth="1"/>
    <col min="4100" max="4100" width="11.88671875" style="107" customWidth="1"/>
    <col min="4101" max="4101" width="17.88671875" style="107" customWidth="1"/>
    <col min="4102" max="4102" width="2.88671875" style="107" customWidth="1"/>
    <col min="4103" max="4103" width="6.44140625" style="107" customWidth="1"/>
    <col min="4104" max="4104" width="1.88671875" style="107" customWidth="1"/>
    <col min="4105" max="4105" width="8.109375" style="107" customWidth="1"/>
    <col min="4106" max="4106" width="2.33203125" style="107" customWidth="1"/>
    <col min="4107" max="4107" width="3.88671875" style="107" customWidth="1"/>
    <col min="4108" max="4108" width="13.5546875" style="107" customWidth="1"/>
    <col min="4109" max="4109" width="15.6640625" style="107" customWidth="1"/>
    <col min="4110" max="4352" width="8.88671875" style="107"/>
    <col min="4353" max="4354" width="3.44140625" style="107" customWidth="1"/>
    <col min="4355" max="4355" width="17.5546875" style="107" customWidth="1"/>
    <col min="4356" max="4356" width="11.88671875" style="107" customWidth="1"/>
    <col min="4357" max="4357" width="17.88671875" style="107" customWidth="1"/>
    <col min="4358" max="4358" width="2.88671875" style="107" customWidth="1"/>
    <col min="4359" max="4359" width="6.44140625" style="107" customWidth="1"/>
    <col min="4360" max="4360" width="1.88671875" style="107" customWidth="1"/>
    <col min="4361" max="4361" width="8.109375" style="107" customWidth="1"/>
    <col min="4362" max="4362" width="2.33203125" style="107" customWidth="1"/>
    <col min="4363" max="4363" width="3.88671875" style="107" customWidth="1"/>
    <col min="4364" max="4364" width="13.5546875" style="107" customWidth="1"/>
    <col min="4365" max="4365" width="15.6640625" style="107" customWidth="1"/>
    <col min="4366" max="4608" width="8.88671875" style="107"/>
    <col min="4609" max="4610" width="3.44140625" style="107" customWidth="1"/>
    <col min="4611" max="4611" width="17.5546875" style="107" customWidth="1"/>
    <col min="4612" max="4612" width="11.88671875" style="107" customWidth="1"/>
    <col min="4613" max="4613" width="17.88671875" style="107" customWidth="1"/>
    <col min="4614" max="4614" width="2.88671875" style="107" customWidth="1"/>
    <col min="4615" max="4615" width="6.44140625" style="107" customWidth="1"/>
    <col min="4616" max="4616" width="1.88671875" style="107" customWidth="1"/>
    <col min="4617" max="4617" width="8.109375" style="107" customWidth="1"/>
    <col min="4618" max="4618" width="2.33203125" style="107" customWidth="1"/>
    <col min="4619" max="4619" width="3.88671875" style="107" customWidth="1"/>
    <col min="4620" max="4620" width="13.5546875" style="107" customWidth="1"/>
    <col min="4621" max="4621" width="15.6640625" style="107" customWidth="1"/>
    <col min="4622" max="4864" width="8.88671875" style="107"/>
    <col min="4865" max="4866" width="3.44140625" style="107" customWidth="1"/>
    <col min="4867" max="4867" width="17.5546875" style="107" customWidth="1"/>
    <col min="4868" max="4868" width="11.88671875" style="107" customWidth="1"/>
    <col min="4869" max="4869" width="17.88671875" style="107" customWidth="1"/>
    <col min="4870" max="4870" width="2.88671875" style="107" customWidth="1"/>
    <col min="4871" max="4871" width="6.44140625" style="107" customWidth="1"/>
    <col min="4872" max="4872" width="1.88671875" style="107" customWidth="1"/>
    <col min="4873" max="4873" width="8.109375" style="107" customWidth="1"/>
    <col min="4874" max="4874" width="2.33203125" style="107" customWidth="1"/>
    <col min="4875" max="4875" width="3.88671875" style="107" customWidth="1"/>
    <col min="4876" max="4876" width="13.5546875" style="107" customWidth="1"/>
    <col min="4877" max="4877" width="15.6640625" style="107" customWidth="1"/>
    <col min="4878" max="5120" width="8.88671875" style="107"/>
    <col min="5121" max="5122" width="3.44140625" style="107" customWidth="1"/>
    <col min="5123" max="5123" width="17.5546875" style="107" customWidth="1"/>
    <col min="5124" max="5124" width="11.88671875" style="107" customWidth="1"/>
    <col min="5125" max="5125" width="17.88671875" style="107" customWidth="1"/>
    <col min="5126" max="5126" width="2.88671875" style="107" customWidth="1"/>
    <col min="5127" max="5127" width="6.44140625" style="107" customWidth="1"/>
    <col min="5128" max="5128" width="1.88671875" style="107" customWidth="1"/>
    <col min="5129" max="5129" width="8.109375" style="107" customWidth="1"/>
    <col min="5130" max="5130" width="2.33203125" style="107" customWidth="1"/>
    <col min="5131" max="5131" width="3.88671875" style="107" customWidth="1"/>
    <col min="5132" max="5132" width="13.5546875" style="107" customWidth="1"/>
    <col min="5133" max="5133" width="15.6640625" style="107" customWidth="1"/>
    <col min="5134" max="5376" width="8.88671875" style="107"/>
    <col min="5377" max="5378" width="3.44140625" style="107" customWidth="1"/>
    <col min="5379" max="5379" width="17.5546875" style="107" customWidth="1"/>
    <col min="5380" max="5380" width="11.88671875" style="107" customWidth="1"/>
    <col min="5381" max="5381" width="17.88671875" style="107" customWidth="1"/>
    <col min="5382" max="5382" width="2.88671875" style="107" customWidth="1"/>
    <col min="5383" max="5383" width="6.44140625" style="107" customWidth="1"/>
    <col min="5384" max="5384" width="1.88671875" style="107" customWidth="1"/>
    <col min="5385" max="5385" width="8.109375" style="107" customWidth="1"/>
    <col min="5386" max="5386" width="2.33203125" style="107" customWidth="1"/>
    <col min="5387" max="5387" width="3.88671875" style="107" customWidth="1"/>
    <col min="5388" max="5388" width="13.5546875" style="107" customWidth="1"/>
    <col min="5389" max="5389" width="15.6640625" style="107" customWidth="1"/>
    <col min="5390" max="5632" width="8.88671875" style="107"/>
    <col min="5633" max="5634" width="3.44140625" style="107" customWidth="1"/>
    <col min="5635" max="5635" width="17.5546875" style="107" customWidth="1"/>
    <col min="5636" max="5636" width="11.88671875" style="107" customWidth="1"/>
    <col min="5637" max="5637" width="17.88671875" style="107" customWidth="1"/>
    <col min="5638" max="5638" width="2.88671875" style="107" customWidth="1"/>
    <col min="5639" max="5639" width="6.44140625" style="107" customWidth="1"/>
    <col min="5640" max="5640" width="1.88671875" style="107" customWidth="1"/>
    <col min="5641" max="5641" width="8.109375" style="107" customWidth="1"/>
    <col min="5642" max="5642" width="2.33203125" style="107" customWidth="1"/>
    <col min="5643" max="5643" width="3.88671875" style="107" customWidth="1"/>
    <col min="5644" max="5644" width="13.5546875" style="107" customWidth="1"/>
    <col min="5645" max="5645" width="15.6640625" style="107" customWidth="1"/>
    <col min="5646" max="5888" width="8.88671875" style="107"/>
    <col min="5889" max="5890" width="3.44140625" style="107" customWidth="1"/>
    <col min="5891" max="5891" width="17.5546875" style="107" customWidth="1"/>
    <col min="5892" max="5892" width="11.88671875" style="107" customWidth="1"/>
    <col min="5893" max="5893" width="17.88671875" style="107" customWidth="1"/>
    <col min="5894" max="5894" width="2.88671875" style="107" customWidth="1"/>
    <col min="5895" max="5895" width="6.44140625" style="107" customWidth="1"/>
    <col min="5896" max="5896" width="1.88671875" style="107" customWidth="1"/>
    <col min="5897" max="5897" width="8.109375" style="107" customWidth="1"/>
    <col min="5898" max="5898" width="2.33203125" style="107" customWidth="1"/>
    <col min="5899" max="5899" width="3.88671875" style="107" customWidth="1"/>
    <col min="5900" max="5900" width="13.5546875" style="107" customWidth="1"/>
    <col min="5901" max="5901" width="15.6640625" style="107" customWidth="1"/>
    <col min="5902" max="6144" width="8.88671875" style="107"/>
    <col min="6145" max="6146" width="3.44140625" style="107" customWidth="1"/>
    <col min="6147" max="6147" width="17.5546875" style="107" customWidth="1"/>
    <col min="6148" max="6148" width="11.88671875" style="107" customWidth="1"/>
    <col min="6149" max="6149" width="17.88671875" style="107" customWidth="1"/>
    <col min="6150" max="6150" width="2.88671875" style="107" customWidth="1"/>
    <col min="6151" max="6151" width="6.44140625" style="107" customWidth="1"/>
    <col min="6152" max="6152" width="1.88671875" style="107" customWidth="1"/>
    <col min="6153" max="6153" width="8.109375" style="107" customWidth="1"/>
    <col min="6154" max="6154" width="2.33203125" style="107" customWidth="1"/>
    <col min="6155" max="6155" width="3.88671875" style="107" customWidth="1"/>
    <col min="6156" max="6156" width="13.5546875" style="107" customWidth="1"/>
    <col min="6157" max="6157" width="15.6640625" style="107" customWidth="1"/>
    <col min="6158" max="6400" width="8.88671875" style="107"/>
    <col min="6401" max="6402" width="3.44140625" style="107" customWidth="1"/>
    <col min="6403" max="6403" width="17.5546875" style="107" customWidth="1"/>
    <col min="6404" max="6404" width="11.88671875" style="107" customWidth="1"/>
    <col min="6405" max="6405" width="17.88671875" style="107" customWidth="1"/>
    <col min="6406" max="6406" width="2.88671875" style="107" customWidth="1"/>
    <col min="6407" max="6407" width="6.44140625" style="107" customWidth="1"/>
    <col min="6408" max="6408" width="1.88671875" style="107" customWidth="1"/>
    <col min="6409" max="6409" width="8.109375" style="107" customWidth="1"/>
    <col min="6410" max="6410" width="2.33203125" style="107" customWidth="1"/>
    <col min="6411" max="6411" width="3.88671875" style="107" customWidth="1"/>
    <col min="6412" max="6412" width="13.5546875" style="107" customWidth="1"/>
    <col min="6413" max="6413" width="15.6640625" style="107" customWidth="1"/>
    <col min="6414" max="6656" width="8.88671875" style="107"/>
    <col min="6657" max="6658" width="3.44140625" style="107" customWidth="1"/>
    <col min="6659" max="6659" width="17.5546875" style="107" customWidth="1"/>
    <col min="6660" max="6660" width="11.88671875" style="107" customWidth="1"/>
    <col min="6661" max="6661" width="17.88671875" style="107" customWidth="1"/>
    <col min="6662" max="6662" width="2.88671875" style="107" customWidth="1"/>
    <col min="6663" max="6663" width="6.44140625" style="107" customWidth="1"/>
    <col min="6664" max="6664" width="1.88671875" style="107" customWidth="1"/>
    <col min="6665" max="6665" width="8.109375" style="107" customWidth="1"/>
    <col min="6666" max="6666" width="2.33203125" style="107" customWidth="1"/>
    <col min="6667" max="6667" width="3.88671875" style="107" customWidth="1"/>
    <col min="6668" max="6668" width="13.5546875" style="107" customWidth="1"/>
    <col min="6669" max="6669" width="15.6640625" style="107" customWidth="1"/>
    <col min="6670" max="6912" width="8.88671875" style="107"/>
    <col min="6913" max="6914" width="3.44140625" style="107" customWidth="1"/>
    <col min="6915" max="6915" width="17.5546875" style="107" customWidth="1"/>
    <col min="6916" max="6916" width="11.88671875" style="107" customWidth="1"/>
    <col min="6917" max="6917" width="17.88671875" style="107" customWidth="1"/>
    <col min="6918" max="6918" width="2.88671875" style="107" customWidth="1"/>
    <col min="6919" max="6919" width="6.44140625" style="107" customWidth="1"/>
    <col min="6920" max="6920" width="1.88671875" style="107" customWidth="1"/>
    <col min="6921" max="6921" width="8.109375" style="107" customWidth="1"/>
    <col min="6922" max="6922" width="2.33203125" style="107" customWidth="1"/>
    <col min="6923" max="6923" width="3.88671875" style="107" customWidth="1"/>
    <col min="6924" max="6924" width="13.5546875" style="107" customWidth="1"/>
    <col min="6925" max="6925" width="15.6640625" style="107" customWidth="1"/>
    <col min="6926" max="7168" width="8.88671875" style="107"/>
    <col min="7169" max="7170" width="3.44140625" style="107" customWidth="1"/>
    <col min="7171" max="7171" width="17.5546875" style="107" customWidth="1"/>
    <col min="7172" max="7172" width="11.88671875" style="107" customWidth="1"/>
    <col min="7173" max="7173" width="17.88671875" style="107" customWidth="1"/>
    <col min="7174" max="7174" width="2.88671875" style="107" customWidth="1"/>
    <col min="7175" max="7175" width="6.44140625" style="107" customWidth="1"/>
    <col min="7176" max="7176" width="1.88671875" style="107" customWidth="1"/>
    <col min="7177" max="7177" width="8.109375" style="107" customWidth="1"/>
    <col min="7178" max="7178" width="2.33203125" style="107" customWidth="1"/>
    <col min="7179" max="7179" width="3.88671875" style="107" customWidth="1"/>
    <col min="7180" max="7180" width="13.5546875" style="107" customWidth="1"/>
    <col min="7181" max="7181" width="15.6640625" style="107" customWidth="1"/>
    <col min="7182" max="7424" width="8.88671875" style="107"/>
    <col min="7425" max="7426" width="3.44140625" style="107" customWidth="1"/>
    <col min="7427" max="7427" width="17.5546875" style="107" customWidth="1"/>
    <col min="7428" max="7428" width="11.88671875" style="107" customWidth="1"/>
    <col min="7429" max="7429" width="17.88671875" style="107" customWidth="1"/>
    <col min="7430" max="7430" width="2.88671875" style="107" customWidth="1"/>
    <col min="7431" max="7431" width="6.44140625" style="107" customWidth="1"/>
    <col min="7432" max="7432" width="1.88671875" style="107" customWidth="1"/>
    <col min="7433" max="7433" width="8.109375" style="107" customWidth="1"/>
    <col min="7434" max="7434" width="2.33203125" style="107" customWidth="1"/>
    <col min="7435" max="7435" width="3.88671875" style="107" customWidth="1"/>
    <col min="7436" max="7436" width="13.5546875" style="107" customWidth="1"/>
    <col min="7437" max="7437" width="15.6640625" style="107" customWidth="1"/>
    <col min="7438" max="7680" width="8.88671875" style="107"/>
    <col min="7681" max="7682" width="3.44140625" style="107" customWidth="1"/>
    <col min="7683" max="7683" width="17.5546875" style="107" customWidth="1"/>
    <col min="7684" max="7684" width="11.88671875" style="107" customWidth="1"/>
    <col min="7685" max="7685" width="17.88671875" style="107" customWidth="1"/>
    <col min="7686" max="7686" width="2.88671875" style="107" customWidth="1"/>
    <col min="7687" max="7687" width="6.44140625" style="107" customWidth="1"/>
    <col min="7688" max="7688" width="1.88671875" style="107" customWidth="1"/>
    <col min="7689" max="7689" width="8.109375" style="107" customWidth="1"/>
    <col min="7690" max="7690" width="2.33203125" style="107" customWidth="1"/>
    <col min="7691" max="7691" width="3.88671875" style="107" customWidth="1"/>
    <col min="7692" max="7692" width="13.5546875" style="107" customWidth="1"/>
    <col min="7693" max="7693" width="15.6640625" style="107" customWidth="1"/>
    <col min="7694" max="7936" width="8.88671875" style="107"/>
    <col min="7937" max="7938" width="3.44140625" style="107" customWidth="1"/>
    <col min="7939" max="7939" width="17.5546875" style="107" customWidth="1"/>
    <col min="7940" max="7940" width="11.88671875" style="107" customWidth="1"/>
    <col min="7941" max="7941" width="17.88671875" style="107" customWidth="1"/>
    <col min="7942" max="7942" width="2.88671875" style="107" customWidth="1"/>
    <col min="7943" max="7943" width="6.44140625" style="107" customWidth="1"/>
    <col min="7944" max="7944" width="1.88671875" style="107" customWidth="1"/>
    <col min="7945" max="7945" width="8.109375" style="107" customWidth="1"/>
    <col min="7946" max="7946" width="2.33203125" style="107" customWidth="1"/>
    <col min="7947" max="7947" width="3.88671875" style="107" customWidth="1"/>
    <col min="7948" max="7948" width="13.5546875" style="107" customWidth="1"/>
    <col min="7949" max="7949" width="15.6640625" style="107" customWidth="1"/>
    <col min="7950" max="8192" width="8.88671875" style="107"/>
    <col min="8193" max="8194" width="3.44140625" style="107" customWidth="1"/>
    <col min="8195" max="8195" width="17.5546875" style="107" customWidth="1"/>
    <col min="8196" max="8196" width="11.88671875" style="107" customWidth="1"/>
    <col min="8197" max="8197" width="17.88671875" style="107" customWidth="1"/>
    <col min="8198" max="8198" width="2.88671875" style="107" customWidth="1"/>
    <col min="8199" max="8199" width="6.44140625" style="107" customWidth="1"/>
    <col min="8200" max="8200" width="1.88671875" style="107" customWidth="1"/>
    <col min="8201" max="8201" width="8.109375" style="107" customWidth="1"/>
    <col min="8202" max="8202" width="2.33203125" style="107" customWidth="1"/>
    <col min="8203" max="8203" width="3.88671875" style="107" customWidth="1"/>
    <col min="8204" max="8204" width="13.5546875" style="107" customWidth="1"/>
    <col min="8205" max="8205" width="15.6640625" style="107" customWidth="1"/>
    <col min="8206" max="8448" width="8.88671875" style="107"/>
    <col min="8449" max="8450" width="3.44140625" style="107" customWidth="1"/>
    <col min="8451" max="8451" width="17.5546875" style="107" customWidth="1"/>
    <col min="8452" max="8452" width="11.88671875" style="107" customWidth="1"/>
    <col min="8453" max="8453" width="17.88671875" style="107" customWidth="1"/>
    <col min="8454" max="8454" width="2.88671875" style="107" customWidth="1"/>
    <col min="8455" max="8455" width="6.44140625" style="107" customWidth="1"/>
    <col min="8456" max="8456" width="1.88671875" style="107" customWidth="1"/>
    <col min="8457" max="8457" width="8.109375" style="107" customWidth="1"/>
    <col min="8458" max="8458" width="2.33203125" style="107" customWidth="1"/>
    <col min="8459" max="8459" width="3.88671875" style="107" customWidth="1"/>
    <col min="8460" max="8460" width="13.5546875" style="107" customWidth="1"/>
    <col min="8461" max="8461" width="15.6640625" style="107" customWidth="1"/>
    <col min="8462" max="8704" width="8.88671875" style="107"/>
    <col min="8705" max="8706" width="3.44140625" style="107" customWidth="1"/>
    <col min="8707" max="8707" width="17.5546875" style="107" customWidth="1"/>
    <col min="8708" max="8708" width="11.88671875" style="107" customWidth="1"/>
    <col min="8709" max="8709" width="17.88671875" style="107" customWidth="1"/>
    <col min="8710" max="8710" width="2.88671875" style="107" customWidth="1"/>
    <col min="8711" max="8711" width="6.44140625" style="107" customWidth="1"/>
    <col min="8712" max="8712" width="1.88671875" style="107" customWidth="1"/>
    <col min="8713" max="8713" width="8.109375" style="107" customWidth="1"/>
    <col min="8714" max="8714" width="2.33203125" style="107" customWidth="1"/>
    <col min="8715" max="8715" width="3.88671875" style="107" customWidth="1"/>
    <col min="8716" max="8716" width="13.5546875" style="107" customWidth="1"/>
    <col min="8717" max="8717" width="15.6640625" style="107" customWidth="1"/>
    <col min="8718" max="8960" width="8.88671875" style="107"/>
    <col min="8961" max="8962" width="3.44140625" style="107" customWidth="1"/>
    <col min="8963" max="8963" width="17.5546875" style="107" customWidth="1"/>
    <col min="8964" max="8964" width="11.88671875" style="107" customWidth="1"/>
    <col min="8965" max="8965" width="17.88671875" style="107" customWidth="1"/>
    <col min="8966" max="8966" width="2.88671875" style="107" customWidth="1"/>
    <col min="8967" max="8967" width="6.44140625" style="107" customWidth="1"/>
    <col min="8968" max="8968" width="1.88671875" style="107" customWidth="1"/>
    <col min="8969" max="8969" width="8.109375" style="107" customWidth="1"/>
    <col min="8970" max="8970" width="2.33203125" style="107" customWidth="1"/>
    <col min="8971" max="8971" width="3.88671875" style="107" customWidth="1"/>
    <col min="8972" max="8972" width="13.5546875" style="107" customWidth="1"/>
    <col min="8973" max="8973" width="15.6640625" style="107" customWidth="1"/>
    <col min="8974" max="9216" width="8.88671875" style="107"/>
    <col min="9217" max="9218" width="3.44140625" style="107" customWidth="1"/>
    <col min="9219" max="9219" width="17.5546875" style="107" customWidth="1"/>
    <col min="9220" max="9220" width="11.88671875" style="107" customWidth="1"/>
    <col min="9221" max="9221" width="17.88671875" style="107" customWidth="1"/>
    <col min="9222" max="9222" width="2.88671875" style="107" customWidth="1"/>
    <col min="9223" max="9223" width="6.44140625" style="107" customWidth="1"/>
    <col min="9224" max="9224" width="1.88671875" style="107" customWidth="1"/>
    <col min="9225" max="9225" width="8.109375" style="107" customWidth="1"/>
    <col min="9226" max="9226" width="2.33203125" style="107" customWidth="1"/>
    <col min="9227" max="9227" width="3.88671875" style="107" customWidth="1"/>
    <col min="9228" max="9228" width="13.5546875" style="107" customWidth="1"/>
    <col min="9229" max="9229" width="15.6640625" style="107" customWidth="1"/>
    <col min="9230" max="9472" width="8.88671875" style="107"/>
    <col min="9473" max="9474" width="3.44140625" style="107" customWidth="1"/>
    <col min="9475" max="9475" width="17.5546875" style="107" customWidth="1"/>
    <col min="9476" max="9476" width="11.88671875" style="107" customWidth="1"/>
    <col min="9477" max="9477" width="17.88671875" style="107" customWidth="1"/>
    <col min="9478" max="9478" width="2.88671875" style="107" customWidth="1"/>
    <col min="9479" max="9479" width="6.44140625" style="107" customWidth="1"/>
    <col min="9480" max="9480" width="1.88671875" style="107" customWidth="1"/>
    <col min="9481" max="9481" width="8.109375" style="107" customWidth="1"/>
    <col min="9482" max="9482" width="2.33203125" style="107" customWidth="1"/>
    <col min="9483" max="9483" width="3.88671875" style="107" customWidth="1"/>
    <col min="9484" max="9484" width="13.5546875" style="107" customWidth="1"/>
    <col min="9485" max="9485" width="15.6640625" style="107" customWidth="1"/>
    <col min="9486" max="9728" width="8.88671875" style="107"/>
    <col min="9729" max="9730" width="3.44140625" style="107" customWidth="1"/>
    <col min="9731" max="9731" width="17.5546875" style="107" customWidth="1"/>
    <col min="9732" max="9732" width="11.88671875" style="107" customWidth="1"/>
    <col min="9733" max="9733" width="17.88671875" style="107" customWidth="1"/>
    <col min="9734" max="9734" width="2.88671875" style="107" customWidth="1"/>
    <col min="9735" max="9735" width="6.44140625" style="107" customWidth="1"/>
    <col min="9736" max="9736" width="1.88671875" style="107" customWidth="1"/>
    <col min="9737" max="9737" width="8.109375" style="107" customWidth="1"/>
    <col min="9738" max="9738" width="2.33203125" style="107" customWidth="1"/>
    <col min="9739" max="9739" width="3.88671875" style="107" customWidth="1"/>
    <col min="9740" max="9740" width="13.5546875" style="107" customWidth="1"/>
    <col min="9741" max="9741" width="15.6640625" style="107" customWidth="1"/>
    <col min="9742" max="9984" width="8.88671875" style="107"/>
    <col min="9985" max="9986" width="3.44140625" style="107" customWidth="1"/>
    <col min="9987" max="9987" width="17.5546875" style="107" customWidth="1"/>
    <col min="9988" max="9988" width="11.88671875" style="107" customWidth="1"/>
    <col min="9989" max="9989" width="17.88671875" style="107" customWidth="1"/>
    <col min="9990" max="9990" width="2.88671875" style="107" customWidth="1"/>
    <col min="9991" max="9991" width="6.44140625" style="107" customWidth="1"/>
    <col min="9992" max="9992" width="1.88671875" style="107" customWidth="1"/>
    <col min="9993" max="9993" width="8.109375" style="107" customWidth="1"/>
    <col min="9994" max="9994" width="2.33203125" style="107" customWidth="1"/>
    <col min="9995" max="9995" width="3.88671875" style="107" customWidth="1"/>
    <col min="9996" max="9996" width="13.5546875" style="107" customWidth="1"/>
    <col min="9997" max="9997" width="15.6640625" style="107" customWidth="1"/>
    <col min="9998" max="10240" width="8.88671875" style="107"/>
    <col min="10241" max="10242" width="3.44140625" style="107" customWidth="1"/>
    <col min="10243" max="10243" width="17.5546875" style="107" customWidth="1"/>
    <col min="10244" max="10244" width="11.88671875" style="107" customWidth="1"/>
    <col min="10245" max="10245" width="17.88671875" style="107" customWidth="1"/>
    <col min="10246" max="10246" width="2.88671875" style="107" customWidth="1"/>
    <col min="10247" max="10247" width="6.44140625" style="107" customWidth="1"/>
    <col min="10248" max="10248" width="1.88671875" style="107" customWidth="1"/>
    <col min="10249" max="10249" width="8.109375" style="107" customWidth="1"/>
    <col min="10250" max="10250" width="2.33203125" style="107" customWidth="1"/>
    <col min="10251" max="10251" width="3.88671875" style="107" customWidth="1"/>
    <col min="10252" max="10252" width="13.5546875" style="107" customWidth="1"/>
    <col min="10253" max="10253" width="15.6640625" style="107" customWidth="1"/>
    <col min="10254" max="10496" width="8.88671875" style="107"/>
    <col min="10497" max="10498" width="3.44140625" style="107" customWidth="1"/>
    <col min="10499" max="10499" width="17.5546875" style="107" customWidth="1"/>
    <col min="10500" max="10500" width="11.88671875" style="107" customWidth="1"/>
    <col min="10501" max="10501" width="17.88671875" style="107" customWidth="1"/>
    <col min="10502" max="10502" width="2.88671875" style="107" customWidth="1"/>
    <col min="10503" max="10503" width="6.44140625" style="107" customWidth="1"/>
    <col min="10504" max="10504" width="1.88671875" style="107" customWidth="1"/>
    <col min="10505" max="10505" width="8.109375" style="107" customWidth="1"/>
    <col min="10506" max="10506" width="2.33203125" style="107" customWidth="1"/>
    <col min="10507" max="10507" width="3.88671875" style="107" customWidth="1"/>
    <col min="10508" max="10508" width="13.5546875" style="107" customWidth="1"/>
    <col min="10509" max="10509" width="15.6640625" style="107" customWidth="1"/>
    <col min="10510" max="10752" width="8.88671875" style="107"/>
    <col min="10753" max="10754" width="3.44140625" style="107" customWidth="1"/>
    <col min="10755" max="10755" width="17.5546875" style="107" customWidth="1"/>
    <col min="10756" max="10756" width="11.88671875" style="107" customWidth="1"/>
    <col min="10757" max="10757" width="17.88671875" style="107" customWidth="1"/>
    <col min="10758" max="10758" width="2.88671875" style="107" customWidth="1"/>
    <col min="10759" max="10759" width="6.44140625" style="107" customWidth="1"/>
    <col min="10760" max="10760" width="1.88671875" style="107" customWidth="1"/>
    <col min="10761" max="10761" width="8.109375" style="107" customWidth="1"/>
    <col min="10762" max="10762" width="2.33203125" style="107" customWidth="1"/>
    <col min="10763" max="10763" width="3.88671875" style="107" customWidth="1"/>
    <col min="10764" max="10764" width="13.5546875" style="107" customWidth="1"/>
    <col min="10765" max="10765" width="15.6640625" style="107" customWidth="1"/>
    <col min="10766" max="11008" width="8.88671875" style="107"/>
    <col min="11009" max="11010" width="3.44140625" style="107" customWidth="1"/>
    <col min="11011" max="11011" width="17.5546875" style="107" customWidth="1"/>
    <col min="11012" max="11012" width="11.88671875" style="107" customWidth="1"/>
    <col min="11013" max="11013" width="17.88671875" style="107" customWidth="1"/>
    <col min="11014" max="11014" width="2.88671875" style="107" customWidth="1"/>
    <col min="11015" max="11015" width="6.44140625" style="107" customWidth="1"/>
    <col min="11016" max="11016" width="1.88671875" style="107" customWidth="1"/>
    <col min="11017" max="11017" width="8.109375" style="107" customWidth="1"/>
    <col min="11018" max="11018" width="2.33203125" style="107" customWidth="1"/>
    <col min="11019" max="11019" width="3.88671875" style="107" customWidth="1"/>
    <col min="11020" max="11020" width="13.5546875" style="107" customWidth="1"/>
    <col min="11021" max="11021" width="15.6640625" style="107" customWidth="1"/>
    <col min="11022" max="11264" width="8.88671875" style="107"/>
    <col min="11265" max="11266" width="3.44140625" style="107" customWidth="1"/>
    <col min="11267" max="11267" width="17.5546875" style="107" customWidth="1"/>
    <col min="11268" max="11268" width="11.88671875" style="107" customWidth="1"/>
    <col min="11269" max="11269" width="17.88671875" style="107" customWidth="1"/>
    <col min="11270" max="11270" width="2.88671875" style="107" customWidth="1"/>
    <col min="11271" max="11271" width="6.44140625" style="107" customWidth="1"/>
    <col min="11272" max="11272" width="1.88671875" style="107" customWidth="1"/>
    <col min="11273" max="11273" width="8.109375" style="107" customWidth="1"/>
    <col min="11274" max="11274" width="2.33203125" style="107" customWidth="1"/>
    <col min="11275" max="11275" width="3.88671875" style="107" customWidth="1"/>
    <col min="11276" max="11276" width="13.5546875" style="107" customWidth="1"/>
    <col min="11277" max="11277" width="15.6640625" style="107" customWidth="1"/>
    <col min="11278" max="11520" width="8.88671875" style="107"/>
    <col min="11521" max="11522" width="3.44140625" style="107" customWidth="1"/>
    <col min="11523" max="11523" width="17.5546875" style="107" customWidth="1"/>
    <col min="11524" max="11524" width="11.88671875" style="107" customWidth="1"/>
    <col min="11525" max="11525" width="17.88671875" style="107" customWidth="1"/>
    <col min="11526" max="11526" width="2.88671875" style="107" customWidth="1"/>
    <col min="11527" max="11527" width="6.44140625" style="107" customWidth="1"/>
    <col min="11528" max="11528" width="1.88671875" style="107" customWidth="1"/>
    <col min="11529" max="11529" width="8.109375" style="107" customWidth="1"/>
    <col min="11530" max="11530" width="2.33203125" style="107" customWidth="1"/>
    <col min="11531" max="11531" width="3.88671875" style="107" customWidth="1"/>
    <col min="11532" max="11532" width="13.5546875" style="107" customWidth="1"/>
    <col min="11533" max="11533" width="15.6640625" style="107" customWidth="1"/>
    <col min="11534" max="11776" width="8.88671875" style="107"/>
    <col min="11777" max="11778" width="3.44140625" style="107" customWidth="1"/>
    <col min="11779" max="11779" width="17.5546875" style="107" customWidth="1"/>
    <col min="11780" max="11780" width="11.88671875" style="107" customWidth="1"/>
    <col min="11781" max="11781" width="17.88671875" style="107" customWidth="1"/>
    <col min="11782" max="11782" width="2.88671875" style="107" customWidth="1"/>
    <col min="11783" max="11783" width="6.44140625" style="107" customWidth="1"/>
    <col min="11784" max="11784" width="1.88671875" style="107" customWidth="1"/>
    <col min="11785" max="11785" width="8.109375" style="107" customWidth="1"/>
    <col min="11786" max="11786" width="2.33203125" style="107" customWidth="1"/>
    <col min="11787" max="11787" width="3.88671875" style="107" customWidth="1"/>
    <col min="11788" max="11788" width="13.5546875" style="107" customWidth="1"/>
    <col min="11789" max="11789" width="15.6640625" style="107" customWidth="1"/>
    <col min="11790" max="12032" width="8.88671875" style="107"/>
    <col min="12033" max="12034" width="3.44140625" style="107" customWidth="1"/>
    <col min="12035" max="12035" width="17.5546875" style="107" customWidth="1"/>
    <col min="12036" max="12036" width="11.88671875" style="107" customWidth="1"/>
    <col min="12037" max="12037" width="17.88671875" style="107" customWidth="1"/>
    <col min="12038" max="12038" width="2.88671875" style="107" customWidth="1"/>
    <col min="12039" max="12039" width="6.44140625" style="107" customWidth="1"/>
    <col min="12040" max="12040" width="1.88671875" style="107" customWidth="1"/>
    <col min="12041" max="12041" width="8.109375" style="107" customWidth="1"/>
    <col min="12042" max="12042" width="2.33203125" style="107" customWidth="1"/>
    <col min="12043" max="12043" width="3.88671875" style="107" customWidth="1"/>
    <col min="12044" max="12044" width="13.5546875" style="107" customWidth="1"/>
    <col min="12045" max="12045" width="15.6640625" style="107" customWidth="1"/>
    <col min="12046" max="12288" width="8.88671875" style="107"/>
    <col min="12289" max="12290" width="3.44140625" style="107" customWidth="1"/>
    <col min="12291" max="12291" width="17.5546875" style="107" customWidth="1"/>
    <col min="12292" max="12292" width="11.88671875" style="107" customWidth="1"/>
    <col min="12293" max="12293" width="17.88671875" style="107" customWidth="1"/>
    <col min="12294" max="12294" width="2.88671875" style="107" customWidth="1"/>
    <col min="12295" max="12295" width="6.44140625" style="107" customWidth="1"/>
    <col min="12296" max="12296" width="1.88671875" style="107" customWidth="1"/>
    <col min="12297" max="12297" width="8.109375" style="107" customWidth="1"/>
    <col min="12298" max="12298" width="2.33203125" style="107" customWidth="1"/>
    <col min="12299" max="12299" width="3.88671875" style="107" customWidth="1"/>
    <col min="12300" max="12300" width="13.5546875" style="107" customWidth="1"/>
    <col min="12301" max="12301" width="15.6640625" style="107" customWidth="1"/>
    <col min="12302" max="12544" width="8.88671875" style="107"/>
    <col min="12545" max="12546" width="3.44140625" style="107" customWidth="1"/>
    <col min="12547" max="12547" width="17.5546875" style="107" customWidth="1"/>
    <col min="12548" max="12548" width="11.88671875" style="107" customWidth="1"/>
    <col min="12549" max="12549" width="17.88671875" style="107" customWidth="1"/>
    <col min="12550" max="12550" width="2.88671875" style="107" customWidth="1"/>
    <col min="12551" max="12551" width="6.44140625" style="107" customWidth="1"/>
    <col min="12552" max="12552" width="1.88671875" style="107" customWidth="1"/>
    <col min="12553" max="12553" width="8.109375" style="107" customWidth="1"/>
    <col min="12554" max="12554" width="2.33203125" style="107" customWidth="1"/>
    <col min="12555" max="12555" width="3.88671875" style="107" customWidth="1"/>
    <col min="12556" max="12556" width="13.5546875" style="107" customWidth="1"/>
    <col min="12557" max="12557" width="15.6640625" style="107" customWidth="1"/>
    <col min="12558" max="12800" width="8.88671875" style="107"/>
    <col min="12801" max="12802" width="3.44140625" style="107" customWidth="1"/>
    <col min="12803" max="12803" width="17.5546875" style="107" customWidth="1"/>
    <col min="12804" max="12804" width="11.88671875" style="107" customWidth="1"/>
    <col min="12805" max="12805" width="17.88671875" style="107" customWidth="1"/>
    <col min="12806" max="12806" width="2.88671875" style="107" customWidth="1"/>
    <col min="12807" max="12807" width="6.44140625" style="107" customWidth="1"/>
    <col min="12808" max="12808" width="1.88671875" style="107" customWidth="1"/>
    <col min="12809" max="12809" width="8.109375" style="107" customWidth="1"/>
    <col min="12810" max="12810" width="2.33203125" style="107" customWidth="1"/>
    <col min="12811" max="12811" width="3.88671875" style="107" customWidth="1"/>
    <col min="12812" max="12812" width="13.5546875" style="107" customWidth="1"/>
    <col min="12813" max="12813" width="15.6640625" style="107" customWidth="1"/>
    <col min="12814" max="13056" width="8.88671875" style="107"/>
    <col min="13057" max="13058" width="3.44140625" style="107" customWidth="1"/>
    <col min="13059" max="13059" width="17.5546875" style="107" customWidth="1"/>
    <col min="13060" max="13060" width="11.88671875" style="107" customWidth="1"/>
    <col min="13061" max="13061" width="17.88671875" style="107" customWidth="1"/>
    <col min="13062" max="13062" width="2.88671875" style="107" customWidth="1"/>
    <col min="13063" max="13063" width="6.44140625" style="107" customWidth="1"/>
    <col min="13064" max="13064" width="1.88671875" style="107" customWidth="1"/>
    <col min="13065" max="13065" width="8.109375" style="107" customWidth="1"/>
    <col min="13066" max="13066" width="2.33203125" style="107" customWidth="1"/>
    <col min="13067" max="13067" width="3.88671875" style="107" customWidth="1"/>
    <col min="13068" max="13068" width="13.5546875" style="107" customWidth="1"/>
    <col min="13069" max="13069" width="15.6640625" style="107" customWidth="1"/>
    <col min="13070" max="13312" width="8.88671875" style="107"/>
    <col min="13313" max="13314" width="3.44140625" style="107" customWidth="1"/>
    <col min="13315" max="13315" width="17.5546875" style="107" customWidth="1"/>
    <col min="13316" max="13316" width="11.88671875" style="107" customWidth="1"/>
    <col min="13317" max="13317" width="17.88671875" style="107" customWidth="1"/>
    <col min="13318" max="13318" width="2.88671875" style="107" customWidth="1"/>
    <col min="13319" max="13319" width="6.44140625" style="107" customWidth="1"/>
    <col min="13320" max="13320" width="1.88671875" style="107" customWidth="1"/>
    <col min="13321" max="13321" width="8.109375" style="107" customWidth="1"/>
    <col min="13322" max="13322" width="2.33203125" style="107" customWidth="1"/>
    <col min="13323" max="13323" width="3.88671875" style="107" customWidth="1"/>
    <col min="13324" max="13324" width="13.5546875" style="107" customWidth="1"/>
    <col min="13325" max="13325" width="15.6640625" style="107" customWidth="1"/>
    <col min="13326" max="13568" width="8.88671875" style="107"/>
    <col min="13569" max="13570" width="3.44140625" style="107" customWidth="1"/>
    <col min="13571" max="13571" width="17.5546875" style="107" customWidth="1"/>
    <col min="13572" max="13572" width="11.88671875" style="107" customWidth="1"/>
    <col min="13573" max="13573" width="17.88671875" style="107" customWidth="1"/>
    <col min="13574" max="13574" width="2.88671875" style="107" customWidth="1"/>
    <col min="13575" max="13575" width="6.44140625" style="107" customWidth="1"/>
    <col min="13576" max="13576" width="1.88671875" style="107" customWidth="1"/>
    <col min="13577" max="13577" width="8.109375" style="107" customWidth="1"/>
    <col min="13578" max="13578" width="2.33203125" style="107" customWidth="1"/>
    <col min="13579" max="13579" width="3.88671875" style="107" customWidth="1"/>
    <col min="13580" max="13580" width="13.5546875" style="107" customWidth="1"/>
    <col min="13581" max="13581" width="15.6640625" style="107" customWidth="1"/>
    <col min="13582" max="13824" width="8.88671875" style="107"/>
    <col min="13825" max="13826" width="3.44140625" style="107" customWidth="1"/>
    <col min="13827" max="13827" width="17.5546875" style="107" customWidth="1"/>
    <col min="13828" max="13828" width="11.88671875" style="107" customWidth="1"/>
    <col min="13829" max="13829" width="17.88671875" style="107" customWidth="1"/>
    <col min="13830" max="13830" width="2.88671875" style="107" customWidth="1"/>
    <col min="13831" max="13831" width="6.44140625" style="107" customWidth="1"/>
    <col min="13832" max="13832" width="1.88671875" style="107" customWidth="1"/>
    <col min="13833" max="13833" width="8.109375" style="107" customWidth="1"/>
    <col min="13834" max="13834" width="2.33203125" style="107" customWidth="1"/>
    <col min="13835" max="13835" width="3.88671875" style="107" customWidth="1"/>
    <col min="13836" max="13836" width="13.5546875" style="107" customWidth="1"/>
    <col min="13837" max="13837" width="15.6640625" style="107" customWidth="1"/>
    <col min="13838" max="14080" width="8.88671875" style="107"/>
    <col min="14081" max="14082" width="3.44140625" style="107" customWidth="1"/>
    <col min="14083" max="14083" width="17.5546875" style="107" customWidth="1"/>
    <col min="14084" max="14084" width="11.88671875" style="107" customWidth="1"/>
    <col min="14085" max="14085" width="17.88671875" style="107" customWidth="1"/>
    <col min="14086" max="14086" width="2.88671875" style="107" customWidth="1"/>
    <col min="14087" max="14087" width="6.44140625" style="107" customWidth="1"/>
    <col min="14088" max="14088" width="1.88671875" style="107" customWidth="1"/>
    <col min="14089" max="14089" width="8.109375" style="107" customWidth="1"/>
    <col min="14090" max="14090" width="2.33203125" style="107" customWidth="1"/>
    <col min="14091" max="14091" width="3.88671875" style="107" customWidth="1"/>
    <col min="14092" max="14092" width="13.5546875" style="107" customWidth="1"/>
    <col min="14093" max="14093" width="15.6640625" style="107" customWidth="1"/>
    <col min="14094" max="14336" width="8.88671875" style="107"/>
    <col min="14337" max="14338" width="3.44140625" style="107" customWidth="1"/>
    <col min="14339" max="14339" width="17.5546875" style="107" customWidth="1"/>
    <col min="14340" max="14340" width="11.88671875" style="107" customWidth="1"/>
    <col min="14341" max="14341" width="17.88671875" style="107" customWidth="1"/>
    <col min="14342" max="14342" width="2.88671875" style="107" customWidth="1"/>
    <col min="14343" max="14343" width="6.44140625" style="107" customWidth="1"/>
    <col min="14344" max="14344" width="1.88671875" style="107" customWidth="1"/>
    <col min="14345" max="14345" width="8.109375" style="107" customWidth="1"/>
    <col min="14346" max="14346" width="2.33203125" style="107" customWidth="1"/>
    <col min="14347" max="14347" width="3.88671875" style="107" customWidth="1"/>
    <col min="14348" max="14348" width="13.5546875" style="107" customWidth="1"/>
    <col min="14349" max="14349" width="15.6640625" style="107" customWidth="1"/>
    <col min="14350" max="14592" width="8.88671875" style="107"/>
    <col min="14593" max="14594" width="3.44140625" style="107" customWidth="1"/>
    <col min="14595" max="14595" width="17.5546875" style="107" customWidth="1"/>
    <col min="14596" max="14596" width="11.88671875" style="107" customWidth="1"/>
    <col min="14597" max="14597" width="17.88671875" style="107" customWidth="1"/>
    <col min="14598" max="14598" width="2.88671875" style="107" customWidth="1"/>
    <col min="14599" max="14599" width="6.44140625" style="107" customWidth="1"/>
    <col min="14600" max="14600" width="1.88671875" style="107" customWidth="1"/>
    <col min="14601" max="14601" width="8.109375" style="107" customWidth="1"/>
    <col min="14602" max="14602" width="2.33203125" style="107" customWidth="1"/>
    <col min="14603" max="14603" width="3.88671875" style="107" customWidth="1"/>
    <col min="14604" max="14604" width="13.5546875" style="107" customWidth="1"/>
    <col min="14605" max="14605" width="15.6640625" style="107" customWidth="1"/>
    <col min="14606" max="14848" width="8.88671875" style="107"/>
    <col min="14849" max="14850" width="3.44140625" style="107" customWidth="1"/>
    <col min="14851" max="14851" width="17.5546875" style="107" customWidth="1"/>
    <col min="14852" max="14852" width="11.88671875" style="107" customWidth="1"/>
    <col min="14853" max="14853" width="17.88671875" style="107" customWidth="1"/>
    <col min="14854" max="14854" width="2.88671875" style="107" customWidth="1"/>
    <col min="14855" max="14855" width="6.44140625" style="107" customWidth="1"/>
    <col min="14856" max="14856" width="1.88671875" style="107" customWidth="1"/>
    <col min="14857" max="14857" width="8.109375" style="107" customWidth="1"/>
    <col min="14858" max="14858" width="2.33203125" style="107" customWidth="1"/>
    <col min="14859" max="14859" width="3.88671875" style="107" customWidth="1"/>
    <col min="14860" max="14860" width="13.5546875" style="107" customWidth="1"/>
    <col min="14861" max="14861" width="15.6640625" style="107" customWidth="1"/>
    <col min="14862" max="15104" width="8.88671875" style="107"/>
    <col min="15105" max="15106" width="3.44140625" style="107" customWidth="1"/>
    <col min="15107" max="15107" width="17.5546875" style="107" customWidth="1"/>
    <col min="15108" max="15108" width="11.88671875" style="107" customWidth="1"/>
    <col min="15109" max="15109" width="17.88671875" style="107" customWidth="1"/>
    <col min="15110" max="15110" width="2.88671875" style="107" customWidth="1"/>
    <col min="15111" max="15111" width="6.44140625" style="107" customWidth="1"/>
    <col min="15112" max="15112" width="1.88671875" style="107" customWidth="1"/>
    <col min="15113" max="15113" width="8.109375" style="107" customWidth="1"/>
    <col min="15114" max="15114" width="2.33203125" style="107" customWidth="1"/>
    <col min="15115" max="15115" width="3.88671875" style="107" customWidth="1"/>
    <col min="15116" max="15116" width="13.5546875" style="107" customWidth="1"/>
    <col min="15117" max="15117" width="15.6640625" style="107" customWidth="1"/>
    <col min="15118" max="15360" width="8.88671875" style="107"/>
    <col min="15361" max="15362" width="3.44140625" style="107" customWidth="1"/>
    <col min="15363" max="15363" width="17.5546875" style="107" customWidth="1"/>
    <col min="15364" max="15364" width="11.88671875" style="107" customWidth="1"/>
    <col min="15365" max="15365" width="17.88671875" style="107" customWidth="1"/>
    <col min="15366" max="15366" width="2.88671875" style="107" customWidth="1"/>
    <col min="15367" max="15367" width="6.44140625" style="107" customWidth="1"/>
    <col min="15368" max="15368" width="1.88671875" style="107" customWidth="1"/>
    <col min="15369" max="15369" width="8.109375" style="107" customWidth="1"/>
    <col min="15370" max="15370" width="2.33203125" style="107" customWidth="1"/>
    <col min="15371" max="15371" width="3.88671875" style="107" customWidth="1"/>
    <col min="15372" max="15372" width="13.5546875" style="107" customWidth="1"/>
    <col min="15373" max="15373" width="15.6640625" style="107" customWidth="1"/>
    <col min="15374" max="15616" width="8.88671875" style="107"/>
    <col min="15617" max="15618" width="3.44140625" style="107" customWidth="1"/>
    <col min="15619" max="15619" width="17.5546875" style="107" customWidth="1"/>
    <col min="15620" max="15620" width="11.88671875" style="107" customWidth="1"/>
    <col min="15621" max="15621" width="17.88671875" style="107" customWidth="1"/>
    <col min="15622" max="15622" width="2.88671875" style="107" customWidth="1"/>
    <col min="15623" max="15623" width="6.44140625" style="107" customWidth="1"/>
    <col min="15624" max="15624" width="1.88671875" style="107" customWidth="1"/>
    <col min="15625" max="15625" width="8.109375" style="107" customWidth="1"/>
    <col min="15626" max="15626" width="2.33203125" style="107" customWidth="1"/>
    <col min="15627" max="15627" width="3.88671875" style="107" customWidth="1"/>
    <col min="15628" max="15628" width="13.5546875" style="107" customWidth="1"/>
    <col min="15629" max="15629" width="15.6640625" style="107" customWidth="1"/>
    <col min="15630" max="15872" width="8.88671875" style="107"/>
    <col min="15873" max="15874" width="3.44140625" style="107" customWidth="1"/>
    <col min="15875" max="15875" width="17.5546875" style="107" customWidth="1"/>
    <col min="15876" max="15876" width="11.88671875" style="107" customWidth="1"/>
    <col min="15877" max="15877" width="17.88671875" style="107" customWidth="1"/>
    <col min="15878" max="15878" width="2.88671875" style="107" customWidth="1"/>
    <col min="15879" max="15879" width="6.44140625" style="107" customWidth="1"/>
    <col min="15880" max="15880" width="1.88671875" style="107" customWidth="1"/>
    <col min="15881" max="15881" width="8.109375" style="107" customWidth="1"/>
    <col min="15882" max="15882" width="2.33203125" style="107" customWidth="1"/>
    <col min="15883" max="15883" width="3.88671875" style="107" customWidth="1"/>
    <col min="15884" max="15884" width="13.5546875" style="107" customWidth="1"/>
    <col min="15885" max="15885" width="15.6640625" style="107" customWidth="1"/>
    <col min="15886" max="16128" width="8.88671875" style="107"/>
    <col min="16129" max="16130" width="3.44140625" style="107" customWidth="1"/>
    <col min="16131" max="16131" width="17.5546875" style="107" customWidth="1"/>
    <col min="16132" max="16132" width="11.88671875" style="107" customWidth="1"/>
    <col min="16133" max="16133" width="17.88671875" style="107" customWidth="1"/>
    <col min="16134" max="16134" width="2.88671875" style="107" customWidth="1"/>
    <col min="16135" max="16135" width="6.44140625" style="107" customWidth="1"/>
    <col min="16136" max="16136" width="1.88671875" style="107" customWidth="1"/>
    <col min="16137" max="16137" width="8.109375" style="107" customWidth="1"/>
    <col min="16138" max="16138" width="2.33203125" style="107" customWidth="1"/>
    <col min="16139" max="16139" width="3.88671875" style="107" customWidth="1"/>
    <col min="16140" max="16140" width="13.5546875" style="107" customWidth="1"/>
    <col min="16141" max="16141" width="15.6640625" style="107" customWidth="1"/>
    <col min="16142" max="16384" width="8.88671875" style="107"/>
  </cols>
  <sheetData>
    <row r="1" spans="1:14" ht="20.25" customHeight="1" x14ac:dyDescent="0.15">
      <c r="A1" s="262" t="s">
        <v>1136</v>
      </c>
      <c r="B1" s="263"/>
      <c r="C1" s="263"/>
      <c r="D1" s="263"/>
      <c r="E1" s="263"/>
      <c r="F1" s="263"/>
      <c r="G1" s="263"/>
      <c r="H1" s="263"/>
      <c r="I1" s="263"/>
      <c r="J1" s="263"/>
      <c r="K1" s="263" t="s">
        <v>681</v>
      </c>
      <c r="L1" s="263"/>
      <c r="M1" s="263"/>
    </row>
    <row r="2" spans="1:14" ht="14.85" customHeight="1" x14ac:dyDescent="0.15">
      <c r="A2" s="255" t="s">
        <v>682</v>
      </c>
      <c r="B2" s="255"/>
      <c r="C2" s="255" t="s">
        <v>683</v>
      </c>
      <c r="D2" s="255"/>
      <c r="E2" s="255"/>
      <c r="F2" s="255"/>
      <c r="G2" s="255"/>
      <c r="H2" s="255"/>
      <c r="I2" s="255"/>
      <c r="J2" s="255"/>
      <c r="K2" s="255"/>
      <c r="L2" s="108" t="s">
        <v>684</v>
      </c>
      <c r="M2" s="109" t="s">
        <v>685</v>
      </c>
      <c r="N2" s="110"/>
    </row>
    <row r="3" spans="1:14" ht="14.85" customHeight="1" x14ac:dyDescent="0.15">
      <c r="A3" s="261" t="s">
        <v>686</v>
      </c>
      <c r="B3" s="261" t="s">
        <v>687</v>
      </c>
      <c r="C3" s="111" t="s">
        <v>688</v>
      </c>
      <c r="D3" s="255"/>
      <c r="E3" s="255"/>
      <c r="F3" s="255"/>
      <c r="G3" s="255"/>
      <c r="H3" s="255"/>
      <c r="I3" s="255"/>
      <c r="J3" s="255"/>
      <c r="K3" s="255"/>
      <c r="L3" s="112">
        <f>총괄표!I29</f>
        <v>27109991</v>
      </c>
      <c r="M3" s="111"/>
    </row>
    <row r="4" spans="1:14" ht="14.85" customHeight="1" x14ac:dyDescent="0.15">
      <c r="A4" s="261"/>
      <c r="B4" s="261"/>
      <c r="C4" s="111" t="s">
        <v>689</v>
      </c>
      <c r="D4" s="255"/>
      <c r="E4" s="255"/>
      <c r="F4" s="255"/>
      <c r="G4" s="255"/>
      <c r="H4" s="255"/>
      <c r="I4" s="255"/>
      <c r="J4" s="255"/>
      <c r="K4" s="255"/>
      <c r="L4" s="108"/>
      <c r="M4" s="111"/>
    </row>
    <row r="5" spans="1:14" ht="14.85" customHeight="1" x14ac:dyDescent="0.15">
      <c r="A5" s="261"/>
      <c r="B5" s="261"/>
      <c r="C5" s="111" t="s">
        <v>690</v>
      </c>
      <c r="D5" s="255"/>
      <c r="E5" s="255"/>
      <c r="F5" s="255"/>
      <c r="G5" s="255"/>
      <c r="H5" s="255"/>
      <c r="I5" s="255"/>
      <c r="J5" s="255"/>
      <c r="K5" s="255"/>
      <c r="L5" s="108"/>
      <c r="M5" s="111"/>
    </row>
    <row r="6" spans="1:14" ht="14.25" customHeight="1" x14ac:dyDescent="0.15">
      <c r="A6" s="261"/>
      <c r="B6" s="261"/>
      <c r="C6" s="111" t="s">
        <v>691</v>
      </c>
      <c r="D6" s="255"/>
      <c r="E6" s="255"/>
      <c r="F6" s="255"/>
      <c r="G6" s="255"/>
      <c r="H6" s="255"/>
      <c r="I6" s="255"/>
      <c r="J6" s="255"/>
      <c r="K6" s="255"/>
      <c r="L6" s="113">
        <f>SUM(L3,L4,L5)</f>
        <v>27109991</v>
      </c>
      <c r="M6" s="111"/>
    </row>
    <row r="7" spans="1:14" ht="14.85" customHeight="1" x14ac:dyDescent="0.15">
      <c r="A7" s="261"/>
      <c r="B7" s="261" t="s">
        <v>692</v>
      </c>
      <c r="C7" s="111" t="s">
        <v>693</v>
      </c>
      <c r="D7" s="255"/>
      <c r="E7" s="255"/>
      <c r="F7" s="255"/>
      <c r="G7" s="255"/>
      <c r="H7" s="255"/>
      <c r="I7" s="255"/>
      <c r="J7" s="255"/>
      <c r="K7" s="255"/>
      <c r="L7" s="112">
        <f>총괄표!L29</f>
        <v>30633718</v>
      </c>
      <c r="M7" s="111"/>
    </row>
    <row r="8" spans="1:14" ht="14.85" customHeight="1" x14ac:dyDescent="0.15">
      <c r="A8" s="261"/>
      <c r="B8" s="261"/>
      <c r="C8" s="111" t="s">
        <v>694</v>
      </c>
      <c r="D8" s="256" t="s">
        <v>695</v>
      </c>
      <c r="E8" s="258"/>
      <c r="F8" s="114" t="s">
        <v>696</v>
      </c>
      <c r="G8" s="115">
        <v>0.17499999999999999</v>
      </c>
      <c r="H8" s="252"/>
      <c r="I8" s="253"/>
      <c r="J8" s="253"/>
      <c r="K8" s="254"/>
      <c r="L8" s="116">
        <f>TRUNC(L7*G8)</f>
        <v>5360900</v>
      </c>
      <c r="M8" s="111"/>
    </row>
    <row r="9" spans="1:14" ht="14.85" customHeight="1" x14ac:dyDescent="0.15">
      <c r="A9" s="261"/>
      <c r="B9" s="261"/>
      <c r="C9" s="111" t="s">
        <v>697</v>
      </c>
      <c r="D9" s="255"/>
      <c r="E9" s="255"/>
      <c r="F9" s="255"/>
      <c r="G9" s="255"/>
      <c r="H9" s="255"/>
      <c r="I9" s="255"/>
      <c r="J9" s="255"/>
      <c r="K9" s="255"/>
      <c r="L9" s="113">
        <f>SUM(L7,L8)</f>
        <v>35994618</v>
      </c>
      <c r="M9" s="111"/>
    </row>
    <row r="10" spans="1:14" ht="14.85" customHeight="1" x14ac:dyDescent="0.15">
      <c r="A10" s="261"/>
      <c r="B10" s="261" t="s">
        <v>698</v>
      </c>
      <c r="C10" s="111" t="s">
        <v>699</v>
      </c>
      <c r="D10" s="255"/>
      <c r="E10" s="255"/>
      <c r="F10" s="255"/>
      <c r="G10" s="255"/>
      <c r="H10" s="255"/>
      <c r="I10" s="255"/>
      <c r="J10" s="255"/>
      <c r="K10" s="255"/>
      <c r="L10" s="112"/>
      <c r="M10" s="111"/>
    </row>
    <row r="11" spans="1:14" ht="14.85" customHeight="1" x14ac:dyDescent="0.15">
      <c r="A11" s="261"/>
      <c r="B11" s="261"/>
      <c r="C11" s="111" t="s">
        <v>700</v>
      </c>
      <c r="D11" s="259" t="s">
        <v>701</v>
      </c>
      <c r="E11" s="259"/>
      <c r="F11" s="114" t="s">
        <v>696</v>
      </c>
      <c r="G11" s="117">
        <v>0.05</v>
      </c>
      <c r="H11" s="252"/>
      <c r="I11" s="253"/>
      <c r="J11" s="253"/>
      <c r="K11" s="254"/>
      <c r="L11" s="108">
        <f>TRUNC((L6+L9)*G11)</f>
        <v>3155230</v>
      </c>
      <c r="M11" s="111"/>
    </row>
    <row r="12" spans="1:14" ht="14.85" customHeight="1" x14ac:dyDescent="0.15">
      <c r="A12" s="261"/>
      <c r="B12" s="261"/>
      <c r="C12" s="111" t="s">
        <v>702</v>
      </c>
      <c r="D12" s="256" t="s">
        <v>703</v>
      </c>
      <c r="E12" s="258"/>
      <c r="F12" s="114" t="s">
        <v>704</v>
      </c>
      <c r="G12" s="115">
        <v>3.56E-2</v>
      </c>
      <c r="H12" s="252"/>
      <c r="I12" s="253"/>
      <c r="J12" s="253"/>
      <c r="K12" s="254"/>
      <c r="L12" s="108">
        <f>TRUNC(L9*G12)</f>
        <v>1281408</v>
      </c>
      <c r="M12" s="111"/>
    </row>
    <row r="13" spans="1:14" ht="14.85" customHeight="1" x14ac:dyDescent="0.15">
      <c r="A13" s="261"/>
      <c r="B13" s="261"/>
      <c r="C13" s="111" t="s">
        <v>705</v>
      </c>
      <c r="D13" s="256" t="s">
        <v>706</v>
      </c>
      <c r="E13" s="258"/>
      <c r="F13" s="114" t="s">
        <v>696</v>
      </c>
      <c r="G13" s="115">
        <v>1.01E-2</v>
      </c>
      <c r="H13" s="252"/>
      <c r="I13" s="253"/>
      <c r="J13" s="253"/>
      <c r="K13" s="254"/>
      <c r="L13" s="108">
        <f>TRUNC(L9*G13)</f>
        <v>363545</v>
      </c>
      <c r="M13" s="111"/>
    </row>
    <row r="14" spans="1:14" ht="14.85" customHeight="1" x14ac:dyDescent="0.15">
      <c r="A14" s="261"/>
      <c r="B14" s="261"/>
      <c r="C14" s="111" t="s">
        <v>707</v>
      </c>
      <c r="D14" s="256" t="s">
        <v>708</v>
      </c>
      <c r="E14" s="258"/>
      <c r="F14" s="114" t="s">
        <v>696</v>
      </c>
      <c r="G14" s="118">
        <v>3.5950000000000003E-2</v>
      </c>
      <c r="H14" s="252"/>
      <c r="I14" s="253"/>
      <c r="J14" s="253"/>
      <c r="K14" s="254"/>
      <c r="L14" s="108">
        <f>TRUNC(L7*G14)</f>
        <v>1101282</v>
      </c>
      <c r="M14" s="111"/>
    </row>
    <row r="15" spans="1:14" ht="14.85" customHeight="1" x14ac:dyDescent="0.15">
      <c r="A15" s="261"/>
      <c r="B15" s="261"/>
      <c r="C15" s="111" t="s">
        <v>709</v>
      </c>
      <c r="D15" s="256" t="s">
        <v>708</v>
      </c>
      <c r="E15" s="258"/>
      <c r="F15" s="114" t="s">
        <v>704</v>
      </c>
      <c r="G15" s="115">
        <v>4.7500000000000001E-2</v>
      </c>
      <c r="H15" s="252"/>
      <c r="I15" s="253"/>
      <c r="J15" s="253"/>
      <c r="K15" s="254"/>
      <c r="L15" s="108">
        <f>TRUNC(L7*G15)</f>
        <v>1455101</v>
      </c>
      <c r="M15" s="111"/>
    </row>
    <row r="16" spans="1:14" ht="14.85" customHeight="1" x14ac:dyDescent="0.15">
      <c r="A16" s="261"/>
      <c r="B16" s="261"/>
      <c r="C16" s="111" t="s">
        <v>710</v>
      </c>
      <c r="D16" s="256" t="s">
        <v>707</v>
      </c>
      <c r="E16" s="258"/>
      <c r="F16" s="114" t="s">
        <v>696</v>
      </c>
      <c r="G16" s="115">
        <v>0.13139999999999999</v>
      </c>
      <c r="H16" s="252"/>
      <c r="I16" s="253"/>
      <c r="J16" s="253"/>
      <c r="K16" s="254"/>
      <c r="L16" s="108">
        <f>TRUNC(L14*G16)</f>
        <v>144708</v>
      </c>
      <c r="M16" s="111"/>
    </row>
    <row r="17" spans="1:18" ht="14.85" customHeight="1" x14ac:dyDescent="0.15">
      <c r="A17" s="261"/>
      <c r="B17" s="261"/>
      <c r="C17" s="111" t="s">
        <v>711</v>
      </c>
      <c r="D17" s="256" t="s">
        <v>695</v>
      </c>
      <c r="E17" s="258"/>
      <c r="F17" s="114" t="s">
        <v>696</v>
      </c>
      <c r="G17" s="117">
        <v>2.3E-2</v>
      </c>
      <c r="H17" s="252"/>
      <c r="I17" s="253"/>
      <c r="J17" s="253"/>
      <c r="K17" s="254"/>
      <c r="L17" s="108"/>
      <c r="M17" s="111" t="s">
        <v>712</v>
      </c>
    </row>
    <row r="18" spans="1:18" ht="14.85" customHeight="1" x14ac:dyDescent="0.15">
      <c r="A18" s="261"/>
      <c r="B18" s="261"/>
      <c r="C18" s="111" t="s">
        <v>713</v>
      </c>
      <c r="D18" s="256" t="s">
        <v>714</v>
      </c>
      <c r="E18" s="258"/>
      <c r="F18" s="114" t="s">
        <v>696</v>
      </c>
      <c r="G18" s="115">
        <v>3.1099999999999999E-2</v>
      </c>
      <c r="H18" s="252"/>
      <c r="I18" s="253"/>
      <c r="J18" s="253"/>
      <c r="K18" s="254"/>
      <c r="L18" s="108">
        <f>TRUNC((L6+L7)*G18)</f>
        <v>1795829</v>
      </c>
      <c r="M18" s="111" t="s">
        <v>715</v>
      </c>
    </row>
    <row r="19" spans="1:18" ht="14.85" customHeight="1" x14ac:dyDescent="0.15">
      <c r="A19" s="261"/>
      <c r="B19" s="261"/>
      <c r="C19" s="111" t="s">
        <v>716</v>
      </c>
      <c r="D19" s="256" t="s">
        <v>717</v>
      </c>
      <c r="E19" s="260"/>
      <c r="F19" s="114" t="s">
        <v>696</v>
      </c>
      <c r="G19" s="115">
        <v>3.1099999999999999E-2</v>
      </c>
      <c r="H19" s="109" t="s">
        <v>696</v>
      </c>
      <c r="I19" s="109">
        <v>1</v>
      </c>
      <c r="J19" s="119"/>
      <c r="K19" s="119"/>
      <c r="L19" s="108"/>
      <c r="M19" s="111" t="s">
        <v>718</v>
      </c>
    </row>
    <row r="20" spans="1:18" ht="14.85" customHeight="1" x14ac:dyDescent="0.15">
      <c r="A20" s="261"/>
      <c r="B20" s="261"/>
      <c r="C20" s="111" t="s">
        <v>719</v>
      </c>
      <c r="D20" s="256" t="s">
        <v>720</v>
      </c>
      <c r="E20" s="258"/>
      <c r="F20" s="114" t="s">
        <v>696</v>
      </c>
      <c r="G20" s="115">
        <v>3.1099999999999999E-2</v>
      </c>
      <c r="H20" s="109" t="s">
        <v>696</v>
      </c>
      <c r="I20" s="109">
        <v>1.2</v>
      </c>
      <c r="J20" s="119"/>
      <c r="K20" s="119"/>
      <c r="L20" s="108"/>
      <c r="M20" s="111" t="s">
        <v>718</v>
      </c>
    </row>
    <row r="21" spans="1:18" ht="14.85" customHeight="1" x14ac:dyDescent="0.15">
      <c r="A21" s="261"/>
      <c r="B21" s="261"/>
      <c r="C21" s="111" t="s">
        <v>721</v>
      </c>
      <c r="D21" s="256" t="s">
        <v>717</v>
      </c>
      <c r="E21" s="258"/>
      <c r="F21" s="114" t="s">
        <v>696</v>
      </c>
      <c r="G21" s="115">
        <v>1.8599999999999998E-2</v>
      </c>
      <c r="H21" s="109" t="s">
        <v>722</v>
      </c>
      <c r="I21" s="120">
        <v>5349000</v>
      </c>
      <c r="J21" s="109" t="s">
        <v>696</v>
      </c>
      <c r="K21" s="109">
        <v>1</v>
      </c>
      <c r="L21" s="108"/>
      <c r="M21" s="111" t="s">
        <v>723</v>
      </c>
    </row>
    <row r="22" spans="1:18" ht="14.85" customHeight="1" x14ac:dyDescent="0.15">
      <c r="A22" s="261"/>
      <c r="B22" s="261"/>
      <c r="C22" s="111" t="s">
        <v>724</v>
      </c>
      <c r="D22" s="121" t="s">
        <v>720</v>
      </c>
      <c r="E22" s="122"/>
      <c r="F22" s="114" t="s">
        <v>696</v>
      </c>
      <c r="G22" s="115">
        <v>1.8599999999999998E-2</v>
      </c>
      <c r="H22" s="108" t="s">
        <v>722</v>
      </c>
      <c r="I22" s="120">
        <v>5349000</v>
      </c>
      <c r="J22" s="109" t="s">
        <v>696</v>
      </c>
      <c r="K22" s="109">
        <v>1.2</v>
      </c>
      <c r="L22" s="108"/>
      <c r="M22" s="111" t="s">
        <v>723</v>
      </c>
    </row>
    <row r="23" spans="1:18" ht="14.85" customHeight="1" x14ac:dyDescent="0.15">
      <c r="A23" s="261"/>
      <c r="B23" s="261"/>
      <c r="C23" s="111" t="s">
        <v>725</v>
      </c>
      <c r="D23" s="252"/>
      <c r="E23" s="253"/>
      <c r="F23" s="253"/>
      <c r="G23" s="253"/>
      <c r="H23" s="253"/>
      <c r="I23" s="253"/>
      <c r="J23" s="253"/>
      <c r="K23" s="254"/>
      <c r="L23" s="108">
        <f>MIN(L18,L19,L20)</f>
        <v>1795829</v>
      </c>
      <c r="M23" s="111" t="s">
        <v>726</v>
      </c>
    </row>
    <row r="24" spans="1:18" ht="14.85" customHeight="1" x14ac:dyDescent="0.15">
      <c r="A24" s="261"/>
      <c r="B24" s="261"/>
      <c r="C24" s="111" t="s">
        <v>727</v>
      </c>
      <c r="D24" s="256" t="s">
        <v>728</v>
      </c>
      <c r="E24" s="258"/>
      <c r="F24" s="114" t="s">
        <v>696</v>
      </c>
      <c r="G24" s="118">
        <v>9.6000000000000002E-4</v>
      </c>
      <c r="H24" s="252"/>
      <c r="I24" s="253"/>
      <c r="J24" s="253"/>
      <c r="K24" s="254"/>
      <c r="L24" s="108">
        <f>TRUNC(L9*G24)</f>
        <v>34554</v>
      </c>
      <c r="M24" s="123" t="s">
        <v>729</v>
      </c>
    </row>
    <row r="25" spans="1:18" ht="14.85" customHeight="1" x14ac:dyDescent="0.15">
      <c r="A25" s="261"/>
      <c r="B25" s="261"/>
      <c r="C25" s="111" t="s">
        <v>730</v>
      </c>
      <c r="D25" s="252"/>
      <c r="E25" s="253"/>
      <c r="F25" s="253"/>
      <c r="G25" s="253"/>
      <c r="H25" s="253"/>
      <c r="I25" s="253"/>
      <c r="J25" s="253"/>
      <c r="K25" s="254"/>
      <c r="L25" s="113">
        <f>SUM(L10,L11,L12,L13,L14,L15,L16,L17,L23,L24)</f>
        <v>9331657</v>
      </c>
      <c r="M25" s="111"/>
    </row>
    <row r="26" spans="1:18" ht="14.85" customHeight="1" x14ac:dyDescent="0.15">
      <c r="A26" s="255" t="s">
        <v>731</v>
      </c>
      <c r="B26" s="255"/>
      <c r="C26" s="255"/>
      <c r="D26" s="256" t="s">
        <v>732</v>
      </c>
      <c r="E26" s="257"/>
      <c r="F26" s="257"/>
      <c r="G26" s="257"/>
      <c r="H26" s="257"/>
      <c r="I26" s="257"/>
      <c r="J26" s="257"/>
      <c r="K26" s="258"/>
      <c r="L26" s="108">
        <f>SUM(L6,L9,L25)</f>
        <v>72436266</v>
      </c>
      <c r="M26" s="124"/>
    </row>
    <row r="27" spans="1:18" ht="14.85" customHeight="1" x14ac:dyDescent="0.15">
      <c r="A27" s="255" t="s">
        <v>733</v>
      </c>
      <c r="B27" s="255"/>
      <c r="C27" s="255"/>
      <c r="D27" s="256" t="s">
        <v>734</v>
      </c>
      <c r="E27" s="258"/>
      <c r="F27" s="114" t="s">
        <v>696</v>
      </c>
      <c r="G27" s="117">
        <v>0.08</v>
      </c>
      <c r="H27" s="252"/>
      <c r="I27" s="253"/>
      <c r="J27" s="253"/>
      <c r="K27" s="254"/>
      <c r="L27" s="108">
        <f>TRUNC(L26*G27)</f>
        <v>5794901</v>
      </c>
      <c r="M27" s="124" t="s">
        <v>735</v>
      </c>
    </row>
    <row r="28" spans="1:18" ht="14.85" customHeight="1" x14ac:dyDescent="0.15">
      <c r="A28" s="255" t="s">
        <v>736</v>
      </c>
      <c r="B28" s="255"/>
      <c r="C28" s="255"/>
      <c r="D28" s="259" t="s">
        <v>737</v>
      </c>
      <c r="E28" s="259"/>
      <c r="F28" s="114" t="s">
        <v>696</v>
      </c>
      <c r="G28" s="124">
        <v>0.15</v>
      </c>
      <c r="H28" s="252"/>
      <c r="I28" s="253"/>
      <c r="J28" s="253"/>
      <c r="K28" s="254"/>
      <c r="L28" s="108">
        <f>TRUNC(SUM(L9,L25,L27)*G28)</f>
        <v>7668176</v>
      </c>
      <c r="M28" s="111" t="s">
        <v>738</v>
      </c>
    </row>
    <row r="29" spans="1:18" ht="14.85" customHeight="1" x14ac:dyDescent="0.15">
      <c r="A29" s="252" t="s">
        <v>1059</v>
      </c>
      <c r="B29" s="253"/>
      <c r="C29" s="254"/>
      <c r="D29" s="252" t="s">
        <v>1092</v>
      </c>
      <c r="E29" s="253"/>
      <c r="F29" s="150"/>
      <c r="G29" s="151"/>
      <c r="H29" s="145"/>
      <c r="I29" s="145"/>
      <c r="J29" s="145"/>
      <c r="K29" s="146"/>
      <c r="L29" s="108">
        <f>R32</f>
        <v>-363100</v>
      </c>
      <c r="M29" s="111"/>
      <c r="O29" s="107" t="s">
        <v>1082</v>
      </c>
      <c r="P29" s="107">
        <v>15</v>
      </c>
      <c r="Q29" s="107">
        <f>단가조사!G103</f>
        <v>-18400</v>
      </c>
      <c r="R29" s="107">
        <f>Q29*P29</f>
        <v>-276000</v>
      </c>
    </row>
    <row r="30" spans="1:18" ht="14.85" customHeight="1" x14ac:dyDescent="0.15">
      <c r="A30" s="255" t="s">
        <v>739</v>
      </c>
      <c r="B30" s="255"/>
      <c r="C30" s="255"/>
      <c r="D30" s="256" t="s">
        <v>740</v>
      </c>
      <c r="E30" s="257"/>
      <c r="F30" s="257"/>
      <c r="G30" s="257"/>
      <c r="H30" s="257"/>
      <c r="I30" s="257"/>
      <c r="J30" s="257"/>
      <c r="K30" s="258"/>
      <c r="L30" s="108">
        <f>SUM(L26,L27,L28:L29)</f>
        <v>85536243</v>
      </c>
      <c r="M30" s="125"/>
      <c r="O30" s="107" t="s">
        <v>1088</v>
      </c>
      <c r="P30" s="107">
        <v>30</v>
      </c>
      <c r="Q30" s="107">
        <f>단가조사!G104</f>
        <v>-1700</v>
      </c>
      <c r="R30" s="107">
        <f>Q30*P30</f>
        <v>-51000</v>
      </c>
    </row>
    <row r="31" spans="1:18" ht="14.85" customHeight="1" x14ac:dyDescent="0.15">
      <c r="A31" s="255" t="s">
        <v>741</v>
      </c>
      <c r="B31" s="255"/>
      <c r="C31" s="255"/>
      <c r="D31" s="256" t="s">
        <v>742</v>
      </c>
      <c r="E31" s="257"/>
      <c r="F31" s="109" t="s">
        <v>696</v>
      </c>
      <c r="G31" s="126">
        <v>0.1</v>
      </c>
      <c r="H31" s="253"/>
      <c r="I31" s="253"/>
      <c r="J31" s="253"/>
      <c r="K31" s="254"/>
      <c r="L31" s="108">
        <f>TRUNC(L30*G31)</f>
        <v>8553624</v>
      </c>
      <c r="M31" s="111"/>
      <c r="O31" s="107" t="s">
        <v>1102</v>
      </c>
      <c r="P31" s="107">
        <v>95</v>
      </c>
      <c r="Q31" s="107">
        <f>단가조사!G105</f>
        <v>-380</v>
      </c>
      <c r="R31" s="107">
        <f>Q31*P31</f>
        <v>-36100</v>
      </c>
    </row>
    <row r="32" spans="1:18" ht="14.85" customHeight="1" x14ac:dyDescent="0.15">
      <c r="A32" s="255" t="s">
        <v>743</v>
      </c>
      <c r="B32" s="255"/>
      <c r="C32" s="255"/>
      <c r="D32" s="256" t="s">
        <v>742</v>
      </c>
      <c r="E32" s="257"/>
      <c r="F32" s="109" t="s">
        <v>696</v>
      </c>
      <c r="G32" s="127">
        <v>2.6476999999999998E-3</v>
      </c>
      <c r="H32" s="253"/>
      <c r="I32" s="253"/>
      <c r="J32" s="253"/>
      <c r="K32" s="254"/>
      <c r="L32" s="108">
        <f>TRUNC(L30*G32)</f>
        <v>226474</v>
      </c>
      <c r="M32" s="111"/>
      <c r="Q32" s="107" t="s">
        <v>1096</v>
      </c>
      <c r="R32" s="107">
        <f>R31+R30+R29</f>
        <v>-363100</v>
      </c>
    </row>
    <row r="33" spans="1:19" ht="14.85" customHeight="1" x14ac:dyDescent="0.15">
      <c r="A33" s="255" t="s">
        <v>744</v>
      </c>
      <c r="B33" s="255"/>
      <c r="C33" s="255"/>
      <c r="D33" s="256" t="s">
        <v>745</v>
      </c>
      <c r="E33" s="257"/>
      <c r="F33" s="257"/>
      <c r="G33" s="257"/>
      <c r="H33" s="257"/>
      <c r="I33" s="257"/>
      <c r="J33" s="257"/>
      <c r="K33" s="258"/>
      <c r="L33" s="108">
        <f>SUM(L30,L31,L32)</f>
        <v>94316341</v>
      </c>
      <c r="M33" s="111"/>
    </row>
    <row r="34" spans="1:19" ht="14.85" customHeight="1" x14ac:dyDescent="0.15">
      <c r="A34" s="255" t="s">
        <v>746</v>
      </c>
      <c r="B34" s="255"/>
      <c r="C34" s="255"/>
      <c r="D34" s="252"/>
      <c r="E34" s="253"/>
      <c r="F34" s="253"/>
      <c r="G34" s="253"/>
      <c r="H34" s="253"/>
      <c r="I34" s="253"/>
      <c r="J34" s="253"/>
      <c r="K34" s="254"/>
      <c r="L34" s="108">
        <f>SUM(L33)-341</f>
        <v>94316000</v>
      </c>
      <c r="M34" s="111" t="s">
        <v>1125</v>
      </c>
      <c r="N34" s="128"/>
      <c r="O34" s="129"/>
      <c r="S34" s="107" t="s">
        <v>747</v>
      </c>
    </row>
  </sheetData>
  <mergeCells count="62">
    <mergeCell ref="A1:J1"/>
    <mergeCell ref="K1:M1"/>
    <mergeCell ref="A2:B2"/>
    <mergeCell ref="C2:K2"/>
    <mergeCell ref="A3:A25"/>
    <mergeCell ref="B3:B6"/>
    <mergeCell ref="D3:K3"/>
    <mergeCell ref="D4:K4"/>
    <mergeCell ref="D5:K5"/>
    <mergeCell ref="D6:K6"/>
    <mergeCell ref="D15:E15"/>
    <mergeCell ref="H15:K15"/>
    <mergeCell ref="B7:B9"/>
    <mergeCell ref="D7:K7"/>
    <mergeCell ref="D8:E8"/>
    <mergeCell ref="H8:K8"/>
    <mergeCell ref="D9:K9"/>
    <mergeCell ref="B10:B25"/>
    <mergeCell ref="D10:K10"/>
    <mergeCell ref="D11:E11"/>
    <mergeCell ref="H11:K11"/>
    <mergeCell ref="D12:E12"/>
    <mergeCell ref="H12:K12"/>
    <mergeCell ref="D13:E13"/>
    <mergeCell ref="H13:K13"/>
    <mergeCell ref="D14:E14"/>
    <mergeCell ref="H14:K14"/>
    <mergeCell ref="D16:E16"/>
    <mergeCell ref="H16:K16"/>
    <mergeCell ref="D17:E17"/>
    <mergeCell ref="H17:K17"/>
    <mergeCell ref="D18:E18"/>
    <mergeCell ref="H18:K18"/>
    <mergeCell ref="D19:E19"/>
    <mergeCell ref="D20:E20"/>
    <mergeCell ref="D21:E21"/>
    <mergeCell ref="D23:K23"/>
    <mergeCell ref="D24:E24"/>
    <mergeCell ref="H24:K24"/>
    <mergeCell ref="D25:K25"/>
    <mergeCell ref="A26:C26"/>
    <mergeCell ref="D26:K26"/>
    <mergeCell ref="A27:C27"/>
    <mergeCell ref="D27:E27"/>
    <mergeCell ref="H27:K27"/>
    <mergeCell ref="A28:C28"/>
    <mergeCell ref="D28:E28"/>
    <mergeCell ref="H28:K28"/>
    <mergeCell ref="A29:C29"/>
    <mergeCell ref="D29:E29"/>
    <mergeCell ref="A34:C34"/>
    <mergeCell ref="D34:K34"/>
    <mergeCell ref="A33:C33"/>
    <mergeCell ref="D33:K33"/>
    <mergeCell ref="A30:C30"/>
    <mergeCell ref="D30:K30"/>
    <mergeCell ref="A31:C31"/>
    <mergeCell ref="D31:E31"/>
    <mergeCell ref="H31:K31"/>
    <mergeCell ref="A32:C32"/>
    <mergeCell ref="D32:E32"/>
    <mergeCell ref="H32:K32"/>
  </mergeCells>
  <phoneticPr fontId="2" type="noConversion"/>
  <pageMargins left="0.7" right="0.5" top="0.54" bottom="0.34" header="0.3" footer="0.3"/>
  <pageSetup paperSize="9" scale="9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A29"/>
  <sheetViews>
    <sheetView view="pageBreakPreview" topLeftCell="D1" zoomScale="85" zoomScaleNormal="100" zoomScaleSheetLayoutView="85" workbookViewId="0">
      <pane ySplit="3" topLeftCell="A4" activePane="bottomLeft" state="frozen"/>
      <selection activeCell="D1" sqref="D1"/>
      <selection pane="bottomLeft" activeCell="D2" sqref="D2:D3"/>
    </sheetView>
  </sheetViews>
  <sheetFormatPr defaultRowHeight="20.45" customHeight="1" x14ac:dyDescent="0.15"/>
  <cols>
    <col min="1" max="1" width="5.77734375" style="47" hidden="1" customWidth="1"/>
    <col min="2" max="2" width="6.5546875" style="21" hidden="1" customWidth="1"/>
    <col min="3" max="3" width="13.6640625" style="21" hidden="1" customWidth="1"/>
    <col min="4" max="4" width="36.21875" style="21" customWidth="1"/>
    <col min="5" max="5" width="9.109375" style="47" hidden="1" customWidth="1"/>
    <col min="6" max="6" width="4.21875" style="51" customWidth="1"/>
    <col min="7" max="7" width="4.6640625" style="63" customWidth="1"/>
    <col min="8" max="8" width="13" style="63" customWidth="1"/>
    <col min="9" max="9" width="13.109375" style="63" customWidth="1"/>
    <col min="10" max="10" width="5.109375" style="63" hidden="1" customWidth="1"/>
    <col min="11" max="11" width="11.21875" style="63" bestFit="1" customWidth="1"/>
    <col min="12" max="12" width="11.5546875" style="63" customWidth="1"/>
    <col min="13" max="14" width="9.44140625" style="63" customWidth="1"/>
    <col min="15" max="15" width="8.77734375" style="63" hidden="1" customWidth="1"/>
    <col min="16" max="16" width="13.21875" style="63" customWidth="1"/>
    <col min="17" max="17" width="10.44140625" style="21" customWidth="1"/>
    <col min="18" max="16384" width="8.88671875" style="2"/>
  </cols>
  <sheetData>
    <row r="1" spans="1:27" ht="20.45" customHeight="1" x14ac:dyDescent="0.15">
      <c r="A1" s="47" t="s">
        <v>473</v>
      </c>
      <c r="B1" s="21" t="s">
        <v>481</v>
      </c>
      <c r="C1" s="21" t="s">
        <v>629</v>
      </c>
      <c r="D1" s="268" t="s">
        <v>1136</v>
      </c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AA1" s="2" t="s">
        <v>163</v>
      </c>
    </row>
    <row r="2" spans="1:27" s="17" customFormat="1" ht="20.45" customHeight="1" x14ac:dyDescent="0.15">
      <c r="A2" s="270" t="s">
        <v>80</v>
      </c>
      <c r="B2" s="270" t="s">
        <v>29</v>
      </c>
      <c r="C2" s="273" t="s">
        <v>46</v>
      </c>
      <c r="D2" s="271" t="s">
        <v>84</v>
      </c>
      <c r="E2" s="274" t="s">
        <v>31</v>
      </c>
      <c r="F2" s="274" t="s">
        <v>1</v>
      </c>
      <c r="G2" s="267" t="s">
        <v>2</v>
      </c>
      <c r="H2" s="267" t="s">
        <v>32</v>
      </c>
      <c r="I2" s="267"/>
      <c r="J2" s="267" t="s">
        <v>33</v>
      </c>
      <c r="K2" s="267"/>
      <c r="L2" s="267"/>
      <c r="M2" s="267" t="s">
        <v>34</v>
      </c>
      <c r="N2" s="267"/>
      <c r="O2" s="92"/>
      <c r="P2" s="267" t="s">
        <v>47</v>
      </c>
      <c r="Q2" s="271" t="s">
        <v>38</v>
      </c>
    </row>
    <row r="3" spans="1:27" s="17" customFormat="1" ht="20.45" customHeight="1" x14ac:dyDescent="0.15">
      <c r="A3" s="270"/>
      <c r="B3" s="270"/>
      <c r="C3" s="273"/>
      <c r="D3" s="272"/>
      <c r="E3" s="275"/>
      <c r="F3" s="275"/>
      <c r="G3" s="276"/>
      <c r="H3" s="102" t="s">
        <v>48</v>
      </c>
      <c r="I3" s="102" t="s">
        <v>49</v>
      </c>
      <c r="J3" s="102" t="s">
        <v>2</v>
      </c>
      <c r="K3" s="102" t="s">
        <v>48</v>
      </c>
      <c r="L3" s="102" t="s">
        <v>49</v>
      </c>
      <c r="M3" s="102" t="s">
        <v>50</v>
      </c>
      <c r="N3" s="102" t="s">
        <v>49</v>
      </c>
      <c r="O3" s="102" t="s">
        <v>51</v>
      </c>
      <c r="P3" s="276"/>
      <c r="Q3" s="272"/>
    </row>
    <row r="4" spans="1:27" ht="20.45" customHeight="1" x14ac:dyDescent="0.15">
      <c r="B4" s="21" t="s">
        <v>477</v>
      </c>
      <c r="D4" s="264" t="s">
        <v>630</v>
      </c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6"/>
    </row>
    <row r="5" spans="1:27" ht="20.45" customHeight="1" x14ac:dyDescent="0.15">
      <c r="B5" s="21" t="s">
        <v>501</v>
      </c>
      <c r="D5" s="78" t="s">
        <v>168</v>
      </c>
      <c r="E5" s="49"/>
      <c r="F5" s="52" t="s">
        <v>486</v>
      </c>
      <c r="G5" s="64">
        <v>1</v>
      </c>
      <c r="H5" s="64">
        <f>내역서!I108</f>
        <v>27109991</v>
      </c>
      <c r="I5" s="64">
        <f t="shared" ref="I5:I28" si="0">G5*H5</f>
        <v>27109991</v>
      </c>
      <c r="J5" s="64"/>
      <c r="K5" s="64">
        <f>내역서!L108</f>
        <v>30633718</v>
      </c>
      <c r="L5" s="64">
        <f t="shared" ref="L5:L28" si="1">G5*K5</f>
        <v>30633718</v>
      </c>
      <c r="M5" s="64">
        <f>내역서!N108</f>
        <v>0</v>
      </c>
      <c r="N5" s="64">
        <f t="shared" ref="N5:N28" si="2">G5*M5</f>
        <v>0</v>
      </c>
      <c r="O5" s="64"/>
      <c r="P5" s="64">
        <f t="shared" ref="P5:P28" si="3">SUM(I5,L5,N5)</f>
        <v>57743709</v>
      </c>
      <c r="Q5" s="78"/>
    </row>
    <row r="6" spans="1:27" ht="20.45" customHeight="1" x14ac:dyDescent="0.15">
      <c r="D6" s="78"/>
      <c r="E6" s="49"/>
      <c r="F6" s="52"/>
      <c r="G6" s="64"/>
      <c r="H6" s="64"/>
      <c r="I6" s="64">
        <f t="shared" si="0"/>
        <v>0</v>
      </c>
      <c r="J6" s="64"/>
      <c r="K6" s="64"/>
      <c r="L6" s="64">
        <f t="shared" si="1"/>
        <v>0</v>
      </c>
      <c r="M6" s="64"/>
      <c r="N6" s="64">
        <f t="shared" si="2"/>
        <v>0</v>
      </c>
      <c r="O6" s="64"/>
      <c r="P6" s="64">
        <f t="shared" si="3"/>
        <v>0</v>
      </c>
      <c r="Q6" s="78"/>
    </row>
    <row r="7" spans="1:27" ht="20.45" customHeight="1" x14ac:dyDescent="0.15">
      <c r="D7" s="78"/>
      <c r="E7" s="49"/>
      <c r="F7" s="52"/>
      <c r="G7" s="64"/>
      <c r="H7" s="64"/>
      <c r="I7" s="64">
        <f t="shared" si="0"/>
        <v>0</v>
      </c>
      <c r="J7" s="64"/>
      <c r="K7" s="64"/>
      <c r="L7" s="64">
        <f t="shared" si="1"/>
        <v>0</v>
      </c>
      <c r="M7" s="64"/>
      <c r="N7" s="64">
        <f t="shared" si="2"/>
        <v>0</v>
      </c>
      <c r="O7" s="64"/>
      <c r="P7" s="64">
        <f t="shared" si="3"/>
        <v>0</v>
      </c>
      <c r="Q7" s="78"/>
    </row>
    <row r="8" spans="1:27" ht="20.45" customHeight="1" x14ac:dyDescent="0.15">
      <c r="D8" s="78"/>
      <c r="E8" s="49"/>
      <c r="F8" s="52"/>
      <c r="G8" s="64"/>
      <c r="H8" s="64"/>
      <c r="I8" s="64">
        <f t="shared" si="0"/>
        <v>0</v>
      </c>
      <c r="J8" s="64"/>
      <c r="K8" s="64"/>
      <c r="L8" s="64">
        <f t="shared" si="1"/>
        <v>0</v>
      </c>
      <c r="M8" s="64"/>
      <c r="N8" s="64">
        <f t="shared" si="2"/>
        <v>0</v>
      </c>
      <c r="O8" s="64"/>
      <c r="P8" s="64">
        <f t="shared" si="3"/>
        <v>0</v>
      </c>
      <c r="Q8" s="78"/>
    </row>
    <row r="9" spans="1:27" ht="20.45" customHeight="1" x14ac:dyDescent="0.15">
      <c r="D9" s="78"/>
      <c r="E9" s="49"/>
      <c r="F9" s="52"/>
      <c r="G9" s="64"/>
      <c r="H9" s="64"/>
      <c r="I9" s="64">
        <f t="shared" si="0"/>
        <v>0</v>
      </c>
      <c r="J9" s="64"/>
      <c r="K9" s="64"/>
      <c r="L9" s="64">
        <f t="shared" si="1"/>
        <v>0</v>
      </c>
      <c r="M9" s="64"/>
      <c r="N9" s="64">
        <f t="shared" si="2"/>
        <v>0</v>
      </c>
      <c r="O9" s="64"/>
      <c r="P9" s="64">
        <f t="shared" si="3"/>
        <v>0</v>
      </c>
      <c r="Q9" s="78"/>
    </row>
    <row r="10" spans="1:27" ht="20.45" customHeight="1" x14ac:dyDescent="0.15">
      <c r="D10" s="78"/>
      <c r="E10" s="49"/>
      <c r="F10" s="52"/>
      <c r="G10" s="64"/>
      <c r="H10" s="64"/>
      <c r="I10" s="64">
        <f t="shared" si="0"/>
        <v>0</v>
      </c>
      <c r="J10" s="64"/>
      <c r="K10" s="64"/>
      <c r="L10" s="64">
        <f t="shared" si="1"/>
        <v>0</v>
      </c>
      <c r="M10" s="64"/>
      <c r="N10" s="64">
        <f t="shared" si="2"/>
        <v>0</v>
      </c>
      <c r="O10" s="64"/>
      <c r="P10" s="64">
        <f t="shared" si="3"/>
        <v>0</v>
      </c>
      <c r="Q10" s="78"/>
    </row>
    <row r="11" spans="1:27" ht="20.45" customHeight="1" x14ac:dyDescent="0.15">
      <c r="D11" s="78"/>
      <c r="E11" s="49"/>
      <c r="F11" s="52"/>
      <c r="G11" s="64"/>
      <c r="H11" s="64"/>
      <c r="I11" s="64">
        <f t="shared" si="0"/>
        <v>0</v>
      </c>
      <c r="J11" s="64"/>
      <c r="K11" s="64"/>
      <c r="L11" s="64">
        <f t="shared" si="1"/>
        <v>0</v>
      </c>
      <c r="M11" s="64"/>
      <c r="N11" s="64">
        <f t="shared" si="2"/>
        <v>0</v>
      </c>
      <c r="O11" s="64"/>
      <c r="P11" s="64">
        <f t="shared" si="3"/>
        <v>0</v>
      </c>
      <c r="Q11" s="78"/>
    </row>
    <row r="12" spans="1:27" ht="20.45" customHeight="1" x14ac:dyDescent="0.15">
      <c r="D12" s="78"/>
      <c r="E12" s="49"/>
      <c r="F12" s="52"/>
      <c r="G12" s="64"/>
      <c r="H12" s="64"/>
      <c r="I12" s="64">
        <f t="shared" si="0"/>
        <v>0</v>
      </c>
      <c r="J12" s="64"/>
      <c r="K12" s="64"/>
      <c r="L12" s="64">
        <f t="shared" si="1"/>
        <v>0</v>
      </c>
      <c r="M12" s="64"/>
      <c r="N12" s="64">
        <f t="shared" si="2"/>
        <v>0</v>
      </c>
      <c r="O12" s="64"/>
      <c r="P12" s="64">
        <f t="shared" si="3"/>
        <v>0</v>
      </c>
      <c r="Q12" s="78"/>
    </row>
    <row r="13" spans="1:27" ht="20.45" customHeight="1" x14ac:dyDescent="0.15">
      <c r="D13" s="78"/>
      <c r="E13" s="49"/>
      <c r="F13" s="52"/>
      <c r="G13" s="64"/>
      <c r="H13" s="64"/>
      <c r="I13" s="64">
        <f t="shared" si="0"/>
        <v>0</v>
      </c>
      <c r="J13" s="64"/>
      <c r="K13" s="64"/>
      <c r="L13" s="64">
        <f t="shared" si="1"/>
        <v>0</v>
      </c>
      <c r="M13" s="64"/>
      <c r="N13" s="64">
        <f t="shared" si="2"/>
        <v>0</v>
      </c>
      <c r="O13" s="64"/>
      <c r="P13" s="64">
        <f t="shared" si="3"/>
        <v>0</v>
      </c>
      <c r="Q13" s="78"/>
    </row>
    <row r="14" spans="1:27" ht="20.45" customHeight="1" x14ac:dyDescent="0.15">
      <c r="D14" s="78"/>
      <c r="E14" s="49"/>
      <c r="F14" s="52"/>
      <c r="G14" s="64"/>
      <c r="H14" s="64"/>
      <c r="I14" s="64">
        <f t="shared" si="0"/>
        <v>0</v>
      </c>
      <c r="J14" s="64"/>
      <c r="K14" s="64"/>
      <c r="L14" s="64">
        <f t="shared" si="1"/>
        <v>0</v>
      </c>
      <c r="M14" s="64"/>
      <c r="N14" s="64">
        <f t="shared" si="2"/>
        <v>0</v>
      </c>
      <c r="O14" s="64"/>
      <c r="P14" s="64">
        <f t="shared" si="3"/>
        <v>0</v>
      </c>
      <c r="Q14" s="78"/>
    </row>
    <row r="15" spans="1:27" ht="20.45" customHeight="1" x14ac:dyDescent="0.15">
      <c r="D15" s="78"/>
      <c r="E15" s="49"/>
      <c r="F15" s="52"/>
      <c r="G15" s="64"/>
      <c r="H15" s="64"/>
      <c r="I15" s="64">
        <f t="shared" si="0"/>
        <v>0</v>
      </c>
      <c r="J15" s="64"/>
      <c r="K15" s="64"/>
      <c r="L15" s="64">
        <f t="shared" si="1"/>
        <v>0</v>
      </c>
      <c r="M15" s="64"/>
      <c r="N15" s="64">
        <f t="shared" si="2"/>
        <v>0</v>
      </c>
      <c r="O15" s="64"/>
      <c r="P15" s="64">
        <f t="shared" si="3"/>
        <v>0</v>
      </c>
      <c r="Q15" s="78"/>
    </row>
    <row r="16" spans="1:27" ht="20.45" customHeight="1" x14ac:dyDescent="0.15">
      <c r="D16" s="78"/>
      <c r="E16" s="49"/>
      <c r="F16" s="52"/>
      <c r="G16" s="64"/>
      <c r="H16" s="64"/>
      <c r="I16" s="64">
        <f t="shared" si="0"/>
        <v>0</v>
      </c>
      <c r="J16" s="64"/>
      <c r="K16" s="64"/>
      <c r="L16" s="64">
        <f t="shared" si="1"/>
        <v>0</v>
      </c>
      <c r="M16" s="64"/>
      <c r="N16" s="64">
        <f t="shared" si="2"/>
        <v>0</v>
      </c>
      <c r="O16" s="64"/>
      <c r="P16" s="64">
        <f t="shared" si="3"/>
        <v>0</v>
      </c>
      <c r="Q16" s="78"/>
    </row>
    <row r="17" spans="3:17" ht="20.45" customHeight="1" x14ac:dyDescent="0.15">
      <c r="D17" s="78"/>
      <c r="E17" s="49"/>
      <c r="F17" s="52"/>
      <c r="G17" s="64"/>
      <c r="H17" s="64"/>
      <c r="I17" s="64">
        <f t="shared" si="0"/>
        <v>0</v>
      </c>
      <c r="J17" s="64"/>
      <c r="K17" s="64"/>
      <c r="L17" s="64">
        <f t="shared" si="1"/>
        <v>0</v>
      </c>
      <c r="M17" s="64"/>
      <c r="N17" s="64">
        <f t="shared" si="2"/>
        <v>0</v>
      </c>
      <c r="O17" s="64"/>
      <c r="P17" s="64">
        <f t="shared" si="3"/>
        <v>0</v>
      </c>
      <c r="Q17" s="78"/>
    </row>
    <row r="18" spans="3:17" ht="20.45" customHeight="1" x14ac:dyDescent="0.15">
      <c r="D18" s="78"/>
      <c r="E18" s="49"/>
      <c r="F18" s="52"/>
      <c r="G18" s="64"/>
      <c r="H18" s="64"/>
      <c r="I18" s="64">
        <f t="shared" si="0"/>
        <v>0</v>
      </c>
      <c r="J18" s="64"/>
      <c r="K18" s="64"/>
      <c r="L18" s="64">
        <f t="shared" si="1"/>
        <v>0</v>
      </c>
      <c r="M18" s="64"/>
      <c r="N18" s="64">
        <f t="shared" si="2"/>
        <v>0</v>
      </c>
      <c r="O18" s="64"/>
      <c r="P18" s="64">
        <f t="shared" si="3"/>
        <v>0</v>
      </c>
      <c r="Q18" s="78"/>
    </row>
    <row r="19" spans="3:17" ht="20.45" customHeight="1" x14ac:dyDescent="0.15">
      <c r="D19" s="78"/>
      <c r="E19" s="49"/>
      <c r="F19" s="52"/>
      <c r="G19" s="64"/>
      <c r="H19" s="64"/>
      <c r="I19" s="64">
        <f t="shared" si="0"/>
        <v>0</v>
      </c>
      <c r="J19" s="64"/>
      <c r="K19" s="64"/>
      <c r="L19" s="64">
        <f t="shared" si="1"/>
        <v>0</v>
      </c>
      <c r="M19" s="64"/>
      <c r="N19" s="64">
        <f t="shared" si="2"/>
        <v>0</v>
      </c>
      <c r="O19" s="64"/>
      <c r="P19" s="64">
        <f t="shared" si="3"/>
        <v>0</v>
      </c>
      <c r="Q19" s="78"/>
    </row>
    <row r="20" spans="3:17" ht="20.45" customHeight="1" x14ac:dyDescent="0.15">
      <c r="D20" s="78"/>
      <c r="E20" s="49"/>
      <c r="F20" s="52"/>
      <c r="G20" s="64"/>
      <c r="H20" s="64"/>
      <c r="I20" s="64">
        <f t="shared" si="0"/>
        <v>0</v>
      </c>
      <c r="J20" s="64"/>
      <c r="K20" s="64"/>
      <c r="L20" s="64">
        <f t="shared" si="1"/>
        <v>0</v>
      </c>
      <c r="M20" s="64"/>
      <c r="N20" s="64">
        <f t="shared" si="2"/>
        <v>0</v>
      </c>
      <c r="O20" s="64"/>
      <c r="P20" s="64">
        <f t="shared" si="3"/>
        <v>0</v>
      </c>
      <c r="Q20" s="78"/>
    </row>
    <row r="21" spans="3:17" ht="20.45" customHeight="1" x14ac:dyDescent="0.15">
      <c r="D21" s="78"/>
      <c r="E21" s="49"/>
      <c r="F21" s="52"/>
      <c r="G21" s="64"/>
      <c r="H21" s="64"/>
      <c r="I21" s="64">
        <f t="shared" si="0"/>
        <v>0</v>
      </c>
      <c r="J21" s="64"/>
      <c r="K21" s="64"/>
      <c r="L21" s="64">
        <f t="shared" si="1"/>
        <v>0</v>
      </c>
      <c r="M21" s="64"/>
      <c r="N21" s="64">
        <f t="shared" si="2"/>
        <v>0</v>
      </c>
      <c r="O21" s="64"/>
      <c r="P21" s="64">
        <f t="shared" si="3"/>
        <v>0</v>
      </c>
      <c r="Q21" s="78"/>
    </row>
    <row r="22" spans="3:17" ht="20.45" customHeight="1" x14ac:dyDescent="0.15">
      <c r="D22" s="78"/>
      <c r="E22" s="49"/>
      <c r="F22" s="52"/>
      <c r="G22" s="64"/>
      <c r="H22" s="64"/>
      <c r="I22" s="64">
        <f t="shared" si="0"/>
        <v>0</v>
      </c>
      <c r="J22" s="64"/>
      <c r="K22" s="64"/>
      <c r="L22" s="64">
        <f t="shared" si="1"/>
        <v>0</v>
      </c>
      <c r="M22" s="64"/>
      <c r="N22" s="64">
        <f t="shared" si="2"/>
        <v>0</v>
      </c>
      <c r="O22" s="64"/>
      <c r="P22" s="64">
        <f t="shared" si="3"/>
        <v>0</v>
      </c>
      <c r="Q22" s="78"/>
    </row>
    <row r="23" spans="3:17" ht="20.45" customHeight="1" x14ac:dyDescent="0.15">
      <c r="D23" s="78"/>
      <c r="E23" s="49"/>
      <c r="F23" s="52"/>
      <c r="G23" s="64"/>
      <c r="H23" s="64"/>
      <c r="I23" s="64">
        <f t="shared" si="0"/>
        <v>0</v>
      </c>
      <c r="J23" s="64"/>
      <c r="K23" s="64"/>
      <c r="L23" s="64">
        <f t="shared" si="1"/>
        <v>0</v>
      </c>
      <c r="M23" s="64"/>
      <c r="N23" s="64">
        <f t="shared" si="2"/>
        <v>0</v>
      </c>
      <c r="O23" s="64"/>
      <c r="P23" s="64">
        <f t="shared" si="3"/>
        <v>0</v>
      </c>
      <c r="Q23" s="78"/>
    </row>
    <row r="24" spans="3:17" ht="20.45" customHeight="1" x14ac:dyDescent="0.15">
      <c r="D24" s="78"/>
      <c r="E24" s="49"/>
      <c r="F24" s="52"/>
      <c r="G24" s="64"/>
      <c r="H24" s="64"/>
      <c r="I24" s="64">
        <f t="shared" si="0"/>
        <v>0</v>
      </c>
      <c r="J24" s="64"/>
      <c r="K24" s="64"/>
      <c r="L24" s="64">
        <f t="shared" si="1"/>
        <v>0</v>
      </c>
      <c r="M24" s="64"/>
      <c r="N24" s="64">
        <f t="shared" si="2"/>
        <v>0</v>
      </c>
      <c r="O24" s="64"/>
      <c r="P24" s="64">
        <f t="shared" si="3"/>
        <v>0</v>
      </c>
      <c r="Q24" s="78"/>
    </row>
    <row r="25" spans="3:17" ht="20.45" customHeight="1" x14ac:dyDescent="0.15">
      <c r="D25" s="78"/>
      <c r="E25" s="49"/>
      <c r="F25" s="52"/>
      <c r="G25" s="64"/>
      <c r="H25" s="64"/>
      <c r="I25" s="64">
        <f t="shared" si="0"/>
        <v>0</v>
      </c>
      <c r="J25" s="64"/>
      <c r="K25" s="64"/>
      <c r="L25" s="64">
        <f t="shared" si="1"/>
        <v>0</v>
      </c>
      <c r="M25" s="64"/>
      <c r="N25" s="64">
        <f t="shared" si="2"/>
        <v>0</v>
      </c>
      <c r="O25" s="64"/>
      <c r="P25" s="64">
        <f t="shared" si="3"/>
        <v>0</v>
      </c>
      <c r="Q25" s="78"/>
    </row>
    <row r="26" spans="3:17" ht="20.45" customHeight="1" x14ac:dyDescent="0.15">
      <c r="D26" s="78"/>
      <c r="E26" s="49"/>
      <c r="F26" s="52"/>
      <c r="G26" s="64"/>
      <c r="H26" s="64"/>
      <c r="I26" s="64">
        <f t="shared" si="0"/>
        <v>0</v>
      </c>
      <c r="J26" s="64"/>
      <c r="K26" s="64"/>
      <c r="L26" s="64">
        <f t="shared" si="1"/>
        <v>0</v>
      </c>
      <c r="M26" s="64"/>
      <c r="N26" s="64">
        <f t="shared" si="2"/>
        <v>0</v>
      </c>
      <c r="O26" s="64"/>
      <c r="P26" s="64">
        <f t="shared" si="3"/>
        <v>0</v>
      </c>
      <c r="Q26" s="78"/>
    </row>
    <row r="27" spans="3:17" ht="20.45" customHeight="1" x14ac:dyDescent="0.15">
      <c r="D27" s="78"/>
      <c r="E27" s="49"/>
      <c r="F27" s="52"/>
      <c r="G27" s="64"/>
      <c r="H27" s="64"/>
      <c r="I27" s="64">
        <f t="shared" si="0"/>
        <v>0</v>
      </c>
      <c r="J27" s="64"/>
      <c r="K27" s="64"/>
      <c r="L27" s="64">
        <f t="shared" si="1"/>
        <v>0</v>
      </c>
      <c r="M27" s="64"/>
      <c r="N27" s="64">
        <f t="shared" si="2"/>
        <v>0</v>
      </c>
      <c r="O27" s="64"/>
      <c r="P27" s="64">
        <f t="shared" si="3"/>
        <v>0</v>
      </c>
      <c r="Q27" s="78"/>
    </row>
    <row r="28" spans="3:17" ht="20.45" customHeight="1" x14ac:dyDescent="0.15">
      <c r="D28" s="78"/>
      <c r="E28" s="49"/>
      <c r="F28" s="52"/>
      <c r="G28" s="64"/>
      <c r="H28" s="64"/>
      <c r="I28" s="64">
        <f t="shared" si="0"/>
        <v>0</v>
      </c>
      <c r="J28" s="64"/>
      <c r="K28" s="64"/>
      <c r="L28" s="64">
        <f t="shared" si="1"/>
        <v>0</v>
      </c>
      <c r="M28" s="64"/>
      <c r="N28" s="64">
        <f t="shared" si="2"/>
        <v>0</v>
      </c>
      <c r="O28" s="64"/>
      <c r="P28" s="64">
        <f t="shared" si="3"/>
        <v>0</v>
      </c>
      <c r="Q28" s="78"/>
    </row>
    <row r="29" spans="3:17" ht="20.45" customHeight="1" x14ac:dyDescent="0.15">
      <c r="C29" s="21" t="s">
        <v>631</v>
      </c>
      <c r="D29" s="78" t="s">
        <v>500</v>
      </c>
      <c r="E29" s="49"/>
      <c r="F29" s="52"/>
      <c r="G29" s="64"/>
      <c r="H29" s="64"/>
      <c r="I29" s="64">
        <f>TRUNC(SUM(I4:I28))</f>
        <v>27109991</v>
      </c>
      <c r="J29" s="64"/>
      <c r="K29" s="64"/>
      <c r="L29" s="64">
        <f>TRUNC(SUM(L4:L28))</f>
        <v>30633718</v>
      </c>
      <c r="M29" s="64"/>
      <c r="N29" s="64">
        <f>TRUNC(SUM(N4:N28))</f>
        <v>0</v>
      </c>
      <c r="O29" s="64"/>
      <c r="P29" s="64">
        <f>TRUNC(SUM(P4:P28))</f>
        <v>57743709</v>
      </c>
      <c r="Q29" s="78"/>
    </row>
  </sheetData>
  <mergeCells count="14">
    <mergeCell ref="D4:Q4"/>
    <mergeCell ref="J2:L2"/>
    <mergeCell ref="M2:N2"/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E108"/>
  <sheetViews>
    <sheetView view="pageBreakPreview" topLeftCell="D1" zoomScale="85" zoomScaleNormal="100" zoomScaleSheetLayoutView="85" workbookViewId="0">
      <pane ySplit="3" topLeftCell="A7" activePane="bottomLeft" state="frozen"/>
      <selection activeCell="D1" sqref="D1"/>
      <selection pane="bottomLeft" activeCell="D2" sqref="D2:D3"/>
    </sheetView>
  </sheetViews>
  <sheetFormatPr defaultRowHeight="23.1" customHeight="1" x14ac:dyDescent="0.15"/>
  <cols>
    <col min="1" max="1" width="12.109375" style="21" hidden="1" customWidth="1"/>
    <col min="2" max="2" width="17.44140625" style="21" hidden="1" customWidth="1"/>
    <col min="3" max="3" width="20.6640625" style="21" hidden="1" customWidth="1"/>
    <col min="4" max="4" width="24.33203125" style="21" customWidth="1"/>
    <col min="5" max="5" width="25.33203125" style="21" customWidth="1"/>
    <col min="6" max="6" width="4.21875" style="51" customWidth="1"/>
    <col min="7" max="7" width="10" style="47" customWidth="1"/>
    <col min="8" max="8" width="13" style="63" customWidth="1"/>
    <col min="9" max="9" width="13.21875" style="63" customWidth="1"/>
    <col min="10" max="10" width="5.5546875" style="63" hidden="1" customWidth="1"/>
    <col min="11" max="11" width="10.44140625" style="63" customWidth="1"/>
    <col min="12" max="12" width="11.77734375" style="63" customWidth="1"/>
    <col min="13" max="13" width="8.44140625" style="63" customWidth="1"/>
    <col min="14" max="14" width="9.109375" style="63" customWidth="1"/>
    <col min="15" max="15" width="6" style="63" hidden="1" customWidth="1"/>
    <col min="16" max="16" width="13" style="63" customWidth="1"/>
    <col min="17" max="17" width="11.109375" style="21" customWidth="1"/>
    <col min="18" max="26" width="8.88671875" style="2"/>
    <col min="27" max="31" width="11.77734375" style="63" customWidth="1"/>
    <col min="32" max="16384" width="8.88671875" style="2"/>
  </cols>
  <sheetData>
    <row r="1" spans="1:31" ht="23.1" customHeight="1" x14ac:dyDescent="0.15">
      <c r="A1" s="21" t="s">
        <v>473</v>
      </c>
      <c r="B1" s="21" t="s">
        <v>476</v>
      </c>
      <c r="C1" s="21" t="s">
        <v>629</v>
      </c>
      <c r="D1" s="278" t="s">
        <v>1136</v>
      </c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W1" s="277" t="s">
        <v>91</v>
      </c>
      <c r="X1" s="277"/>
      <c r="Y1" s="277"/>
      <c r="Z1" s="96"/>
      <c r="AA1" s="96" t="s">
        <v>96</v>
      </c>
      <c r="AB1" s="96"/>
      <c r="AC1" s="96"/>
      <c r="AD1" s="96"/>
      <c r="AE1" s="96"/>
    </row>
    <row r="2" spans="1:31" s="17" customFormat="1" ht="23.1" customHeight="1" x14ac:dyDescent="0.15">
      <c r="A2" s="270" t="s">
        <v>79</v>
      </c>
      <c r="B2" s="270" t="s">
        <v>29</v>
      </c>
      <c r="C2" s="273" t="s">
        <v>25</v>
      </c>
      <c r="D2" s="271" t="s">
        <v>85</v>
      </c>
      <c r="E2" s="271" t="s">
        <v>86</v>
      </c>
      <c r="F2" s="274" t="s">
        <v>1</v>
      </c>
      <c r="G2" s="274" t="s">
        <v>2</v>
      </c>
      <c r="H2" s="267" t="s">
        <v>32</v>
      </c>
      <c r="I2" s="267"/>
      <c r="J2" s="267" t="s">
        <v>33</v>
      </c>
      <c r="K2" s="267"/>
      <c r="L2" s="267"/>
      <c r="M2" s="267" t="s">
        <v>34</v>
      </c>
      <c r="N2" s="267"/>
      <c r="O2" s="92"/>
      <c r="P2" s="267" t="s">
        <v>47</v>
      </c>
      <c r="Q2" s="271" t="s">
        <v>38</v>
      </c>
      <c r="W2" s="17" t="s">
        <v>92</v>
      </c>
      <c r="X2" s="17" t="s">
        <v>93</v>
      </c>
      <c r="Y2" s="17" t="s">
        <v>94</v>
      </c>
      <c r="Z2" s="17" t="s">
        <v>95</v>
      </c>
      <c r="AA2" s="66" t="s">
        <v>158</v>
      </c>
      <c r="AB2" s="66" t="s">
        <v>157</v>
      </c>
      <c r="AC2" s="66" t="s">
        <v>97</v>
      </c>
      <c r="AD2" s="66" t="s">
        <v>99</v>
      </c>
      <c r="AE2" s="66" t="s">
        <v>98</v>
      </c>
    </row>
    <row r="3" spans="1:31" s="17" customFormat="1" ht="23.1" customHeight="1" x14ac:dyDescent="0.15">
      <c r="A3" s="270"/>
      <c r="B3" s="270"/>
      <c r="C3" s="273"/>
      <c r="D3" s="272"/>
      <c r="E3" s="272"/>
      <c r="F3" s="275"/>
      <c r="G3" s="275"/>
      <c r="H3" s="102" t="s">
        <v>48</v>
      </c>
      <c r="I3" s="102" t="s">
        <v>49</v>
      </c>
      <c r="J3" s="102" t="s">
        <v>2</v>
      </c>
      <c r="K3" s="102" t="s">
        <v>48</v>
      </c>
      <c r="L3" s="102" t="s">
        <v>49</v>
      </c>
      <c r="M3" s="102" t="s">
        <v>50</v>
      </c>
      <c r="N3" s="102" t="s">
        <v>49</v>
      </c>
      <c r="O3" s="102" t="s">
        <v>51</v>
      </c>
      <c r="P3" s="276"/>
      <c r="Q3" s="272"/>
      <c r="W3" s="2"/>
      <c r="X3" s="2"/>
      <c r="Y3" s="2"/>
      <c r="Z3" s="2"/>
      <c r="AA3" s="63"/>
      <c r="AB3" s="63"/>
      <c r="AC3" s="63"/>
      <c r="AD3" s="63">
        <f>IF(옵션!$C$11 =0, "1", 옵션!$C$11)</f>
        <v>1</v>
      </c>
      <c r="AE3" s="63">
        <f>IF(옵션!$C$12 =0, "1", 옵션!$C$12)</f>
        <v>1</v>
      </c>
    </row>
    <row r="4" spans="1:31" ht="23.1" customHeight="1" x14ac:dyDescent="0.15">
      <c r="B4" s="21" t="s">
        <v>477</v>
      </c>
      <c r="D4" s="264" t="s">
        <v>168</v>
      </c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6"/>
    </row>
    <row r="5" spans="1:31" ht="23.1" customHeight="1" x14ac:dyDescent="0.15">
      <c r="A5" s="21" t="s">
        <v>525</v>
      </c>
      <c r="B5" s="21" t="s">
        <v>501</v>
      </c>
      <c r="C5" s="21" t="s">
        <v>169</v>
      </c>
      <c r="D5" s="78" t="s">
        <v>170</v>
      </c>
      <c r="E5" s="78" t="s">
        <v>171</v>
      </c>
      <c r="F5" s="52" t="s">
        <v>172</v>
      </c>
      <c r="G5" s="49">
        <v>25</v>
      </c>
      <c r="H5" s="64">
        <f>합산자재!H4</f>
        <v>5134</v>
      </c>
      <c r="I5" s="94">
        <f t="shared" ref="I5:I36" si="0">TRUNC(G5*H5)</f>
        <v>128350</v>
      </c>
      <c r="J5" s="64">
        <v>22</v>
      </c>
      <c r="K5" s="64">
        <f>합산자재!I4</f>
        <v>0</v>
      </c>
      <c r="L5" s="94">
        <f t="shared" ref="L5:L36" si="1">TRUNC(G5*K5)</f>
        <v>0</v>
      </c>
      <c r="M5" s="64">
        <f>합산자재!J4</f>
        <v>0</v>
      </c>
      <c r="N5" s="94">
        <f t="shared" ref="N5:N36" si="2">TRUNC(G5*M5)</f>
        <v>0</v>
      </c>
      <c r="O5" s="64"/>
      <c r="P5" s="64">
        <f t="shared" ref="P5:P36" si="3">SUM(I5,L5,N5)</f>
        <v>128350</v>
      </c>
      <c r="Q5" s="78"/>
      <c r="AB5" s="63">
        <f>G5*H5</f>
        <v>128350</v>
      </c>
      <c r="AC5" s="63">
        <f>G5*H5</f>
        <v>128350</v>
      </c>
    </row>
    <row r="6" spans="1:31" ht="23.1" customHeight="1" x14ac:dyDescent="0.15">
      <c r="A6" s="21" t="s">
        <v>526</v>
      </c>
      <c r="B6" s="21" t="s">
        <v>501</v>
      </c>
      <c r="C6" s="21" t="s">
        <v>175</v>
      </c>
      <c r="D6" s="78" t="s">
        <v>176</v>
      </c>
      <c r="E6" s="78" t="s">
        <v>177</v>
      </c>
      <c r="F6" s="52" t="s">
        <v>172</v>
      </c>
      <c r="G6" s="49">
        <v>14</v>
      </c>
      <c r="H6" s="64">
        <f>합산자재!H5</f>
        <v>170</v>
      </c>
      <c r="I6" s="64">
        <f t="shared" si="0"/>
        <v>2380</v>
      </c>
      <c r="J6" s="64">
        <v>12</v>
      </c>
      <c r="K6" s="64">
        <f>합산자재!I5</f>
        <v>0</v>
      </c>
      <c r="L6" s="64">
        <f t="shared" si="1"/>
        <v>0</v>
      </c>
      <c r="M6" s="64">
        <f>합산자재!J5</f>
        <v>0</v>
      </c>
      <c r="N6" s="64">
        <f t="shared" si="2"/>
        <v>0</v>
      </c>
      <c r="O6" s="64"/>
      <c r="P6" s="64">
        <f t="shared" si="3"/>
        <v>2380</v>
      </c>
      <c r="Q6" s="78"/>
      <c r="AA6" s="63">
        <f>G6*H6</f>
        <v>2380</v>
      </c>
      <c r="AC6" s="63">
        <f>G6*H6</f>
        <v>2380</v>
      </c>
    </row>
    <row r="7" spans="1:31" ht="23.1" customHeight="1" x14ac:dyDescent="0.15">
      <c r="A7" s="21" t="s">
        <v>527</v>
      </c>
      <c r="B7" s="21" t="s">
        <v>501</v>
      </c>
      <c r="C7" s="21" t="s">
        <v>180</v>
      </c>
      <c r="D7" s="78" t="s">
        <v>181</v>
      </c>
      <c r="E7" s="78" t="s">
        <v>182</v>
      </c>
      <c r="F7" s="52" t="s">
        <v>172</v>
      </c>
      <c r="G7" s="49">
        <v>11</v>
      </c>
      <c r="H7" s="64">
        <f>합산자재!H6</f>
        <v>522</v>
      </c>
      <c r="I7" s="64">
        <f t="shared" si="0"/>
        <v>5742</v>
      </c>
      <c r="J7" s="64">
        <v>10</v>
      </c>
      <c r="K7" s="64">
        <f>합산자재!I6</f>
        <v>0</v>
      </c>
      <c r="L7" s="64">
        <f t="shared" si="1"/>
        <v>0</v>
      </c>
      <c r="M7" s="64">
        <f>합산자재!J6</f>
        <v>0</v>
      </c>
      <c r="N7" s="64">
        <f t="shared" si="2"/>
        <v>0</v>
      </c>
      <c r="O7" s="64"/>
      <c r="P7" s="64">
        <f t="shared" si="3"/>
        <v>5742</v>
      </c>
      <c r="Q7" s="78"/>
      <c r="AB7" s="63">
        <f>G7*H7</f>
        <v>5742</v>
      </c>
      <c r="AC7" s="63">
        <f>G7*H7</f>
        <v>5742</v>
      </c>
    </row>
    <row r="8" spans="1:31" ht="23.1" customHeight="1" x14ac:dyDescent="0.15">
      <c r="A8" s="21" t="s">
        <v>528</v>
      </c>
      <c r="B8" s="21" t="s">
        <v>501</v>
      </c>
      <c r="C8" s="21" t="s">
        <v>529</v>
      </c>
      <c r="D8" s="78" t="s">
        <v>530</v>
      </c>
      <c r="E8" s="78" t="s">
        <v>531</v>
      </c>
      <c r="F8" s="52" t="s">
        <v>486</v>
      </c>
      <c r="G8" s="49">
        <v>1</v>
      </c>
      <c r="H8" s="64">
        <f>TRUNC(AA8*옵션!$B$32/100)</f>
        <v>952</v>
      </c>
      <c r="I8" s="64">
        <f t="shared" si="0"/>
        <v>952</v>
      </c>
      <c r="J8" s="64">
        <v>1</v>
      </c>
      <c r="K8" s="64"/>
      <c r="L8" s="64">
        <f t="shared" si="1"/>
        <v>0</v>
      </c>
      <c r="M8" s="64"/>
      <c r="N8" s="64">
        <f t="shared" si="2"/>
        <v>0</v>
      </c>
      <c r="O8" s="64"/>
      <c r="P8" s="64">
        <f t="shared" si="3"/>
        <v>952</v>
      </c>
      <c r="Q8" s="78"/>
      <c r="AA8" s="63">
        <f>TRUNC(SUM(AA4:AA7))</f>
        <v>2380</v>
      </c>
    </row>
    <row r="9" spans="1:31" ht="23.1" customHeight="1" x14ac:dyDescent="0.15">
      <c r="A9" s="21" t="s">
        <v>532</v>
      </c>
      <c r="B9" s="21" t="s">
        <v>501</v>
      </c>
      <c r="C9" s="21" t="s">
        <v>533</v>
      </c>
      <c r="D9" s="78" t="s">
        <v>530</v>
      </c>
      <c r="E9" s="78" t="s">
        <v>534</v>
      </c>
      <c r="F9" s="52" t="s">
        <v>486</v>
      </c>
      <c r="G9" s="49">
        <v>1</v>
      </c>
      <c r="H9" s="64">
        <f>TRUNC(AB9*옵션!$B$31/100)</f>
        <v>20113</v>
      </c>
      <c r="I9" s="64">
        <f t="shared" si="0"/>
        <v>20113</v>
      </c>
      <c r="J9" s="64">
        <v>1</v>
      </c>
      <c r="K9" s="64"/>
      <c r="L9" s="64">
        <f t="shared" si="1"/>
        <v>0</v>
      </c>
      <c r="M9" s="64"/>
      <c r="N9" s="64">
        <f t="shared" si="2"/>
        <v>0</v>
      </c>
      <c r="O9" s="64"/>
      <c r="P9" s="64">
        <f t="shared" si="3"/>
        <v>20113</v>
      </c>
      <c r="Q9" s="78"/>
      <c r="AB9" s="63">
        <f>TRUNC(SUM(AB4:AB8))</f>
        <v>134092</v>
      </c>
    </row>
    <row r="10" spans="1:31" ht="23.1" customHeight="1" x14ac:dyDescent="0.15">
      <c r="A10" s="21" t="s">
        <v>535</v>
      </c>
      <c r="B10" s="21" t="s">
        <v>501</v>
      </c>
      <c r="C10" s="21" t="s">
        <v>183</v>
      </c>
      <c r="D10" s="78" t="s">
        <v>184</v>
      </c>
      <c r="E10" s="78" t="s">
        <v>185</v>
      </c>
      <c r="F10" s="52" t="s">
        <v>172</v>
      </c>
      <c r="G10" s="49">
        <v>73</v>
      </c>
      <c r="H10" s="64">
        <f>합산자재!H7</f>
        <v>1151</v>
      </c>
      <c r="I10" s="64">
        <f t="shared" si="0"/>
        <v>84023</v>
      </c>
      <c r="J10" s="64">
        <v>66</v>
      </c>
      <c r="K10" s="64">
        <f>합산자재!I7</f>
        <v>0</v>
      </c>
      <c r="L10" s="64">
        <f t="shared" si="1"/>
        <v>0</v>
      </c>
      <c r="M10" s="64">
        <f>합산자재!J7</f>
        <v>0</v>
      </c>
      <c r="N10" s="64">
        <f t="shared" si="2"/>
        <v>0</v>
      </c>
      <c r="O10" s="64"/>
      <c r="P10" s="64">
        <f t="shared" si="3"/>
        <v>84023</v>
      </c>
      <c r="Q10" s="78"/>
      <c r="AC10" s="63">
        <f>G10*H10</f>
        <v>84023</v>
      </c>
    </row>
    <row r="11" spans="1:31" ht="23.1" customHeight="1" x14ac:dyDescent="0.15">
      <c r="A11" s="21" t="s">
        <v>536</v>
      </c>
      <c r="B11" s="21" t="s">
        <v>501</v>
      </c>
      <c r="C11" s="21" t="s">
        <v>186</v>
      </c>
      <c r="D11" s="78" t="s">
        <v>184</v>
      </c>
      <c r="E11" s="78" t="s">
        <v>187</v>
      </c>
      <c r="F11" s="52" t="s">
        <v>172</v>
      </c>
      <c r="G11" s="49">
        <v>19</v>
      </c>
      <c r="H11" s="64">
        <f>합산자재!H8</f>
        <v>1914</v>
      </c>
      <c r="I11" s="64">
        <f t="shared" si="0"/>
        <v>36366</v>
      </c>
      <c r="J11" s="64">
        <v>17</v>
      </c>
      <c r="K11" s="64">
        <f>합산자재!I8</f>
        <v>0</v>
      </c>
      <c r="L11" s="64">
        <f t="shared" si="1"/>
        <v>0</v>
      </c>
      <c r="M11" s="64">
        <f>합산자재!J8</f>
        <v>0</v>
      </c>
      <c r="N11" s="64">
        <f t="shared" si="2"/>
        <v>0</v>
      </c>
      <c r="O11" s="64"/>
      <c r="P11" s="64">
        <f t="shared" si="3"/>
        <v>36366</v>
      </c>
      <c r="Q11" s="78"/>
      <c r="AC11" s="63">
        <f>G11*H11</f>
        <v>36366</v>
      </c>
    </row>
    <row r="12" spans="1:31" ht="23.1" customHeight="1" x14ac:dyDescent="0.15">
      <c r="A12" s="21" t="s">
        <v>537</v>
      </c>
      <c r="B12" s="21" t="s">
        <v>501</v>
      </c>
      <c r="C12" s="21" t="s">
        <v>188</v>
      </c>
      <c r="D12" s="78" t="s">
        <v>184</v>
      </c>
      <c r="E12" s="78" t="s">
        <v>189</v>
      </c>
      <c r="F12" s="52" t="s">
        <v>190</v>
      </c>
      <c r="G12" s="49">
        <v>26</v>
      </c>
      <c r="H12" s="64">
        <f>합산자재!H9</f>
        <v>407</v>
      </c>
      <c r="I12" s="64">
        <f t="shared" si="0"/>
        <v>10582</v>
      </c>
      <c r="J12" s="64">
        <v>26</v>
      </c>
      <c r="K12" s="64">
        <f>합산자재!I9</f>
        <v>0</v>
      </c>
      <c r="L12" s="64">
        <f t="shared" si="1"/>
        <v>0</v>
      </c>
      <c r="M12" s="64">
        <f>합산자재!J9</f>
        <v>0</v>
      </c>
      <c r="N12" s="64">
        <f t="shared" si="2"/>
        <v>0</v>
      </c>
      <c r="O12" s="64"/>
      <c r="P12" s="64">
        <f t="shared" si="3"/>
        <v>10582</v>
      </c>
      <c r="Q12" s="78"/>
    </row>
    <row r="13" spans="1:31" ht="23.1" customHeight="1" x14ac:dyDescent="0.15">
      <c r="A13" s="21" t="s">
        <v>538</v>
      </c>
      <c r="B13" s="21" t="s">
        <v>501</v>
      </c>
      <c r="C13" s="21" t="s">
        <v>192</v>
      </c>
      <c r="D13" s="78" t="s">
        <v>902</v>
      </c>
      <c r="E13" s="78" t="s">
        <v>903</v>
      </c>
      <c r="F13" s="52" t="s">
        <v>190</v>
      </c>
      <c r="G13" s="49">
        <v>5</v>
      </c>
      <c r="H13" s="64">
        <f>합산자재!H10</f>
        <v>3739</v>
      </c>
      <c r="I13" s="64">
        <f t="shared" si="0"/>
        <v>18695</v>
      </c>
      <c r="J13" s="64">
        <v>5</v>
      </c>
      <c r="K13" s="64">
        <f>합산자재!I10</f>
        <v>0</v>
      </c>
      <c r="L13" s="64">
        <f t="shared" si="1"/>
        <v>0</v>
      </c>
      <c r="M13" s="64">
        <f>합산자재!J10</f>
        <v>0</v>
      </c>
      <c r="N13" s="64">
        <f t="shared" si="2"/>
        <v>0</v>
      </c>
      <c r="O13" s="64"/>
      <c r="P13" s="64">
        <f t="shared" si="3"/>
        <v>18695</v>
      </c>
      <c r="Q13" s="78"/>
    </row>
    <row r="14" spans="1:31" ht="23.1" customHeight="1" x14ac:dyDescent="0.15">
      <c r="A14" s="21" t="s">
        <v>539</v>
      </c>
      <c r="B14" s="21" t="s">
        <v>501</v>
      </c>
      <c r="C14" s="21" t="s">
        <v>195</v>
      </c>
      <c r="D14" s="78" t="s">
        <v>196</v>
      </c>
      <c r="E14" s="78" t="s">
        <v>197</v>
      </c>
      <c r="F14" s="52" t="s">
        <v>190</v>
      </c>
      <c r="G14" s="49">
        <v>12</v>
      </c>
      <c r="H14" s="64">
        <f>합산자재!H11</f>
        <v>638</v>
      </c>
      <c r="I14" s="64">
        <f t="shared" si="0"/>
        <v>7656</v>
      </c>
      <c r="J14" s="64">
        <v>12</v>
      </c>
      <c r="K14" s="64">
        <f>합산자재!I11</f>
        <v>0</v>
      </c>
      <c r="L14" s="64">
        <f t="shared" si="1"/>
        <v>0</v>
      </c>
      <c r="M14" s="64">
        <f>합산자재!J11</f>
        <v>0</v>
      </c>
      <c r="N14" s="64">
        <f t="shared" si="2"/>
        <v>0</v>
      </c>
      <c r="O14" s="64"/>
      <c r="P14" s="64">
        <f t="shared" si="3"/>
        <v>7656</v>
      </c>
      <c r="Q14" s="78"/>
    </row>
    <row r="15" spans="1:31" ht="23.1" customHeight="1" x14ac:dyDescent="0.15">
      <c r="A15" s="21" t="s">
        <v>540</v>
      </c>
      <c r="B15" s="21" t="s">
        <v>501</v>
      </c>
      <c r="C15" s="21" t="s">
        <v>200</v>
      </c>
      <c r="D15" s="78" t="s">
        <v>196</v>
      </c>
      <c r="E15" s="78" t="s">
        <v>201</v>
      </c>
      <c r="F15" s="52" t="s">
        <v>190</v>
      </c>
      <c r="G15" s="49">
        <v>8</v>
      </c>
      <c r="H15" s="64">
        <f>합산자재!H12</f>
        <v>973</v>
      </c>
      <c r="I15" s="64">
        <f t="shared" si="0"/>
        <v>7784</v>
      </c>
      <c r="J15" s="64">
        <v>8</v>
      </c>
      <c r="K15" s="64">
        <f>합산자재!I12</f>
        <v>0</v>
      </c>
      <c r="L15" s="64">
        <f t="shared" si="1"/>
        <v>0</v>
      </c>
      <c r="M15" s="64">
        <f>합산자재!J12</f>
        <v>0</v>
      </c>
      <c r="N15" s="64">
        <f t="shared" si="2"/>
        <v>0</v>
      </c>
      <c r="O15" s="64"/>
      <c r="P15" s="64">
        <f t="shared" si="3"/>
        <v>7784</v>
      </c>
      <c r="Q15" s="78"/>
    </row>
    <row r="16" spans="1:31" ht="23.1" customHeight="1" x14ac:dyDescent="0.15">
      <c r="A16" s="21" t="s">
        <v>541</v>
      </c>
      <c r="B16" s="21" t="s">
        <v>501</v>
      </c>
      <c r="C16" s="21" t="s">
        <v>202</v>
      </c>
      <c r="D16" s="78" t="s">
        <v>203</v>
      </c>
      <c r="E16" s="78" t="s">
        <v>204</v>
      </c>
      <c r="F16" s="52" t="s">
        <v>190</v>
      </c>
      <c r="G16" s="49">
        <v>12</v>
      </c>
      <c r="H16" s="64">
        <f>합산자재!H13</f>
        <v>343</v>
      </c>
      <c r="I16" s="64">
        <f t="shared" si="0"/>
        <v>4116</v>
      </c>
      <c r="J16" s="64">
        <v>12</v>
      </c>
      <c r="K16" s="64">
        <f>합산자재!I13</f>
        <v>0</v>
      </c>
      <c r="L16" s="64">
        <f t="shared" si="1"/>
        <v>0</v>
      </c>
      <c r="M16" s="64">
        <f>합산자재!J13</f>
        <v>0</v>
      </c>
      <c r="N16" s="64">
        <f t="shared" si="2"/>
        <v>0</v>
      </c>
      <c r="O16" s="64"/>
      <c r="P16" s="64">
        <f t="shared" si="3"/>
        <v>4116</v>
      </c>
      <c r="Q16" s="78"/>
    </row>
    <row r="17" spans="1:29" ht="23.1" customHeight="1" x14ac:dyDescent="0.15">
      <c r="A17" s="21" t="s">
        <v>542</v>
      </c>
      <c r="B17" s="21" t="s">
        <v>501</v>
      </c>
      <c r="C17" s="21" t="s">
        <v>205</v>
      </c>
      <c r="D17" s="78" t="s">
        <v>203</v>
      </c>
      <c r="E17" s="78" t="s">
        <v>206</v>
      </c>
      <c r="F17" s="52" t="s">
        <v>190</v>
      </c>
      <c r="G17" s="49">
        <v>8</v>
      </c>
      <c r="H17" s="64">
        <f>합산자재!H14</f>
        <v>343</v>
      </c>
      <c r="I17" s="64">
        <f t="shared" si="0"/>
        <v>2744</v>
      </c>
      <c r="J17" s="64">
        <v>8</v>
      </c>
      <c r="K17" s="64">
        <f>합산자재!I14</f>
        <v>0</v>
      </c>
      <c r="L17" s="64">
        <f t="shared" si="1"/>
        <v>0</v>
      </c>
      <c r="M17" s="64">
        <f>합산자재!J14</f>
        <v>0</v>
      </c>
      <c r="N17" s="64">
        <f t="shared" si="2"/>
        <v>0</v>
      </c>
      <c r="O17" s="64"/>
      <c r="P17" s="64">
        <f t="shared" si="3"/>
        <v>2744</v>
      </c>
      <c r="Q17" s="78"/>
    </row>
    <row r="18" spans="1:29" ht="23.1" customHeight="1" x14ac:dyDescent="0.15">
      <c r="A18" s="21" t="s">
        <v>543</v>
      </c>
      <c r="B18" s="21" t="s">
        <v>501</v>
      </c>
      <c r="C18" s="21" t="s">
        <v>207</v>
      </c>
      <c r="D18" s="78" t="s">
        <v>208</v>
      </c>
      <c r="E18" s="78" t="s">
        <v>209</v>
      </c>
      <c r="F18" s="52" t="s">
        <v>190</v>
      </c>
      <c r="G18" s="49">
        <v>5</v>
      </c>
      <c r="H18" s="64">
        <f>합산자재!H15</f>
        <v>2577</v>
      </c>
      <c r="I18" s="64">
        <f t="shared" si="0"/>
        <v>12885</v>
      </c>
      <c r="J18" s="64">
        <v>5</v>
      </c>
      <c r="K18" s="64">
        <f>합산자재!I15</f>
        <v>0</v>
      </c>
      <c r="L18" s="64">
        <f t="shared" si="1"/>
        <v>0</v>
      </c>
      <c r="M18" s="64">
        <f>합산자재!J15</f>
        <v>0</v>
      </c>
      <c r="N18" s="64">
        <f t="shared" si="2"/>
        <v>0</v>
      </c>
      <c r="O18" s="64"/>
      <c r="P18" s="64">
        <f t="shared" si="3"/>
        <v>12885</v>
      </c>
      <c r="Q18" s="78"/>
    </row>
    <row r="19" spans="1:29" ht="23.1" customHeight="1" x14ac:dyDescent="0.15">
      <c r="A19" s="21" t="s">
        <v>544</v>
      </c>
      <c r="B19" s="21" t="s">
        <v>501</v>
      </c>
      <c r="C19" s="21" t="s">
        <v>212</v>
      </c>
      <c r="D19" s="78" t="s">
        <v>213</v>
      </c>
      <c r="E19" s="78" t="s">
        <v>214</v>
      </c>
      <c r="F19" s="52" t="s">
        <v>190</v>
      </c>
      <c r="G19" s="49">
        <v>3</v>
      </c>
      <c r="H19" s="64">
        <f>합산자재!H16</f>
        <v>2856</v>
      </c>
      <c r="I19" s="64">
        <f t="shared" si="0"/>
        <v>8568</v>
      </c>
      <c r="J19" s="64">
        <v>3</v>
      </c>
      <c r="K19" s="64">
        <f>합산자재!I16</f>
        <v>0</v>
      </c>
      <c r="L19" s="64">
        <f t="shared" si="1"/>
        <v>0</v>
      </c>
      <c r="M19" s="64">
        <f>합산자재!J16</f>
        <v>0</v>
      </c>
      <c r="N19" s="64">
        <f t="shared" si="2"/>
        <v>0</v>
      </c>
      <c r="O19" s="64"/>
      <c r="P19" s="64">
        <f t="shared" si="3"/>
        <v>8568</v>
      </c>
      <c r="Q19" s="78"/>
    </row>
    <row r="20" spans="1:29" ht="23.1" customHeight="1" x14ac:dyDescent="0.15">
      <c r="A20" s="21" t="s">
        <v>545</v>
      </c>
      <c r="B20" s="21" t="s">
        <v>501</v>
      </c>
      <c r="C20" s="21" t="s">
        <v>222</v>
      </c>
      <c r="D20" s="78" t="s">
        <v>223</v>
      </c>
      <c r="E20" s="78" t="s">
        <v>224</v>
      </c>
      <c r="F20" s="52" t="s">
        <v>172</v>
      </c>
      <c r="G20" s="49">
        <v>6</v>
      </c>
      <c r="H20" s="64">
        <f>합산자재!H20</f>
        <v>40000</v>
      </c>
      <c r="I20" s="64">
        <f t="shared" si="0"/>
        <v>240000</v>
      </c>
      <c r="J20" s="64">
        <v>6</v>
      </c>
      <c r="K20" s="64">
        <f>합산자재!I20</f>
        <v>0</v>
      </c>
      <c r="L20" s="64">
        <f t="shared" si="1"/>
        <v>0</v>
      </c>
      <c r="M20" s="64">
        <f>합산자재!J20</f>
        <v>0</v>
      </c>
      <c r="N20" s="64">
        <f t="shared" si="2"/>
        <v>0</v>
      </c>
      <c r="O20" s="64"/>
      <c r="P20" s="64">
        <f t="shared" si="3"/>
        <v>240000</v>
      </c>
      <c r="Q20" s="78"/>
      <c r="AC20" s="63">
        <f>G20*H20</f>
        <v>240000</v>
      </c>
    </row>
    <row r="21" spans="1:29" ht="23.1" customHeight="1" x14ac:dyDescent="0.15">
      <c r="A21" s="21" t="s">
        <v>546</v>
      </c>
      <c r="B21" s="21" t="s">
        <v>501</v>
      </c>
      <c r="C21" s="21" t="s">
        <v>226</v>
      </c>
      <c r="D21" s="78" t="s">
        <v>227</v>
      </c>
      <c r="E21" s="78" t="s">
        <v>224</v>
      </c>
      <c r="F21" s="52" t="s">
        <v>172</v>
      </c>
      <c r="G21" s="49">
        <v>6</v>
      </c>
      <c r="H21" s="64">
        <f>합산자재!H21</f>
        <v>5000</v>
      </c>
      <c r="I21" s="64">
        <f t="shared" si="0"/>
        <v>30000</v>
      </c>
      <c r="J21" s="64">
        <v>6</v>
      </c>
      <c r="K21" s="64">
        <f>합산자재!I21</f>
        <v>0</v>
      </c>
      <c r="L21" s="64">
        <f t="shared" si="1"/>
        <v>0</v>
      </c>
      <c r="M21" s="64">
        <f>합산자재!J21</f>
        <v>0</v>
      </c>
      <c r="N21" s="64">
        <f t="shared" si="2"/>
        <v>0</v>
      </c>
      <c r="O21" s="64"/>
      <c r="P21" s="64">
        <f t="shared" si="3"/>
        <v>30000</v>
      </c>
      <c r="Q21" s="78"/>
      <c r="AC21" s="63">
        <f>G21*H21</f>
        <v>30000</v>
      </c>
    </row>
    <row r="22" spans="1:29" ht="23.1" customHeight="1" x14ac:dyDescent="0.15">
      <c r="A22" s="21" t="s">
        <v>547</v>
      </c>
      <c r="B22" s="21" t="s">
        <v>501</v>
      </c>
      <c r="C22" s="21" t="s">
        <v>228</v>
      </c>
      <c r="D22" s="78" t="s">
        <v>229</v>
      </c>
      <c r="E22" s="78" t="s">
        <v>224</v>
      </c>
      <c r="F22" s="52" t="s">
        <v>190</v>
      </c>
      <c r="G22" s="49">
        <v>5</v>
      </c>
      <c r="H22" s="64">
        <f>합산자재!H22</f>
        <v>5000</v>
      </c>
      <c r="I22" s="64">
        <f t="shared" si="0"/>
        <v>25000</v>
      </c>
      <c r="J22" s="64">
        <v>5</v>
      </c>
      <c r="K22" s="64">
        <f>합산자재!I22</f>
        <v>0</v>
      </c>
      <c r="L22" s="64">
        <f t="shared" si="1"/>
        <v>0</v>
      </c>
      <c r="M22" s="64">
        <f>합산자재!J22</f>
        <v>0</v>
      </c>
      <c r="N22" s="64">
        <f t="shared" si="2"/>
        <v>0</v>
      </c>
      <c r="O22" s="64"/>
      <c r="P22" s="64">
        <f t="shared" si="3"/>
        <v>25000</v>
      </c>
      <c r="Q22" s="78"/>
    </row>
    <row r="23" spans="1:29" ht="23.1" customHeight="1" x14ac:dyDescent="0.15">
      <c r="A23" s="21" t="s">
        <v>548</v>
      </c>
      <c r="B23" s="21" t="s">
        <v>501</v>
      </c>
      <c r="C23" s="21" t="s">
        <v>230</v>
      </c>
      <c r="D23" s="78" t="s">
        <v>231</v>
      </c>
      <c r="E23" s="78" t="s">
        <v>232</v>
      </c>
      <c r="F23" s="52" t="s">
        <v>172</v>
      </c>
      <c r="G23" s="49">
        <v>14</v>
      </c>
      <c r="H23" s="64">
        <f>합산자재!H23</f>
        <v>3000</v>
      </c>
      <c r="I23" s="64">
        <f t="shared" si="0"/>
        <v>42000</v>
      </c>
      <c r="J23" s="64">
        <v>14</v>
      </c>
      <c r="K23" s="64">
        <f>합산자재!I23</f>
        <v>0</v>
      </c>
      <c r="L23" s="64">
        <f t="shared" si="1"/>
        <v>0</v>
      </c>
      <c r="M23" s="64">
        <f>합산자재!J23</f>
        <v>0</v>
      </c>
      <c r="N23" s="64">
        <f t="shared" si="2"/>
        <v>0</v>
      </c>
      <c r="O23" s="64"/>
      <c r="P23" s="64">
        <f t="shared" si="3"/>
        <v>42000</v>
      </c>
      <c r="Q23" s="78"/>
    </row>
    <row r="24" spans="1:29" ht="23.1" customHeight="1" x14ac:dyDescent="0.15">
      <c r="A24" s="21" t="s">
        <v>549</v>
      </c>
      <c r="B24" s="21" t="s">
        <v>501</v>
      </c>
      <c r="C24" s="21" t="s">
        <v>235</v>
      </c>
      <c r="D24" s="78" t="s">
        <v>236</v>
      </c>
      <c r="E24" s="78" t="s">
        <v>237</v>
      </c>
      <c r="F24" s="52" t="s">
        <v>238</v>
      </c>
      <c r="G24" s="49">
        <v>60</v>
      </c>
      <c r="H24" s="64">
        <f>합산자재!H24</f>
        <v>90</v>
      </c>
      <c r="I24" s="64">
        <f t="shared" si="0"/>
        <v>5400</v>
      </c>
      <c r="J24" s="64">
        <v>60</v>
      </c>
      <c r="K24" s="64">
        <f>합산자재!I24</f>
        <v>0</v>
      </c>
      <c r="L24" s="64">
        <f t="shared" si="1"/>
        <v>0</v>
      </c>
      <c r="M24" s="64">
        <f>합산자재!J24</f>
        <v>0</v>
      </c>
      <c r="N24" s="64">
        <f t="shared" si="2"/>
        <v>0</v>
      </c>
      <c r="O24" s="64"/>
      <c r="P24" s="64">
        <f t="shared" si="3"/>
        <v>5400</v>
      </c>
      <c r="Q24" s="78"/>
    </row>
    <row r="25" spans="1:29" ht="23.1" customHeight="1" x14ac:dyDescent="0.15">
      <c r="A25" s="21" t="s">
        <v>550</v>
      </c>
      <c r="B25" s="21" t="s">
        <v>501</v>
      </c>
      <c r="C25" s="21" t="s">
        <v>239</v>
      </c>
      <c r="D25" s="78" t="s">
        <v>236</v>
      </c>
      <c r="E25" s="78" t="s">
        <v>240</v>
      </c>
      <c r="F25" s="52" t="s">
        <v>238</v>
      </c>
      <c r="G25" s="49">
        <v>20</v>
      </c>
      <c r="H25" s="64">
        <f>합산자재!H25</f>
        <v>90</v>
      </c>
      <c r="I25" s="64">
        <f t="shared" si="0"/>
        <v>1800</v>
      </c>
      <c r="J25" s="64">
        <v>20</v>
      </c>
      <c r="K25" s="64">
        <f>합산자재!I25</f>
        <v>0</v>
      </c>
      <c r="L25" s="64">
        <f t="shared" si="1"/>
        <v>0</v>
      </c>
      <c r="M25" s="64">
        <f>합산자재!J25</f>
        <v>0</v>
      </c>
      <c r="N25" s="64">
        <f t="shared" si="2"/>
        <v>0</v>
      </c>
      <c r="O25" s="64"/>
      <c r="P25" s="64">
        <f t="shared" si="3"/>
        <v>1800</v>
      </c>
      <c r="Q25" s="78"/>
    </row>
    <row r="26" spans="1:29" ht="23.1" customHeight="1" x14ac:dyDescent="0.15">
      <c r="A26" s="21" t="s">
        <v>551</v>
      </c>
      <c r="B26" s="21" t="s">
        <v>501</v>
      </c>
      <c r="C26" s="21" t="s">
        <v>245</v>
      </c>
      <c r="D26" s="78" t="s">
        <v>246</v>
      </c>
      <c r="E26" s="78" t="s">
        <v>247</v>
      </c>
      <c r="F26" s="52" t="s">
        <v>172</v>
      </c>
      <c r="G26" s="49">
        <v>239</v>
      </c>
      <c r="H26" s="64">
        <f>합산자재!H27</f>
        <v>544</v>
      </c>
      <c r="I26" s="64">
        <f t="shared" si="0"/>
        <v>130016</v>
      </c>
      <c r="J26" s="64">
        <v>217</v>
      </c>
      <c r="K26" s="64">
        <f>합산자재!I27</f>
        <v>0</v>
      </c>
      <c r="L26" s="64">
        <f t="shared" si="1"/>
        <v>0</v>
      </c>
      <c r="M26" s="64">
        <f>합산자재!J27</f>
        <v>0</v>
      </c>
      <c r="N26" s="64">
        <f t="shared" si="2"/>
        <v>0</v>
      </c>
      <c r="O26" s="64"/>
      <c r="P26" s="64">
        <f t="shared" si="3"/>
        <v>130016</v>
      </c>
      <c r="Q26" s="78"/>
      <c r="AC26" s="63">
        <f t="shared" ref="AC26:AC35" si="4">G26*H26</f>
        <v>130016</v>
      </c>
    </row>
    <row r="27" spans="1:29" ht="23.1" customHeight="1" x14ac:dyDescent="0.15">
      <c r="A27" s="21" t="s">
        <v>552</v>
      </c>
      <c r="B27" s="21" t="s">
        <v>501</v>
      </c>
      <c r="C27" s="21" t="s">
        <v>250</v>
      </c>
      <c r="D27" s="78" t="s">
        <v>246</v>
      </c>
      <c r="E27" s="78" t="s">
        <v>251</v>
      </c>
      <c r="F27" s="52" t="s">
        <v>172</v>
      </c>
      <c r="G27" s="49">
        <v>183</v>
      </c>
      <c r="H27" s="64">
        <f>합산자재!H28</f>
        <v>826</v>
      </c>
      <c r="I27" s="64">
        <f t="shared" si="0"/>
        <v>151158</v>
      </c>
      <c r="J27" s="64">
        <v>166</v>
      </c>
      <c r="K27" s="64">
        <f>합산자재!I28</f>
        <v>0</v>
      </c>
      <c r="L27" s="64">
        <f t="shared" si="1"/>
        <v>0</v>
      </c>
      <c r="M27" s="64">
        <f>합산자재!J28</f>
        <v>0</v>
      </c>
      <c r="N27" s="64">
        <f t="shared" si="2"/>
        <v>0</v>
      </c>
      <c r="O27" s="64"/>
      <c r="P27" s="64">
        <f t="shared" si="3"/>
        <v>151158</v>
      </c>
      <c r="Q27" s="78"/>
      <c r="AC27" s="63">
        <f t="shared" si="4"/>
        <v>151158</v>
      </c>
    </row>
    <row r="28" spans="1:29" ht="23.1" customHeight="1" x14ac:dyDescent="0.15">
      <c r="A28" s="21" t="s">
        <v>553</v>
      </c>
      <c r="B28" s="21" t="s">
        <v>501</v>
      </c>
      <c r="C28" s="21" t="s">
        <v>252</v>
      </c>
      <c r="D28" s="78" t="s">
        <v>253</v>
      </c>
      <c r="E28" s="78" t="s">
        <v>254</v>
      </c>
      <c r="F28" s="52" t="s">
        <v>172</v>
      </c>
      <c r="G28" s="49">
        <v>28</v>
      </c>
      <c r="H28" s="64">
        <f>합산자재!H29</f>
        <v>2090</v>
      </c>
      <c r="I28" s="64">
        <f t="shared" si="0"/>
        <v>58520</v>
      </c>
      <c r="J28" s="64">
        <v>25</v>
      </c>
      <c r="K28" s="64">
        <f>합산자재!I29</f>
        <v>0</v>
      </c>
      <c r="L28" s="64">
        <f t="shared" si="1"/>
        <v>0</v>
      </c>
      <c r="M28" s="64">
        <f>합산자재!J29</f>
        <v>0</v>
      </c>
      <c r="N28" s="64">
        <f t="shared" si="2"/>
        <v>0</v>
      </c>
      <c r="O28" s="64"/>
      <c r="P28" s="64">
        <f t="shared" si="3"/>
        <v>58520</v>
      </c>
      <c r="Q28" s="78"/>
      <c r="AC28" s="63">
        <f t="shared" si="4"/>
        <v>58520</v>
      </c>
    </row>
    <row r="29" spans="1:29" ht="23.1" customHeight="1" x14ac:dyDescent="0.15">
      <c r="A29" s="21" t="s">
        <v>554</v>
      </c>
      <c r="B29" s="21" t="s">
        <v>501</v>
      </c>
      <c r="C29" s="21" t="s">
        <v>256</v>
      </c>
      <c r="D29" s="78" t="s">
        <v>253</v>
      </c>
      <c r="E29" s="78" t="s">
        <v>257</v>
      </c>
      <c r="F29" s="52" t="s">
        <v>172</v>
      </c>
      <c r="G29" s="49">
        <v>14</v>
      </c>
      <c r="H29" s="64">
        <f>합산자재!H30</f>
        <v>3041</v>
      </c>
      <c r="I29" s="64">
        <f t="shared" si="0"/>
        <v>42574</v>
      </c>
      <c r="J29" s="64">
        <v>12</v>
      </c>
      <c r="K29" s="64">
        <f>합산자재!I30</f>
        <v>0</v>
      </c>
      <c r="L29" s="64">
        <f t="shared" si="1"/>
        <v>0</v>
      </c>
      <c r="M29" s="64">
        <f>합산자재!J30</f>
        <v>0</v>
      </c>
      <c r="N29" s="64">
        <f t="shared" si="2"/>
        <v>0</v>
      </c>
      <c r="O29" s="64"/>
      <c r="P29" s="64">
        <f t="shared" si="3"/>
        <v>42574</v>
      </c>
      <c r="Q29" s="78"/>
      <c r="AC29" s="63">
        <f t="shared" si="4"/>
        <v>42574</v>
      </c>
    </row>
    <row r="30" spans="1:29" ht="23.1" customHeight="1" x14ac:dyDescent="0.15">
      <c r="A30" s="21" t="s">
        <v>555</v>
      </c>
      <c r="B30" s="21" t="s">
        <v>501</v>
      </c>
      <c r="C30" s="21" t="s">
        <v>258</v>
      </c>
      <c r="D30" s="78" t="s">
        <v>259</v>
      </c>
      <c r="E30" s="78" t="s">
        <v>260</v>
      </c>
      <c r="F30" s="52" t="s">
        <v>172</v>
      </c>
      <c r="G30" s="49">
        <v>5</v>
      </c>
      <c r="H30" s="64">
        <f>합산자재!H31</f>
        <v>5764</v>
      </c>
      <c r="I30" s="64">
        <f t="shared" si="0"/>
        <v>28820</v>
      </c>
      <c r="J30" s="64">
        <v>4</v>
      </c>
      <c r="K30" s="64">
        <f>합산자재!I31</f>
        <v>0</v>
      </c>
      <c r="L30" s="64">
        <f t="shared" si="1"/>
        <v>0</v>
      </c>
      <c r="M30" s="64">
        <f>합산자재!J31</f>
        <v>0</v>
      </c>
      <c r="N30" s="64">
        <f t="shared" si="2"/>
        <v>0</v>
      </c>
      <c r="O30" s="64"/>
      <c r="P30" s="64">
        <f t="shared" si="3"/>
        <v>28820</v>
      </c>
      <c r="Q30" s="78"/>
      <c r="AC30" s="63">
        <f t="shared" si="4"/>
        <v>28820</v>
      </c>
    </row>
    <row r="31" spans="1:29" ht="23.1" customHeight="1" x14ac:dyDescent="0.15">
      <c r="A31" s="21" t="s">
        <v>556</v>
      </c>
      <c r="B31" s="21" t="s">
        <v>501</v>
      </c>
      <c r="C31" s="21" t="s">
        <v>262</v>
      </c>
      <c r="D31" s="78" t="s">
        <v>259</v>
      </c>
      <c r="E31" s="78" t="s">
        <v>263</v>
      </c>
      <c r="F31" s="52" t="s">
        <v>172</v>
      </c>
      <c r="G31" s="49">
        <v>5</v>
      </c>
      <c r="H31" s="64">
        <f>합산자재!H32</f>
        <v>7760</v>
      </c>
      <c r="I31" s="64">
        <f t="shared" si="0"/>
        <v>38800</v>
      </c>
      <c r="J31" s="64">
        <v>4</v>
      </c>
      <c r="K31" s="64">
        <f>합산자재!I32</f>
        <v>0</v>
      </c>
      <c r="L31" s="64">
        <f t="shared" si="1"/>
        <v>0</v>
      </c>
      <c r="M31" s="64">
        <f>합산자재!J32</f>
        <v>0</v>
      </c>
      <c r="N31" s="64">
        <f t="shared" si="2"/>
        <v>0</v>
      </c>
      <c r="O31" s="64"/>
      <c r="P31" s="64">
        <f t="shared" si="3"/>
        <v>38800</v>
      </c>
      <c r="Q31" s="78"/>
      <c r="AC31" s="63">
        <f t="shared" si="4"/>
        <v>38800</v>
      </c>
    </row>
    <row r="32" spans="1:29" ht="23.1" customHeight="1" x14ac:dyDescent="0.15">
      <c r="A32" s="21" t="s">
        <v>557</v>
      </c>
      <c r="B32" s="21" t="s">
        <v>501</v>
      </c>
      <c r="C32" s="21" t="s">
        <v>264</v>
      </c>
      <c r="D32" s="78" t="s">
        <v>259</v>
      </c>
      <c r="E32" s="78" t="s">
        <v>265</v>
      </c>
      <c r="F32" s="52" t="s">
        <v>172</v>
      </c>
      <c r="G32" s="49">
        <v>27</v>
      </c>
      <c r="H32" s="64">
        <f>합산자재!H33</f>
        <v>5105</v>
      </c>
      <c r="I32" s="64">
        <f t="shared" si="0"/>
        <v>137835</v>
      </c>
      <c r="J32" s="64">
        <v>25</v>
      </c>
      <c r="K32" s="64">
        <f>합산자재!I33</f>
        <v>0</v>
      </c>
      <c r="L32" s="64">
        <f t="shared" si="1"/>
        <v>0</v>
      </c>
      <c r="M32" s="64">
        <f>합산자재!J33</f>
        <v>0</v>
      </c>
      <c r="N32" s="64">
        <f t="shared" si="2"/>
        <v>0</v>
      </c>
      <c r="O32" s="64"/>
      <c r="P32" s="64">
        <f t="shared" si="3"/>
        <v>137835</v>
      </c>
      <c r="Q32" s="78"/>
      <c r="AC32" s="63">
        <f t="shared" si="4"/>
        <v>137835</v>
      </c>
    </row>
    <row r="33" spans="1:29" ht="23.1" customHeight="1" x14ac:dyDescent="0.15">
      <c r="A33" s="21" t="s">
        <v>558</v>
      </c>
      <c r="B33" s="21" t="s">
        <v>501</v>
      </c>
      <c r="C33" s="21" t="s">
        <v>266</v>
      </c>
      <c r="D33" s="78" t="s">
        <v>259</v>
      </c>
      <c r="E33" s="78" t="s">
        <v>267</v>
      </c>
      <c r="F33" s="52" t="s">
        <v>172</v>
      </c>
      <c r="G33" s="49">
        <v>11</v>
      </c>
      <c r="H33" s="64">
        <f>합산자재!H34</f>
        <v>15126</v>
      </c>
      <c r="I33" s="64">
        <f t="shared" si="0"/>
        <v>166386</v>
      </c>
      <c r="J33" s="64">
        <v>10</v>
      </c>
      <c r="K33" s="64">
        <f>합산자재!I34</f>
        <v>0</v>
      </c>
      <c r="L33" s="64">
        <f t="shared" si="1"/>
        <v>0</v>
      </c>
      <c r="M33" s="64">
        <f>합산자재!J34</f>
        <v>0</v>
      </c>
      <c r="N33" s="64">
        <f t="shared" si="2"/>
        <v>0</v>
      </c>
      <c r="O33" s="64"/>
      <c r="P33" s="64">
        <f t="shared" si="3"/>
        <v>166386</v>
      </c>
      <c r="Q33" s="78"/>
      <c r="AC33" s="63">
        <f t="shared" si="4"/>
        <v>166386</v>
      </c>
    </row>
    <row r="34" spans="1:29" ht="23.1" customHeight="1" x14ac:dyDescent="0.15">
      <c r="A34" s="21" t="s">
        <v>559</v>
      </c>
      <c r="B34" s="21" t="s">
        <v>501</v>
      </c>
      <c r="C34" s="21" t="s">
        <v>268</v>
      </c>
      <c r="D34" s="78" t="s">
        <v>269</v>
      </c>
      <c r="E34" s="78" t="s">
        <v>270</v>
      </c>
      <c r="F34" s="52" t="s">
        <v>172</v>
      </c>
      <c r="G34" s="49">
        <v>4</v>
      </c>
      <c r="H34" s="64">
        <f>합산자재!H35</f>
        <v>1851</v>
      </c>
      <c r="I34" s="64">
        <f t="shared" si="0"/>
        <v>7404</v>
      </c>
      <c r="J34" s="64">
        <v>3</v>
      </c>
      <c r="K34" s="64">
        <f>합산자재!I35</f>
        <v>0</v>
      </c>
      <c r="L34" s="64">
        <f t="shared" si="1"/>
        <v>0</v>
      </c>
      <c r="M34" s="64">
        <f>합산자재!J35</f>
        <v>0</v>
      </c>
      <c r="N34" s="64">
        <f t="shared" si="2"/>
        <v>0</v>
      </c>
      <c r="O34" s="64"/>
      <c r="P34" s="64">
        <f t="shared" si="3"/>
        <v>7404</v>
      </c>
      <c r="Q34" s="78"/>
      <c r="AC34" s="63">
        <f t="shared" si="4"/>
        <v>7404</v>
      </c>
    </row>
    <row r="35" spans="1:29" ht="23.1" customHeight="1" x14ac:dyDescent="0.15">
      <c r="A35" s="21" t="s">
        <v>560</v>
      </c>
      <c r="B35" s="21" t="s">
        <v>501</v>
      </c>
      <c r="C35" s="21" t="s">
        <v>272</v>
      </c>
      <c r="D35" s="78" t="s">
        <v>269</v>
      </c>
      <c r="E35" s="78" t="s">
        <v>273</v>
      </c>
      <c r="F35" s="52" t="s">
        <v>172</v>
      </c>
      <c r="G35" s="49">
        <v>5</v>
      </c>
      <c r="H35" s="64">
        <f>합산자재!H36</f>
        <v>4428</v>
      </c>
      <c r="I35" s="64">
        <f t="shared" si="0"/>
        <v>22140</v>
      </c>
      <c r="J35" s="64">
        <v>4</v>
      </c>
      <c r="K35" s="64">
        <f>합산자재!I36</f>
        <v>0</v>
      </c>
      <c r="L35" s="64">
        <f t="shared" si="1"/>
        <v>0</v>
      </c>
      <c r="M35" s="64">
        <f>합산자재!J36</f>
        <v>0</v>
      </c>
      <c r="N35" s="64">
        <f t="shared" si="2"/>
        <v>0</v>
      </c>
      <c r="O35" s="64"/>
      <c r="P35" s="64">
        <f t="shared" si="3"/>
        <v>22140</v>
      </c>
      <c r="Q35" s="78"/>
      <c r="AC35" s="63">
        <f t="shared" si="4"/>
        <v>22140</v>
      </c>
    </row>
    <row r="36" spans="1:29" ht="23.1" customHeight="1" x14ac:dyDescent="0.15">
      <c r="A36" s="21" t="s">
        <v>561</v>
      </c>
      <c r="B36" s="21" t="s">
        <v>501</v>
      </c>
      <c r="C36" s="21" t="s">
        <v>274</v>
      </c>
      <c r="D36" s="78" t="s">
        <v>275</v>
      </c>
      <c r="E36" s="78" t="s">
        <v>276</v>
      </c>
      <c r="F36" s="52" t="s">
        <v>190</v>
      </c>
      <c r="G36" s="49">
        <v>2</v>
      </c>
      <c r="H36" s="64">
        <f>합산자재!H37</f>
        <v>1887</v>
      </c>
      <c r="I36" s="64">
        <f t="shared" si="0"/>
        <v>3774</v>
      </c>
      <c r="J36" s="64">
        <v>2</v>
      </c>
      <c r="K36" s="64">
        <f>합산자재!I37</f>
        <v>0</v>
      </c>
      <c r="L36" s="64">
        <f t="shared" si="1"/>
        <v>0</v>
      </c>
      <c r="M36" s="64">
        <f>합산자재!J37</f>
        <v>0</v>
      </c>
      <c r="N36" s="64">
        <f t="shared" si="2"/>
        <v>0</v>
      </c>
      <c r="O36" s="64"/>
      <c r="P36" s="64">
        <f t="shared" si="3"/>
        <v>3774</v>
      </c>
      <c r="Q36" s="78"/>
    </row>
    <row r="37" spans="1:29" ht="23.1" customHeight="1" x14ac:dyDescent="0.15">
      <c r="A37" s="21" t="s">
        <v>562</v>
      </c>
      <c r="B37" s="21" t="s">
        <v>501</v>
      </c>
      <c r="C37" s="21" t="s">
        <v>279</v>
      </c>
      <c r="D37" s="78" t="s">
        <v>275</v>
      </c>
      <c r="E37" s="78" t="s">
        <v>280</v>
      </c>
      <c r="F37" s="52" t="s">
        <v>190</v>
      </c>
      <c r="G37" s="49">
        <v>1</v>
      </c>
      <c r="H37" s="64">
        <f>합산자재!H38</f>
        <v>2440</v>
      </c>
      <c r="I37" s="64">
        <f t="shared" ref="I37:I68" si="5">TRUNC(G37*H37)</f>
        <v>2440</v>
      </c>
      <c r="J37" s="64">
        <v>1</v>
      </c>
      <c r="K37" s="64">
        <f>합산자재!I38</f>
        <v>0</v>
      </c>
      <c r="L37" s="64">
        <f t="shared" ref="L37:L68" si="6">TRUNC(G37*K37)</f>
        <v>0</v>
      </c>
      <c r="M37" s="64">
        <f>합산자재!J38</f>
        <v>0</v>
      </c>
      <c r="N37" s="64">
        <f t="shared" ref="N37:N68" si="7">TRUNC(G37*M37)</f>
        <v>0</v>
      </c>
      <c r="O37" s="64"/>
      <c r="P37" s="64">
        <f t="shared" ref="P37:P68" si="8">SUM(I37,L37,N37)</f>
        <v>2440</v>
      </c>
      <c r="Q37" s="78"/>
    </row>
    <row r="38" spans="1:29" ht="23.1" customHeight="1" x14ac:dyDescent="0.15">
      <c r="A38" s="21" t="s">
        <v>563</v>
      </c>
      <c r="B38" s="21" t="s">
        <v>501</v>
      </c>
      <c r="C38" s="21" t="s">
        <v>281</v>
      </c>
      <c r="D38" s="78" t="s">
        <v>282</v>
      </c>
      <c r="E38" s="78" t="s">
        <v>283</v>
      </c>
      <c r="F38" s="52" t="s">
        <v>190</v>
      </c>
      <c r="G38" s="49">
        <v>4</v>
      </c>
      <c r="H38" s="64">
        <f>합산자재!H39</f>
        <v>1320</v>
      </c>
      <c r="I38" s="64">
        <f t="shared" si="5"/>
        <v>5280</v>
      </c>
      <c r="J38" s="64">
        <v>4</v>
      </c>
      <c r="K38" s="64">
        <f>합산자재!I39</f>
        <v>0</v>
      </c>
      <c r="L38" s="64">
        <f t="shared" si="6"/>
        <v>0</v>
      </c>
      <c r="M38" s="64">
        <f>합산자재!J39</f>
        <v>0</v>
      </c>
      <c r="N38" s="64">
        <f t="shared" si="7"/>
        <v>0</v>
      </c>
      <c r="O38" s="64"/>
      <c r="P38" s="64">
        <f t="shared" si="8"/>
        <v>5280</v>
      </c>
      <c r="Q38" s="78"/>
    </row>
    <row r="39" spans="1:29" ht="23.1" customHeight="1" x14ac:dyDescent="0.15">
      <c r="A39" s="21" t="s">
        <v>564</v>
      </c>
      <c r="B39" s="21" t="s">
        <v>501</v>
      </c>
      <c r="C39" s="21" t="s">
        <v>284</v>
      </c>
      <c r="D39" s="78" t="s">
        <v>285</v>
      </c>
      <c r="E39" s="78" t="s">
        <v>286</v>
      </c>
      <c r="F39" s="52" t="s">
        <v>190</v>
      </c>
      <c r="G39" s="49">
        <v>4</v>
      </c>
      <c r="H39" s="64">
        <f>합산자재!H40</f>
        <v>2075</v>
      </c>
      <c r="I39" s="64">
        <f t="shared" si="5"/>
        <v>8300</v>
      </c>
      <c r="J39" s="64">
        <v>4</v>
      </c>
      <c r="K39" s="64">
        <f>합산자재!I40</f>
        <v>0</v>
      </c>
      <c r="L39" s="64">
        <f t="shared" si="6"/>
        <v>0</v>
      </c>
      <c r="M39" s="64">
        <f>합산자재!J40</f>
        <v>0</v>
      </c>
      <c r="N39" s="64">
        <f t="shared" si="7"/>
        <v>0</v>
      </c>
      <c r="O39" s="64"/>
      <c r="P39" s="64">
        <f t="shared" si="8"/>
        <v>8300</v>
      </c>
      <c r="Q39" s="78"/>
    </row>
    <row r="40" spans="1:29" ht="23.1" customHeight="1" x14ac:dyDescent="0.15">
      <c r="A40" s="21" t="s">
        <v>565</v>
      </c>
      <c r="B40" s="21" t="s">
        <v>501</v>
      </c>
      <c r="C40" s="21" t="s">
        <v>288</v>
      </c>
      <c r="D40" s="78" t="s">
        <v>285</v>
      </c>
      <c r="E40" s="78" t="s">
        <v>289</v>
      </c>
      <c r="F40" s="52" t="s">
        <v>190</v>
      </c>
      <c r="G40" s="49">
        <v>1</v>
      </c>
      <c r="H40" s="64">
        <f>합산자재!H41</f>
        <v>2163</v>
      </c>
      <c r="I40" s="64">
        <f t="shared" si="5"/>
        <v>2163</v>
      </c>
      <c r="J40" s="64">
        <v>1</v>
      </c>
      <c r="K40" s="64">
        <f>합산자재!I41</f>
        <v>0</v>
      </c>
      <c r="L40" s="64">
        <f t="shared" si="6"/>
        <v>0</v>
      </c>
      <c r="M40" s="64">
        <f>합산자재!J41</f>
        <v>0</v>
      </c>
      <c r="N40" s="64">
        <f t="shared" si="7"/>
        <v>0</v>
      </c>
      <c r="O40" s="64"/>
      <c r="P40" s="64">
        <f t="shared" si="8"/>
        <v>2163</v>
      </c>
      <c r="Q40" s="78"/>
    </row>
    <row r="41" spans="1:29" ht="23.1" customHeight="1" x14ac:dyDescent="0.15">
      <c r="A41" s="21" t="s">
        <v>566</v>
      </c>
      <c r="B41" s="21" t="s">
        <v>501</v>
      </c>
      <c r="C41" s="21" t="s">
        <v>290</v>
      </c>
      <c r="D41" s="78" t="s">
        <v>291</v>
      </c>
      <c r="E41" s="78" t="s">
        <v>292</v>
      </c>
      <c r="F41" s="52" t="s">
        <v>238</v>
      </c>
      <c r="G41" s="49">
        <v>1</v>
      </c>
      <c r="H41" s="64">
        <f>합산자재!H42</f>
        <v>80000</v>
      </c>
      <c r="I41" s="64">
        <f t="shared" si="5"/>
        <v>80000</v>
      </c>
      <c r="J41" s="64">
        <v>1</v>
      </c>
      <c r="K41" s="64">
        <f>합산자재!I42</f>
        <v>0</v>
      </c>
      <c r="L41" s="64">
        <f t="shared" si="6"/>
        <v>0</v>
      </c>
      <c r="M41" s="64">
        <f>합산자재!J42</f>
        <v>0</v>
      </c>
      <c r="N41" s="64">
        <f t="shared" si="7"/>
        <v>0</v>
      </c>
      <c r="O41" s="64"/>
      <c r="P41" s="64">
        <f t="shared" si="8"/>
        <v>80000</v>
      </c>
      <c r="Q41" s="78"/>
    </row>
    <row r="42" spans="1:29" ht="23.1" customHeight="1" x14ac:dyDescent="0.15">
      <c r="A42" s="21" t="s">
        <v>567</v>
      </c>
      <c r="B42" s="21" t="s">
        <v>501</v>
      </c>
      <c r="C42" s="21" t="s">
        <v>293</v>
      </c>
      <c r="D42" s="78" t="s">
        <v>294</v>
      </c>
      <c r="E42" s="78" t="s">
        <v>295</v>
      </c>
      <c r="F42" s="52" t="s">
        <v>190</v>
      </c>
      <c r="G42" s="49">
        <v>1</v>
      </c>
      <c r="H42" s="64">
        <f>합산자재!H43</f>
        <v>5000</v>
      </c>
      <c r="I42" s="64">
        <f t="shared" si="5"/>
        <v>5000</v>
      </c>
      <c r="J42" s="64">
        <v>1</v>
      </c>
      <c r="K42" s="64">
        <f>합산자재!I43</f>
        <v>0</v>
      </c>
      <c r="L42" s="64">
        <f t="shared" si="6"/>
        <v>0</v>
      </c>
      <c r="M42" s="64">
        <f>합산자재!J43</f>
        <v>0</v>
      </c>
      <c r="N42" s="64">
        <f t="shared" si="7"/>
        <v>0</v>
      </c>
      <c r="O42" s="64"/>
      <c r="P42" s="64">
        <f t="shared" si="8"/>
        <v>5000</v>
      </c>
      <c r="Q42" s="78"/>
    </row>
    <row r="43" spans="1:29" ht="23.1" customHeight="1" x14ac:dyDescent="0.15">
      <c r="A43" s="21" t="s">
        <v>568</v>
      </c>
      <c r="B43" s="21" t="s">
        <v>501</v>
      </c>
      <c r="C43" s="21" t="s">
        <v>296</v>
      </c>
      <c r="D43" s="78" t="s">
        <v>294</v>
      </c>
      <c r="E43" s="78" t="s">
        <v>297</v>
      </c>
      <c r="F43" s="52" t="s">
        <v>190</v>
      </c>
      <c r="G43" s="49">
        <v>1</v>
      </c>
      <c r="H43" s="64">
        <f>합산자재!H44</f>
        <v>1000</v>
      </c>
      <c r="I43" s="64">
        <f t="shared" si="5"/>
        <v>1000</v>
      </c>
      <c r="J43" s="64">
        <v>1</v>
      </c>
      <c r="K43" s="64">
        <f>합산자재!I44</f>
        <v>0</v>
      </c>
      <c r="L43" s="64">
        <f t="shared" si="6"/>
        <v>0</v>
      </c>
      <c r="M43" s="64">
        <f>합산자재!J44</f>
        <v>0</v>
      </c>
      <c r="N43" s="64">
        <f t="shared" si="7"/>
        <v>0</v>
      </c>
      <c r="O43" s="64"/>
      <c r="P43" s="64">
        <f t="shared" si="8"/>
        <v>1000</v>
      </c>
      <c r="Q43" s="78"/>
    </row>
    <row r="44" spans="1:29" ht="23.1" customHeight="1" x14ac:dyDescent="0.15">
      <c r="A44" s="21" t="s">
        <v>569</v>
      </c>
      <c r="B44" s="21" t="s">
        <v>501</v>
      </c>
      <c r="C44" s="21" t="s">
        <v>298</v>
      </c>
      <c r="D44" s="78" t="s">
        <v>299</v>
      </c>
      <c r="E44" s="78" t="s">
        <v>300</v>
      </c>
      <c r="F44" s="52" t="s">
        <v>238</v>
      </c>
      <c r="G44" s="49">
        <v>1</v>
      </c>
      <c r="H44" s="64">
        <f>합산자재!H45</f>
        <v>43300</v>
      </c>
      <c r="I44" s="64">
        <f t="shared" si="5"/>
        <v>43300</v>
      </c>
      <c r="J44" s="64">
        <v>1</v>
      </c>
      <c r="K44" s="64">
        <f>합산자재!I45</f>
        <v>0</v>
      </c>
      <c r="L44" s="64">
        <f t="shared" si="6"/>
        <v>0</v>
      </c>
      <c r="M44" s="64">
        <f>합산자재!J45</f>
        <v>0</v>
      </c>
      <c r="N44" s="64">
        <f t="shared" si="7"/>
        <v>0</v>
      </c>
      <c r="O44" s="64"/>
      <c r="P44" s="64">
        <f t="shared" si="8"/>
        <v>43300</v>
      </c>
      <c r="Q44" s="78"/>
    </row>
    <row r="45" spans="1:29" ht="23.1" customHeight="1" x14ac:dyDescent="0.15">
      <c r="A45" s="21" t="s">
        <v>570</v>
      </c>
      <c r="B45" s="21" t="s">
        <v>501</v>
      </c>
      <c r="C45" s="21" t="s">
        <v>303</v>
      </c>
      <c r="D45" s="78" t="s">
        <v>304</v>
      </c>
      <c r="E45" s="78" t="s">
        <v>305</v>
      </c>
      <c r="F45" s="52" t="s">
        <v>238</v>
      </c>
      <c r="G45" s="49">
        <v>1</v>
      </c>
      <c r="H45" s="64">
        <f>합산자재!H46</f>
        <v>87800</v>
      </c>
      <c r="I45" s="64">
        <f t="shared" si="5"/>
        <v>87800</v>
      </c>
      <c r="J45" s="64">
        <v>1</v>
      </c>
      <c r="K45" s="64">
        <f>합산자재!I46</f>
        <v>0</v>
      </c>
      <c r="L45" s="64">
        <f t="shared" si="6"/>
        <v>0</v>
      </c>
      <c r="M45" s="64">
        <f>합산자재!J46</f>
        <v>0</v>
      </c>
      <c r="N45" s="64">
        <f t="shared" si="7"/>
        <v>0</v>
      </c>
      <c r="O45" s="64"/>
      <c r="P45" s="64">
        <f t="shared" si="8"/>
        <v>87800</v>
      </c>
      <c r="Q45" s="78"/>
    </row>
    <row r="46" spans="1:29" ht="23.1" customHeight="1" x14ac:dyDescent="0.15">
      <c r="A46" s="21" t="s">
        <v>571</v>
      </c>
      <c r="B46" s="21" t="s">
        <v>501</v>
      </c>
      <c r="C46" s="21" t="s">
        <v>306</v>
      </c>
      <c r="D46" s="78" t="s">
        <v>307</v>
      </c>
      <c r="E46" s="78" t="s">
        <v>308</v>
      </c>
      <c r="F46" s="52" t="s">
        <v>238</v>
      </c>
      <c r="G46" s="49">
        <v>37</v>
      </c>
      <c r="H46" s="64">
        <f>합산자재!H47</f>
        <v>18000</v>
      </c>
      <c r="I46" s="64">
        <f t="shared" si="5"/>
        <v>666000</v>
      </c>
      <c r="J46" s="64">
        <v>37</v>
      </c>
      <c r="K46" s="64">
        <f>합산자재!I47</f>
        <v>0</v>
      </c>
      <c r="L46" s="64">
        <f t="shared" si="6"/>
        <v>0</v>
      </c>
      <c r="M46" s="64">
        <f>합산자재!J47</f>
        <v>0</v>
      </c>
      <c r="N46" s="64">
        <f t="shared" si="7"/>
        <v>0</v>
      </c>
      <c r="O46" s="64"/>
      <c r="P46" s="64">
        <f t="shared" si="8"/>
        <v>666000</v>
      </c>
      <c r="Q46" s="78"/>
    </row>
    <row r="47" spans="1:29" ht="23.1" customHeight="1" x14ac:dyDescent="0.15">
      <c r="A47" s="21" t="s">
        <v>572</v>
      </c>
      <c r="B47" s="21" t="s">
        <v>501</v>
      </c>
      <c r="C47" s="21" t="s">
        <v>311</v>
      </c>
      <c r="D47" s="78" t="s">
        <v>312</v>
      </c>
      <c r="E47" s="78" t="s">
        <v>313</v>
      </c>
      <c r="F47" s="52" t="s">
        <v>190</v>
      </c>
      <c r="G47" s="49">
        <v>9</v>
      </c>
      <c r="H47" s="64">
        <f>합산자재!H48</f>
        <v>101</v>
      </c>
      <c r="I47" s="64">
        <f t="shared" si="5"/>
        <v>909</v>
      </c>
      <c r="J47" s="64">
        <v>9</v>
      </c>
      <c r="K47" s="64">
        <f>합산자재!I48</f>
        <v>0</v>
      </c>
      <c r="L47" s="64">
        <f t="shared" si="6"/>
        <v>0</v>
      </c>
      <c r="M47" s="64">
        <f>합산자재!J48</f>
        <v>0</v>
      </c>
      <c r="N47" s="64">
        <f t="shared" si="7"/>
        <v>0</v>
      </c>
      <c r="O47" s="64"/>
      <c r="P47" s="64">
        <f t="shared" si="8"/>
        <v>909</v>
      </c>
      <c r="Q47" s="78"/>
    </row>
    <row r="48" spans="1:29" ht="23.1" customHeight="1" x14ac:dyDescent="0.15">
      <c r="A48" s="21" t="s">
        <v>573</v>
      </c>
      <c r="B48" s="21" t="s">
        <v>501</v>
      </c>
      <c r="C48" s="21" t="s">
        <v>316</v>
      </c>
      <c r="D48" s="78" t="s">
        <v>312</v>
      </c>
      <c r="E48" s="78" t="s">
        <v>317</v>
      </c>
      <c r="F48" s="52" t="s">
        <v>190</v>
      </c>
      <c r="G48" s="49">
        <v>17</v>
      </c>
      <c r="H48" s="64">
        <f>합산자재!H49</f>
        <v>128</v>
      </c>
      <c r="I48" s="64">
        <f t="shared" si="5"/>
        <v>2176</v>
      </c>
      <c r="J48" s="64">
        <v>17</v>
      </c>
      <c r="K48" s="64">
        <f>합산자재!I49</f>
        <v>0</v>
      </c>
      <c r="L48" s="64">
        <f t="shared" si="6"/>
        <v>0</v>
      </c>
      <c r="M48" s="64">
        <f>합산자재!J49</f>
        <v>0</v>
      </c>
      <c r="N48" s="64">
        <f t="shared" si="7"/>
        <v>0</v>
      </c>
      <c r="O48" s="64"/>
      <c r="P48" s="64">
        <f t="shared" si="8"/>
        <v>2176</v>
      </c>
      <c r="Q48" s="78"/>
    </row>
    <row r="49" spans="1:29" ht="23.1" customHeight="1" x14ac:dyDescent="0.15">
      <c r="A49" s="21" t="s">
        <v>574</v>
      </c>
      <c r="B49" s="21" t="s">
        <v>501</v>
      </c>
      <c r="C49" s="21" t="s">
        <v>318</v>
      </c>
      <c r="D49" s="78" t="s">
        <v>312</v>
      </c>
      <c r="E49" s="78" t="s">
        <v>319</v>
      </c>
      <c r="F49" s="52" t="s">
        <v>190</v>
      </c>
      <c r="G49" s="49">
        <v>34</v>
      </c>
      <c r="H49" s="64">
        <f>합산자재!H50</f>
        <v>191</v>
      </c>
      <c r="I49" s="64">
        <f t="shared" si="5"/>
        <v>6494</v>
      </c>
      <c r="J49" s="64">
        <v>34</v>
      </c>
      <c r="K49" s="64">
        <f>합산자재!I50</f>
        <v>0</v>
      </c>
      <c r="L49" s="64">
        <f t="shared" si="6"/>
        <v>0</v>
      </c>
      <c r="M49" s="64">
        <f>합산자재!J50</f>
        <v>0</v>
      </c>
      <c r="N49" s="64">
        <f t="shared" si="7"/>
        <v>0</v>
      </c>
      <c r="O49" s="64"/>
      <c r="P49" s="64">
        <f t="shared" si="8"/>
        <v>6494</v>
      </c>
      <c r="Q49" s="78"/>
    </row>
    <row r="50" spans="1:29" ht="23.1" customHeight="1" x14ac:dyDescent="0.15">
      <c r="A50" s="21" t="s">
        <v>575</v>
      </c>
      <c r="B50" s="21" t="s">
        <v>501</v>
      </c>
      <c r="C50" s="21" t="s">
        <v>320</v>
      </c>
      <c r="D50" s="78" t="s">
        <v>312</v>
      </c>
      <c r="E50" s="78" t="s">
        <v>321</v>
      </c>
      <c r="F50" s="52" t="s">
        <v>190</v>
      </c>
      <c r="G50" s="49">
        <v>4</v>
      </c>
      <c r="H50" s="64">
        <f>합산자재!H51</f>
        <v>247</v>
      </c>
      <c r="I50" s="64">
        <f t="shared" si="5"/>
        <v>988</v>
      </c>
      <c r="J50" s="64">
        <v>4</v>
      </c>
      <c r="K50" s="64">
        <f>합산자재!I51</f>
        <v>0</v>
      </c>
      <c r="L50" s="64">
        <f t="shared" si="6"/>
        <v>0</v>
      </c>
      <c r="M50" s="64">
        <f>합산자재!J51</f>
        <v>0</v>
      </c>
      <c r="N50" s="64">
        <f t="shared" si="7"/>
        <v>0</v>
      </c>
      <c r="O50" s="64"/>
      <c r="P50" s="64">
        <f t="shared" si="8"/>
        <v>988</v>
      </c>
      <c r="Q50" s="78"/>
    </row>
    <row r="51" spans="1:29" ht="23.1" customHeight="1" x14ac:dyDescent="0.15">
      <c r="A51" s="21" t="s">
        <v>576</v>
      </c>
      <c r="B51" s="21" t="s">
        <v>501</v>
      </c>
      <c r="C51" s="21" t="s">
        <v>322</v>
      </c>
      <c r="D51" s="78" t="s">
        <v>323</v>
      </c>
      <c r="E51" s="78" t="s">
        <v>324</v>
      </c>
      <c r="F51" s="52" t="s">
        <v>190</v>
      </c>
      <c r="G51" s="49">
        <v>2</v>
      </c>
      <c r="H51" s="64">
        <f>합산자재!H52</f>
        <v>376</v>
      </c>
      <c r="I51" s="64">
        <f t="shared" si="5"/>
        <v>752</v>
      </c>
      <c r="J51" s="64">
        <v>2</v>
      </c>
      <c r="K51" s="64">
        <f>합산자재!I52</f>
        <v>0</v>
      </c>
      <c r="L51" s="64">
        <f t="shared" si="6"/>
        <v>0</v>
      </c>
      <c r="M51" s="64">
        <f>합산자재!J52</f>
        <v>0</v>
      </c>
      <c r="N51" s="64">
        <f t="shared" si="7"/>
        <v>0</v>
      </c>
      <c r="O51" s="64"/>
      <c r="P51" s="64">
        <f t="shared" si="8"/>
        <v>752</v>
      </c>
      <c r="Q51" s="78"/>
    </row>
    <row r="52" spans="1:29" ht="23.1" customHeight="1" x14ac:dyDescent="0.15">
      <c r="A52" s="21" t="s">
        <v>577</v>
      </c>
      <c r="B52" s="21" t="s">
        <v>501</v>
      </c>
      <c r="C52" s="21" t="s">
        <v>326</v>
      </c>
      <c r="D52" s="78" t="s">
        <v>323</v>
      </c>
      <c r="E52" s="78" t="s">
        <v>327</v>
      </c>
      <c r="F52" s="52" t="s">
        <v>190</v>
      </c>
      <c r="G52" s="49">
        <v>4</v>
      </c>
      <c r="H52" s="64">
        <f>합산자재!H53</f>
        <v>602</v>
      </c>
      <c r="I52" s="64">
        <f t="shared" si="5"/>
        <v>2408</v>
      </c>
      <c r="J52" s="64">
        <v>4</v>
      </c>
      <c r="K52" s="64">
        <f>합산자재!I53</f>
        <v>0</v>
      </c>
      <c r="L52" s="64">
        <f t="shared" si="6"/>
        <v>0</v>
      </c>
      <c r="M52" s="64">
        <f>합산자재!J53</f>
        <v>0</v>
      </c>
      <c r="N52" s="64">
        <f t="shared" si="7"/>
        <v>0</v>
      </c>
      <c r="O52" s="64"/>
      <c r="P52" s="64">
        <f t="shared" si="8"/>
        <v>2408</v>
      </c>
      <c r="Q52" s="78"/>
    </row>
    <row r="53" spans="1:29" ht="23.1" customHeight="1" x14ac:dyDescent="0.15">
      <c r="A53" s="21" t="s">
        <v>578</v>
      </c>
      <c r="B53" s="21" t="s">
        <v>501</v>
      </c>
      <c r="C53" s="21" t="s">
        <v>328</v>
      </c>
      <c r="D53" s="78" t="s">
        <v>323</v>
      </c>
      <c r="E53" s="78" t="s">
        <v>329</v>
      </c>
      <c r="F53" s="52" t="s">
        <v>190</v>
      </c>
      <c r="G53" s="49">
        <v>4</v>
      </c>
      <c r="H53" s="64">
        <f>합산자재!H54</f>
        <v>805</v>
      </c>
      <c r="I53" s="64">
        <f t="shared" si="5"/>
        <v>3220</v>
      </c>
      <c r="J53" s="64">
        <v>4</v>
      </c>
      <c r="K53" s="64">
        <f>합산자재!I54</f>
        <v>0</v>
      </c>
      <c r="L53" s="64">
        <f t="shared" si="6"/>
        <v>0</v>
      </c>
      <c r="M53" s="64">
        <f>합산자재!J54</f>
        <v>0</v>
      </c>
      <c r="N53" s="64">
        <f t="shared" si="7"/>
        <v>0</v>
      </c>
      <c r="O53" s="64"/>
      <c r="P53" s="64">
        <f t="shared" si="8"/>
        <v>3220</v>
      </c>
      <c r="Q53" s="78"/>
    </row>
    <row r="54" spans="1:29" ht="23.1" customHeight="1" x14ac:dyDescent="0.15">
      <c r="A54" s="21" t="s">
        <v>579</v>
      </c>
      <c r="B54" s="21" t="s">
        <v>501</v>
      </c>
      <c r="C54" s="21" t="s">
        <v>330</v>
      </c>
      <c r="D54" s="78" t="s">
        <v>331</v>
      </c>
      <c r="E54" s="78" t="s">
        <v>332</v>
      </c>
      <c r="F54" s="52" t="s">
        <v>190</v>
      </c>
      <c r="G54" s="49">
        <v>39</v>
      </c>
      <c r="H54" s="64">
        <f>합산자재!H55</f>
        <v>232</v>
      </c>
      <c r="I54" s="64">
        <f t="shared" si="5"/>
        <v>9048</v>
      </c>
      <c r="J54" s="64">
        <v>39</v>
      </c>
      <c r="K54" s="64">
        <f>합산자재!I55</f>
        <v>0</v>
      </c>
      <c r="L54" s="64">
        <f t="shared" si="6"/>
        <v>0</v>
      </c>
      <c r="M54" s="64">
        <f>합산자재!J55</f>
        <v>0</v>
      </c>
      <c r="N54" s="64">
        <f t="shared" si="7"/>
        <v>0</v>
      </c>
      <c r="O54" s="64"/>
      <c r="P54" s="64">
        <f t="shared" si="8"/>
        <v>9048</v>
      </c>
      <c r="Q54" s="78"/>
    </row>
    <row r="55" spans="1:29" ht="23.1" customHeight="1" x14ac:dyDescent="0.15">
      <c r="A55" s="21" t="s">
        <v>482</v>
      </c>
      <c r="B55" s="21" t="s">
        <v>501</v>
      </c>
      <c r="C55" s="21" t="s">
        <v>483</v>
      </c>
      <c r="D55" s="78" t="s">
        <v>484</v>
      </c>
      <c r="E55" s="78" t="s">
        <v>485</v>
      </c>
      <c r="F55" s="52" t="s">
        <v>486</v>
      </c>
      <c r="G55" s="49">
        <v>12</v>
      </c>
      <c r="H55" s="64">
        <f>'일대목차 (2)'!H4</f>
        <v>4338</v>
      </c>
      <c r="I55" s="64">
        <f t="shared" si="5"/>
        <v>52056</v>
      </c>
      <c r="J55" s="64">
        <v>12</v>
      </c>
      <c r="K55" s="64">
        <f>'일대목차 (2)'!K4</f>
        <v>29557</v>
      </c>
      <c r="L55" s="64">
        <f t="shared" si="6"/>
        <v>354684</v>
      </c>
      <c r="M55" s="64">
        <f>'일대목차 (2)'!M4</f>
        <v>0</v>
      </c>
      <c r="N55" s="64">
        <f t="shared" si="7"/>
        <v>0</v>
      </c>
      <c r="O55" s="64"/>
      <c r="P55" s="64">
        <f t="shared" si="8"/>
        <v>406740</v>
      </c>
      <c r="Q55" s="78" t="s">
        <v>1126</v>
      </c>
    </row>
    <row r="56" spans="1:29" ht="23.1" customHeight="1" x14ac:dyDescent="0.15">
      <c r="A56" s="21" t="s">
        <v>580</v>
      </c>
      <c r="B56" s="21" t="s">
        <v>501</v>
      </c>
      <c r="C56" s="21" t="s">
        <v>342</v>
      </c>
      <c r="D56" s="78" t="s">
        <v>343</v>
      </c>
      <c r="E56" s="78" t="s">
        <v>344</v>
      </c>
      <c r="F56" s="52" t="s">
        <v>345</v>
      </c>
      <c r="G56" s="49">
        <v>1</v>
      </c>
      <c r="H56" s="64">
        <f>'일대목차 (2)'!H8</f>
        <v>2937106</v>
      </c>
      <c r="I56" s="64">
        <f t="shared" si="5"/>
        <v>2937106</v>
      </c>
      <c r="J56" s="64">
        <v>1</v>
      </c>
      <c r="K56" s="64">
        <f>'일대목차 (2)'!K8</f>
        <v>1182997</v>
      </c>
      <c r="L56" s="64">
        <f t="shared" si="6"/>
        <v>1182997</v>
      </c>
      <c r="M56" s="64">
        <f>합산자재!J58</f>
        <v>0</v>
      </c>
      <c r="N56" s="64">
        <f t="shared" si="7"/>
        <v>0</v>
      </c>
      <c r="O56" s="64"/>
      <c r="P56" s="64">
        <f t="shared" si="8"/>
        <v>4120103</v>
      </c>
      <c r="Q56" s="78" t="s">
        <v>1127</v>
      </c>
    </row>
    <row r="57" spans="1:29" ht="23.1" customHeight="1" x14ac:dyDescent="0.15">
      <c r="A57" s="21" t="s">
        <v>581</v>
      </c>
      <c r="B57" s="21" t="s">
        <v>501</v>
      </c>
      <c r="C57" s="21" t="s">
        <v>347</v>
      </c>
      <c r="D57" s="78" t="s">
        <v>348</v>
      </c>
      <c r="E57" s="78" t="s">
        <v>349</v>
      </c>
      <c r="F57" s="52" t="s">
        <v>238</v>
      </c>
      <c r="G57" s="49">
        <v>4</v>
      </c>
      <c r="H57" s="64">
        <f>합산자재!H59</f>
        <v>0</v>
      </c>
      <c r="I57" s="64">
        <f t="shared" si="5"/>
        <v>0</v>
      </c>
      <c r="J57" s="64">
        <v>4</v>
      </c>
      <c r="K57" s="64">
        <f>합산자재!I59</f>
        <v>0</v>
      </c>
      <c r="L57" s="64">
        <f t="shared" si="6"/>
        <v>0</v>
      </c>
      <c r="M57" s="64">
        <f>합산자재!J59</f>
        <v>0</v>
      </c>
      <c r="N57" s="64">
        <f t="shared" si="7"/>
        <v>0</v>
      </c>
      <c r="O57" s="64"/>
      <c r="P57" s="64">
        <f t="shared" si="8"/>
        <v>0</v>
      </c>
      <c r="Q57" s="78"/>
    </row>
    <row r="58" spans="1:29" ht="23.1" customHeight="1" x14ac:dyDescent="0.15">
      <c r="A58" s="21" t="s">
        <v>582</v>
      </c>
      <c r="B58" s="21" t="s">
        <v>501</v>
      </c>
      <c r="C58" s="21" t="s">
        <v>350</v>
      </c>
      <c r="D58" s="78" t="s">
        <v>351</v>
      </c>
      <c r="E58" s="78" t="s">
        <v>352</v>
      </c>
      <c r="F58" s="52" t="s">
        <v>238</v>
      </c>
      <c r="G58" s="49">
        <v>2</v>
      </c>
      <c r="H58" s="64">
        <f>합산자재!H60</f>
        <v>400</v>
      </c>
      <c r="I58" s="64">
        <f t="shared" si="5"/>
        <v>800</v>
      </c>
      <c r="J58" s="64">
        <v>2</v>
      </c>
      <c r="K58" s="64">
        <f>합산자재!I60</f>
        <v>0</v>
      </c>
      <c r="L58" s="64">
        <f t="shared" si="6"/>
        <v>0</v>
      </c>
      <c r="M58" s="64">
        <f>합산자재!J60</f>
        <v>0</v>
      </c>
      <c r="N58" s="64">
        <f t="shared" si="7"/>
        <v>0</v>
      </c>
      <c r="O58" s="64"/>
      <c r="P58" s="64">
        <f t="shared" si="8"/>
        <v>800</v>
      </c>
      <c r="Q58" s="78"/>
    </row>
    <row r="59" spans="1:29" ht="23.1" customHeight="1" x14ac:dyDescent="0.15">
      <c r="A59" s="21" t="s">
        <v>583</v>
      </c>
      <c r="B59" s="21" t="s">
        <v>501</v>
      </c>
      <c r="C59" s="21" t="s">
        <v>354</v>
      </c>
      <c r="D59" s="78" t="s">
        <v>355</v>
      </c>
      <c r="E59" s="78" t="s">
        <v>356</v>
      </c>
      <c r="F59" s="52" t="s">
        <v>172</v>
      </c>
      <c r="G59" s="49">
        <v>26</v>
      </c>
      <c r="H59" s="64">
        <f>합산자재!H61</f>
        <v>0</v>
      </c>
      <c r="I59" s="64">
        <f t="shared" si="5"/>
        <v>0</v>
      </c>
      <c r="J59" s="64">
        <v>26</v>
      </c>
      <c r="K59" s="64">
        <f>합산자재!I61</f>
        <v>0</v>
      </c>
      <c r="L59" s="64">
        <f t="shared" si="6"/>
        <v>0</v>
      </c>
      <c r="M59" s="64">
        <f>합산자재!J61</f>
        <v>0</v>
      </c>
      <c r="N59" s="64">
        <f t="shared" si="7"/>
        <v>0</v>
      </c>
      <c r="O59" s="64"/>
      <c r="P59" s="64">
        <f t="shared" si="8"/>
        <v>0</v>
      </c>
      <c r="Q59" s="78"/>
      <c r="AC59" s="63">
        <f>G59*H59</f>
        <v>0</v>
      </c>
    </row>
    <row r="60" spans="1:29" ht="23.1" customHeight="1" x14ac:dyDescent="0.15">
      <c r="A60" s="21" t="s">
        <v>584</v>
      </c>
      <c r="B60" s="21" t="s">
        <v>501</v>
      </c>
      <c r="C60" s="21" t="s">
        <v>357</v>
      </c>
      <c r="D60" s="78" t="s">
        <v>358</v>
      </c>
      <c r="E60" s="78" t="s">
        <v>1070</v>
      </c>
      <c r="F60" s="52" t="s">
        <v>345</v>
      </c>
      <c r="G60" s="49">
        <v>1</v>
      </c>
      <c r="H60" s="64">
        <f>'일대목차 (2)'!I14</f>
        <v>1412036</v>
      </c>
      <c r="I60" s="64">
        <f t="shared" si="5"/>
        <v>1412036</v>
      </c>
      <c r="J60" s="64">
        <v>1</v>
      </c>
      <c r="K60" s="64">
        <f>'일대목차 (2)'!L14</f>
        <v>248243</v>
      </c>
      <c r="L60" s="64">
        <f t="shared" si="6"/>
        <v>248243</v>
      </c>
      <c r="M60" s="64">
        <f>합산자재!J62</f>
        <v>0</v>
      </c>
      <c r="N60" s="64">
        <f t="shared" si="7"/>
        <v>0</v>
      </c>
      <c r="O60" s="64"/>
      <c r="P60" s="64">
        <f t="shared" si="8"/>
        <v>1660279</v>
      </c>
      <c r="Q60" s="78" t="s">
        <v>1128</v>
      </c>
    </row>
    <row r="61" spans="1:29" ht="23.1" customHeight="1" x14ac:dyDescent="0.15">
      <c r="A61" s="21" t="s">
        <v>585</v>
      </c>
      <c r="B61" s="21" t="s">
        <v>501</v>
      </c>
      <c r="C61" s="21" t="s">
        <v>360</v>
      </c>
      <c r="D61" s="78" t="s">
        <v>361</v>
      </c>
      <c r="E61" s="78" t="s">
        <v>362</v>
      </c>
      <c r="F61" s="52" t="s">
        <v>345</v>
      </c>
      <c r="G61" s="49">
        <v>1</v>
      </c>
      <c r="H61" s="64">
        <f>'일대목차 (2)'!H6</f>
        <v>917751</v>
      </c>
      <c r="I61" s="64">
        <f t="shared" si="5"/>
        <v>917751</v>
      </c>
      <c r="J61" s="64">
        <v>1</v>
      </c>
      <c r="K61" s="64">
        <f>'일대목차 (2)'!K6</f>
        <v>304070</v>
      </c>
      <c r="L61" s="64">
        <f t="shared" si="6"/>
        <v>304070</v>
      </c>
      <c r="M61" s="64">
        <f>합산자재!J63</f>
        <v>0</v>
      </c>
      <c r="N61" s="64">
        <f t="shared" si="7"/>
        <v>0</v>
      </c>
      <c r="O61" s="64"/>
      <c r="P61" s="64">
        <f t="shared" si="8"/>
        <v>1221821</v>
      </c>
      <c r="Q61" s="78" t="s">
        <v>1129</v>
      </c>
    </row>
    <row r="62" spans="1:29" ht="23.1" customHeight="1" x14ac:dyDescent="0.15">
      <c r="A62" s="21" t="s">
        <v>586</v>
      </c>
      <c r="B62" s="21" t="s">
        <v>501</v>
      </c>
      <c r="C62" s="21" t="s">
        <v>363</v>
      </c>
      <c r="D62" s="78" t="s">
        <v>364</v>
      </c>
      <c r="E62" s="78" t="s">
        <v>1077</v>
      </c>
      <c r="F62" s="52" t="s">
        <v>345</v>
      </c>
      <c r="G62" s="49">
        <v>1</v>
      </c>
      <c r="H62" s="64">
        <f>'일대목차 (2)'!I13</f>
        <v>2729903</v>
      </c>
      <c r="I62" s="64">
        <f t="shared" si="5"/>
        <v>2729903</v>
      </c>
      <c r="J62" s="64">
        <v>1</v>
      </c>
      <c r="K62" s="64">
        <f>'일대목차 (2)'!L13</f>
        <v>442649</v>
      </c>
      <c r="L62" s="64">
        <f t="shared" si="6"/>
        <v>442649</v>
      </c>
      <c r="M62" s="64">
        <f>합산자재!J64</f>
        <v>0</v>
      </c>
      <c r="N62" s="64">
        <f t="shared" si="7"/>
        <v>0</v>
      </c>
      <c r="O62" s="64"/>
      <c r="P62" s="64">
        <f t="shared" si="8"/>
        <v>3172552</v>
      </c>
      <c r="Q62" s="78" t="s">
        <v>1130</v>
      </c>
    </row>
    <row r="63" spans="1:29" ht="23.1" customHeight="1" x14ac:dyDescent="0.15">
      <c r="A63" s="21" t="s">
        <v>587</v>
      </c>
      <c r="B63" s="21" t="s">
        <v>501</v>
      </c>
      <c r="C63" s="21" t="s">
        <v>366</v>
      </c>
      <c r="D63" s="78" t="s">
        <v>367</v>
      </c>
      <c r="E63" s="78" t="s">
        <v>1073</v>
      </c>
      <c r="F63" s="52" t="s">
        <v>345</v>
      </c>
      <c r="G63" s="49">
        <v>1</v>
      </c>
      <c r="H63" s="64">
        <f>'일대목차 (2)'!I10</f>
        <v>2086554</v>
      </c>
      <c r="I63" s="64">
        <f t="shared" si="5"/>
        <v>2086554</v>
      </c>
      <c r="J63" s="64">
        <v>1</v>
      </c>
      <c r="K63" s="64">
        <f>'일대목차 (2)'!L10</f>
        <v>523189</v>
      </c>
      <c r="L63" s="64">
        <f t="shared" si="6"/>
        <v>523189</v>
      </c>
      <c r="M63" s="64">
        <f>합산자재!J65</f>
        <v>0</v>
      </c>
      <c r="N63" s="64">
        <f t="shared" si="7"/>
        <v>0</v>
      </c>
      <c r="O63" s="64"/>
      <c r="P63" s="64">
        <f t="shared" si="8"/>
        <v>2609743</v>
      </c>
      <c r="Q63" s="78" t="s">
        <v>1131</v>
      </c>
    </row>
    <row r="64" spans="1:29" ht="23.1" customHeight="1" x14ac:dyDescent="0.15">
      <c r="A64" s="21" t="s">
        <v>588</v>
      </c>
      <c r="B64" s="21" t="s">
        <v>501</v>
      </c>
      <c r="C64" s="21" t="s">
        <v>368</v>
      </c>
      <c r="D64" s="78" t="s">
        <v>369</v>
      </c>
      <c r="E64" s="78" t="s">
        <v>370</v>
      </c>
      <c r="F64" s="52" t="s">
        <v>345</v>
      </c>
      <c r="G64" s="49">
        <v>1</v>
      </c>
      <c r="H64" s="64">
        <f>'일대목차 (2)'!I11</f>
        <v>650535</v>
      </c>
      <c r="I64" s="64">
        <f t="shared" si="5"/>
        <v>650535</v>
      </c>
      <c r="J64" s="64">
        <v>1</v>
      </c>
      <c r="K64" s="64">
        <f>'일대목차 (2)'!L11</f>
        <v>325401</v>
      </c>
      <c r="L64" s="64">
        <f t="shared" si="6"/>
        <v>325401</v>
      </c>
      <c r="M64" s="64">
        <f>합산자재!J66</f>
        <v>0</v>
      </c>
      <c r="N64" s="64">
        <f t="shared" si="7"/>
        <v>0</v>
      </c>
      <c r="O64" s="64"/>
      <c r="P64" s="64">
        <f t="shared" si="8"/>
        <v>975936</v>
      </c>
      <c r="Q64" s="78" t="s">
        <v>913</v>
      </c>
    </row>
    <row r="65" spans="1:17" ht="23.1" customHeight="1" x14ac:dyDescent="0.15">
      <c r="A65" s="21" t="s">
        <v>589</v>
      </c>
      <c r="B65" s="21" t="s">
        <v>501</v>
      </c>
      <c r="C65" s="21" t="s">
        <v>371</v>
      </c>
      <c r="D65" s="78" t="s">
        <v>372</v>
      </c>
      <c r="E65" s="78" t="s">
        <v>370</v>
      </c>
      <c r="F65" s="52" t="s">
        <v>345</v>
      </c>
      <c r="G65" s="49">
        <v>1</v>
      </c>
      <c r="H65" s="64">
        <f>'일대목차 (2)'!I12</f>
        <v>1069494</v>
      </c>
      <c r="I65" s="64">
        <f t="shared" si="5"/>
        <v>1069494</v>
      </c>
      <c r="J65" s="64">
        <v>1</v>
      </c>
      <c r="K65" s="64">
        <f>'일대목차 (2)'!L12</f>
        <v>352730</v>
      </c>
      <c r="L65" s="64">
        <f t="shared" si="6"/>
        <v>352730</v>
      </c>
      <c r="M65" s="64">
        <f>합산자재!J67</f>
        <v>0</v>
      </c>
      <c r="N65" s="64">
        <f t="shared" si="7"/>
        <v>0</v>
      </c>
      <c r="O65" s="64"/>
      <c r="P65" s="64">
        <f t="shared" si="8"/>
        <v>1422224</v>
      </c>
      <c r="Q65" s="78" t="s">
        <v>914</v>
      </c>
    </row>
    <row r="66" spans="1:17" ht="23.1" customHeight="1" x14ac:dyDescent="0.15">
      <c r="A66" s="21" t="s">
        <v>590</v>
      </c>
      <c r="B66" s="21" t="s">
        <v>501</v>
      </c>
      <c r="C66" s="21" t="s">
        <v>373</v>
      </c>
      <c r="D66" s="78" t="s">
        <v>374</v>
      </c>
      <c r="E66" s="78" t="s">
        <v>1071</v>
      </c>
      <c r="F66" s="52" t="s">
        <v>345</v>
      </c>
      <c r="G66" s="49">
        <v>1</v>
      </c>
      <c r="H66" s="64">
        <f>'일대목차 (2)'!H5</f>
        <v>1071463</v>
      </c>
      <c r="I66" s="64">
        <f t="shared" si="5"/>
        <v>1071463</v>
      </c>
      <c r="J66" s="64">
        <v>1</v>
      </c>
      <c r="K66" s="64">
        <f>'일대목차 (2)'!K5</f>
        <v>356861</v>
      </c>
      <c r="L66" s="64">
        <f t="shared" si="6"/>
        <v>356861</v>
      </c>
      <c r="M66" s="64">
        <f>합산자재!J68</f>
        <v>0</v>
      </c>
      <c r="N66" s="64">
        <f t="shared" si="7"/>
        <v>0</v>
      </c>
      <c r="O66" s="64"/>
      <c r="P66" s="64">
        <f t="shared" si="8"/>
        <v>1428324</v>
      </c>
      <c r="Q66" s="78" t="s">
        <v>1132</v>
      </c>
    </row>
    <row r="67" spans="1:17" ht="23.1" customHeight="1" x14ac:dyDescent="0.15">
      <c r="A67" s="21" t="s">
        <v>591</v>
      </c>
      <c r="B67" s="21" t="s">
        <v>501</v>
      </c>
      <c r="C67" s="21" t="s">
        <v>376</v>
      </c>
      <c r="D67" s="78" t="s">
        <v>377</v>
      </c>
      <c r="E67" s="78" t="s">
        <v>378</v>
      </c>
      <c r="F67" s="52" t="s">
        <v>345</v>
      </c>
      <c r="G67" s="49">
        <v>4</v>
      </c>
      <c r="H67" s="64">
        <f>합산자재!H69</f>
        <v>10000</v>
      </c>
      <c r="I67" s="64">
        <f t="shared" si="5"/>
        <v>40000</v>
      </c>
      <c r="J67" s="64">
        <v>4</v>
      </c>
      <c r="K67" s="64">
        <f>합산자재!I69</f>
        <v>0</v>
      </c>
      <c r="L67" s="64">
        <f t="shared" si="6"/>
        <v>0</v>
      </c>
      <c r="M67" s="64">
        <f>합산자재!J69</f>
        <v>0</v>
      </c>
      <c r="N67" s="64">
        <f t="shared" si="7"/>
        <v>0</v>
      </c>
      <c r="O67" s="64"/>
      <c r="P67" s="64">
        <f t="shared" si="8"/>
        <v>40000</v>
      </c>
      <c r="Q67" s="78"/>
    </row>
    <row r="68" spans="1:17" ht="23.1" customHeight="1" x14ac:dyDescent="0.15">
      <c r="A68" s="21" t="s">
        <v>592</v>
      </c>
      <c r="B68" s="21" t="s">
        <v>501</v>
      </c>
      <c r="C68" s="21" t="s">
        <v>380</v>
      </c>
      <c r="D68" s="78" t="s">
        <v>381</v>
      </c>
      <c r="E68" s="78" t="s">
        <v>343</v>
      </c>
      <c r="F68" s="52" t="s">
        <v>345</v>
      </c>
      <c r="G68" s="49">
        <v>1</v>
      </c>
      <c r="H68" s="64">
        <f>합산자재!H70</f>
        <v>0</v>
      </c>
      <c r="I68" s="64">
        <f t="shared" si="5"/>
        <v>0</v>
      </c>
      <c r="J68" s="64">
        <v>1</v>
      </c>
      <c r="K68" s="64">
        <f>합산자재!I70</f>
        <v>0</v>
      </c>
      <c r="L68" s="64">
        <f t="shared" si="6"/>
        <v>0</v>
      </c>
      <c r="M68" s="64">
        <f>합산자재!J70</f>
        <v>0</v>
      </c>
      <c r="N68" s="64">
        <f t="shared" si="7"/>
        <v>0</v>
      </c>
      <c r="O68" s="64"/>
      <c r="P68" s="64">
        <f t="shared" si="8"/>
        <v>0</v>
      </c>
      <c r="Q68" s="78"/>
    </row>
    <row r="69" spans="1:17" ht="23.1" customHeight="1" x14ac:dyDescent="0.15">
      <c r="A69" s="21" t="s">
        <v>593</v>
      </c>
      <c r="B69" s="21" t="s">
        <v>501</v>
      </c>
      <c r="C69" s="21" t="s">
        <v>382</v>
      </c>
      <c r="D69" s="78" t="s">
        <v>381</v>
      </c>
      <c r="E69" s="78" t="s">
        <v>1058</v>
      </c>
      <c r="F69" s="52" t="s">
        <v>345</v>
      </c>
      <c r="G69" s="49">
        <v>1</v>
      </c>
      <c r="H69" s="64">
        <f>합산자재!H71</f>
        <v>0</v>
      </c>
      <c r="I69" s="64">
        <f t="shared" ref="I69:I101" si="9">TRUNC(G69*H69)</f>
        <v>0</v>
      </c>
      <c r="J69" s="64">
        <v>1</v>
      </c>
      <c r="K69" s="64">
        <f>합산자재!I71</f>
        <v>0</v>
      </c>
      <c r="L69" s="64">
        <f t="shared" ref="L69:L101" si="10">TRUNC(G69*K69)</f>
        <v>0</v>
      </c>
      <c r="M69" s="64">
        <f>합산자재!J71</f>
        <v>0</v>
      </c>
      <c r="N69" s="64">
        <f t="shared" ref="N69:N101" si="11">TRUNC(G69*M69)</f>
        <v>0</v>
      </c>
      <c r="O69" s="64"/>
      <c r="P69" s="64">
        <f t="shared" ref="P69:P101" si="12">SUM(I69,L69,N69)</f>
        <v>0</v>
      </c>
      <c r="Q69" s="78"/>
    </row>
    <row r="70" spans="1:17" ht="23.1" customHeight="1" x14ac:dyDescent="0.15">
      <c r="A70" s="21" t="s">
        <v>594</v>
      </c>
      <c r="B70" s="21" t="s">
        <v>501</v>
      </c>
      <c r="C70" s="21" t="s">
        <v>384</v>
      </c>
      <c r="D70" s="78" t="s">
        <v>381</v>
      </c>
      <c r="E70" s="78" t="s">
        <v>385</v>
      </c>
      <c r="F70" s="52" t="s">
        <v>345</v>
      </c>
      <c r="G70" s="49">
        <v>1</v>
      </c>
      <c r="H70" s="64">
        <f>합산자재!H72</f>
        <v>0</v>
      </c>
      <c r="I70" s="64">
        <f t="shared" si="9"/>
        <v>0</v>
      </c>
      <c r="J70" s="64">
        <v>1</v>
      </c>
      <c r="K70" s="64">
        <f>합산자재!I72</f>
        <v>0</v>
      </c>
      <c r="L70" s="64">
        <f t="shared" si="10"/>
        <v>0</v>
      </c>
      <c r="M70" s="64">
        <f>합산자재!J72</f>
        <v>0</v>
      </c>
      <c r="N70" s="64">
        <f t="shared" si="11"/>
        <v>0</v>
      </c>
      <c r="O70" s="64"/>
      <c r="P70" s="64">
        <f t="shared" si="12"/>
        <v>0</v>
      </c>
      <c r="Q70" s="78"/>
    </row>
    <row r="71" spans="1:17" ht="23.1" customHeight="1" x14ac:dyDescent="0.15">
      <c r="A71" s="21" t="s">
        <v>595</v>
      </c>
      <c r="B71" s="21" t="s">
        <v>501</v>
      </c>
      <c r="C71" s="21" t="s">
        <v>386</v>
      </c>
      <c r="D71" s="78" t="s">
        <v>381</v>
      </c>
      <c r="E71" s="78" t="s">
        <v>387</v>
      </c>
      <c r="F71" s="52" t="s">
        <v>345</v>
      </c>
      <c r="G71" s="49">
        <v>1</v>
      </c>
      <c r="H71" s="64">
        <f>합산자재!H73</f>
        <v>0</v>
      </c>
      <c r="I71" s="64">
        <f t="shared" si="9"/>
        <v>0</v>
      </c>
      <c r="J71" s="64">
        <v>1</v>
      </c>
      <c r="K71" s="64">
        <f>합산자재!I73</f>
        <v>0</v>
      </c>
      <c r="L71" s="64">
        <f t="shared" si="10"/>
        <v>0</v>
      </c>
      <c r="M71" s="64">
        <f>합산자재!J73</f>
        <v>0</v>
      </c>
      <c r="N71" s="64">
        <f t="shared" si="11"/>
        <v>0</v>
      </c>
      <c r="O71" s="64"/>
      <c r="P71" s="64">
        <f t="shared" si="12"/>
        <v>0</v>
      </c>
      <c r="Q71" s="78"/>
    </row>
    <row r="72" spans="1:17" ht="23.1" customHeight="1" x14ac:dyDescent="0.15">
      <c r="A72" s="21" t="s">
        <v>596</v>
      </c>
      <c r="B72" s="21" t="s">
        <v>501</v>
      </c>
      <c r="C72" s="21" t="s">
        <v>388</v>
      </c>
      <c r="D72" s="78" t="s">
        <v>381</v>
      </c>
      <c r="E72" s="78" t="s">
        <v>389</v>
      </c>
      <c r="F72" s="52" t="s">
        <v>345</v>
      </c>
      <c r="G72" s="49">
        <v>1</v>
      </c>
      <c r="H72" s="64">
        <f>합산자재!H74</f>
        <v>0</v>
      </c>
      <c r="I72" s="64">
        <f t="shared" si="9"/>
        <v>0</v>
      </c>
      <c r="J72" s="64">
        <v>1</v>
      </c>
      <c r="K72" s="64">
        <f>합산자재!I74</f>
        <v>0</v>
      </c>
      <c r="L72" s="64">
        <f t="shared" si="10"/>
        <v>0</v>
      </c>
      <c r="M72" s="64">
        <f>합산자재!J74</f>
        <v>0</v>
      </c>
      <c r="N72" s="64">
        <f t="shared" si="11"/>
        <v>0</v>
      </c>
      <c r="O72" s="64"/>
      <c r="P72" s="64">
        <f t="shared" si="12"/>
        <v>0</v>
      </c>
      <c r="Q72" s="78"/>
    </row>
    <row r="73" spans="1:17" ht="23.1" customHeight="1" x14ac:dyDescent="0.15">
      <c r="A73" s="21" t="s">
        <v>597</v>
      </c>
      <c r="B73" s="21" t="s">
        <v>501</v>
      </c>
      <c r="C73" s="21" t="s">
        <v>390</v>
      </c>
      <c r="D73" s="78" t="s">
        <v>381</v>
      </c>
      <c r="E73" s="78" t="s">
        <v>391</v>
      </c>
      <c r="F73" s="52" t="s">
        <v>345</v>
      </c>
      <c r="G73" s="49">
        <v>1</v>
      </c>
      <c r="H73" s="64">
        <f>합산자재!H75</f>
        <v>0</v>
      </c>
      <c r="I73" s="64">
        <f t="shared" si="9"/>
        <v>0</v>
      </c>
      <c r="J73" s="64">
        <v>1</v>
      </c>
      <c r="K73" s="64">
        <f>합산자재!I75</f>
        <v>0</v>
      </c>
      <c r="L73" s="64">
        <f t="shared" si="10"/>
        <v>0</v>
      </c>
      <c r="M73" s="64">
        <f>합산자재!J75</f>
        <v>0</v>
      </c>
      <c r="N73" s="64">
        <f t="shared" si="11"/>
        <v>0</v>
      </c>
      <c r="O73" s="64"/>
      <c r="P73" s="64">
        <f t="shared" si="12"/>
        <v>0</v>
      </c>
      <c r="Q73" s="78"/>
    </row>
    <row r="74" spans="1:17" ht="23.1" customHeight="1" x14ac:dyDescent="0.15">
      <c r="A74" s="21" t="s">
        <v>598</v>
      </c>
      <c r="B74" s="21" t="s">
        <v>501</v>
      </c>
      <c r="C74" s="21" t="s">
        <v>392</v>
      </c>
      <c r="D74" s="78" t="s">
        <v>381</v>
      </c>
      <c r="E74" s="78" t="s">
        <v>393</v>
      </c>
      <c r="F74" s="52" t="s">
        <v>345</v>
      </c>
      <c r="G74" s="49">
        <v>1</v>
      </c>
      <c r="H74" s="64">
        <f>합산자재!H76</f>
        <v>0</v>
      </c>
      <c r="I74" s="64">
        <f t="shared" si="9"/>
        <v>0</v>
      </c>
      <c r="J74" s="64">
        <v>1</v>
      </c>
      <c r="K74" s="64">
        <f>합산자재!I76</f>
        <v>0</v>
      </c>
      <c r="L74" s="64">
        <f t="shared" si="10"/>
        <v>0</v>
      </c>
      <c r="M74" s="64">
        <f>합산자재!J76</f>
        <v>0</v>
      </c>
      <c r="N74" s="64">
        <f t="shared" si="11"/>
        <v>0</v>
      </c>
      <c r="O74" s="64"/>
      <c r="P74" s="64">
        <f t="shared" si="12"/>
        <v>0</v>
      </c>
      <c r="Q74" s="78"/>
    </row>
    <row r="75" spans="1:17" ht="23.1" customHeight="1" x14ac:dyDescent="0.15">
      <c r="A75" s="21" t="s">
        <v>599</v>
      </c>
      <c r="B75" s="21" t="s">
        <v>501</v>
      </c>
      <c r="C75" s="21" t="s">
        <v>394</v>
      </c>
      <c r="D75" s="78" t="s">
        <v>381</v>
      </c>
      <c r="E75" s="78" t="s">
        <v>395</v>
      </c>
      <c r="F75" s="52" t="s">
        <v>345</v>
      </c>
      <c r="G75" s="49">
        <v>1</v>
      </c>
      <c r="H75" s="64">
        <f>합산자재!H77</f>
        <v>0</v>
      </c>
      <c r="I75" s="64">
        <f t="shared" si="9"/>
        <v>0</v>
      </c>
      <c r="J75" s="64">
        <v>1</v>
      </c>
      <c r="K75" s="64">
        <f>합산자재!I77</f>
        <v>0</v>
      </c>
      <c r="L75" s="64">
        <f t="shared" si="10"/>
        <v>0</v>
      </c>
      <c r="M75" s="64">
        <f>합산자재!J77</f>
        <v>0</v>
      </c>
      <c r="N75" s="64">
        <f t="shared" si="11"/>
        <v>0</v>
      </c>
      <c r="O75" s="64"/>
      <c r="P75" s="64">
        <f t="shared" si="12"/>
        <v>0</v>
      </c>
      <c r="Q75" s="78"/>
    </row>
    <row r="76" spans="1:17" ht="23.1" customHeight="1" x14ac:dyDescent="0.15">
      <c r="A76" s="21" t="s">
        <v>600</v>
      </c>
      <c r="B76" s="21" t="s">
        <v>501</v>
      </c>
      <c r="C76" s="21" t="s">
        <v>396</v>
      </c>
      <c r="D76" s="78" t="s">
        <v>381</v>
      </c>
      <c r="E76" s="78" t="s">
        <v>397</v>
      </c>
      <c r="F76" s="52" t="s">
        <v>345</v>
      </c>
      <c r="G76" s="49">
        <v>1</v>
      </c>
      <c r="H76" s="64">
        <f>합산자재!H78</f>
        <v>0</v>
      </c>
      <c r="I76" s="64">
        <f t="shared" si="9"/>
        <v>0</v>
      </c>
      <c r="J76" s="64">
        <v>1</v>
      </c>
      <c r="K76" s="64">
        <f>합산자재!I78</f>
        <v>0</v>
      </c>
      <c r="L76" s="64">
        <f t="shared" si="10"/>
        <v>0</v>
      </c>
      <c r="M76" s="64">
        <f>합산자재!J78</f>
        <v>0</v>
      </c>
      <c r="N76" s="64">
        <f t="shared" si="11"/>
        <v>0</v>
      </c>
      <c r="O76" s="64"/>
      <c r="P76" s="64">
        <f t="shared" si="12"/>
        <v>0</v>
      </c>
      <c r="Q76" s="78"/>
    </row>
    <row r="77" spans="1:17" ht="23.1" customHeight="1" x14ac:dyDescent="0.15">
      <c r="A77" s="21" t="s">
        <v>601</v>
      </c>
      <c r="B77" s="21" t="s">
        <v>501</v>
      </c>
      <c r="C77" s="21" t="s">
        <v>398</v>
      </c>
      <c r="D77" s="78" t="s">
        <v>381</v>
      </c>
      <c r="E77" s="78" t="s">
        <v>399</v>
      </c>
      <c r="F77" s="52" t="s">
        <v>345</v>
      </c>
      <c r="G77" s="49">
        <v>1</v>
      </c>
      <c r="H77" s="64">
        <f>합산자재!H79</f>
        <v>0</v>
      </c>
      <c r="I77" s="64">
        <f t="shared" si="9"/>
        <v>0</v>
      </c>
      <c r="J77" s="64">
        <v>1</v>
      </c>
      <c r="K77" s="64">
        <f>합산자재!I79</f>
        <v>0</v>
      </c>
      <c r="L77" s="64">
        <f t="shared" si="10"/>
        <v>0</v>
      </c>
      <c r="M77" s="64">
        <f>합산자재!J79</f>
        <v>0</v>
      </c>
      <c r="N77" s="64">
        <f t="shared" si="11"/>
        <v>0</v>
      </c>
      <c r="O77" s="64"/>
      <c r="P77" s="64">
        <f t="shared" si="12"/>
        <v>0</v>
      </c>
      <c r="Q77" s="78"/>
    </row>
    <row r="78" spans="1:17" ht="23.1" customHeight="1" x14ac:dyDescent="0.15">
      <c r="A78" s="21" t="s">
        <v>602</v>
      </c>
      <c r="B78" s="21" t="s">
        <v>501</v>
      </c>
      <c r="C78" s="21" t="s">
        <v>400</v>
      </c>
      <c r="D78" s="78" t="s">
        <v>395</v>
      </c>
      <c r="E78" s="78" t="s">
        <v>401</v>
      </c>
      <c r="F78" s="52" t="s">
        <v>345</v>
      </c>
      <c r="G78" s="49">
        <v>1</v>
      </c>
      <c r="H78" s="64">
        <f>'일대목차 (2)'!H9</f>
        <v>3015279</v>
      </c>
      <c r="I78" s="64">
        <f t="shared" si="9"/>
        <v>3015279</v>
      </c>
      <c r="J78" s="64">
        <v>1</v>
      </c>
      <c r="K78" s="64">
        <f>'일대목차 (2)'!K9</f>
        <v>1459190</v>
      </c>
      <c r="L78" s="64">
        <f t="shared" si="10"/>
        <v>1459190</v>
      </c>
      <c r="M78" s="64">
        <f>합산자재!J80</f>
        <v>0</v>
      </c>
      <c r="N78" s="64">
        <f t="shared" si="11"/>
        <v>0</v>
      </c>
      <c r="O78" s="64"/>
      <c r="P78" s="64">
        <f t="shared" si="12"/>
        <v>4474469</v>
      </c>
      <c r="Q78" s="78" t="s">
        <v>1133</v>
      </c>
    </row>
    <row r="79" spans="1:17" ht="23.1" customHeight="1" x14ac:dyDescent="0.15">
      <c r="A79" s="21" t="s">
        <v>603</v>
      </c>
      <c r="B79" s="21" t="s">
        <v>501</v>
      </c>
      <c r="C79" s="21" t="s">
        <v>402</v>
      </c>
      <c r="D79" s="78" t="s">
        <v>397</v>
      </c>
      <c r="E79" s="78" t="s">
        <v>403</v>
      </c>
      <c r="F79" s="52" t="s">
        <v>345</v>
      </c>
      <c r="G79" s="49">
        <v>1</v>
      </c>
      <c r="H79" s="64">
        <f>'일대목차 (2)'!H7</f>
        <v>6549101</v>
      </c>
      <c r="I79" s="64">
        <f t="shared" si="9"/>
        <v>6549101</v>
      </c>
      <c r="J79" s="64">
        <v>1</v>
      </c>
      <c r="K79" s="64">
        <f>'일대목차 (2)'!K7</f>
        <v>1977497</v>
      </c>
      <c r="L79" s="64">
        <f t="shared" si="10"/>
        <v>1977497</v>
      </c>
      <c r="M79" s="64">
        <f>합산자재!J81</f>
        <v>0</v>
      </c>
      <c r="N79" s="64">
        <f t="shared" si="11"/>
        <v>0</v>
      </c>
      <c r="O79" s="64"/>
      <c r="P79" s="64">
        <f t="shared" si="12"/>
        <v>8526598</v>
      </c>
      <c r="Q79" s="78" t="s">
        <v>1134</v>
      </c>
    </row>
    <row r="80" spans="1:17" ht="23.1" customHeight="1" x14ac:dyDescent="0.15">
      <c r="D80" s="78" t="s">
        <v>1093</v>
      </c>
      <c r="E80" s="78" t="s">
        <v>1095</v>
      </c>
      <c r="F80" s="52" t="s">
        <v>1094</v>
      </c>
      <c r="G80" s="49">
        <v>1</v>
      </c>
      <c r="H80" s="64">
        <v>410256</v>
      </c>
      <c r="I80" s="64">
        <f t="shared" si="9"/>
        <v>410256</v>
      </c>
      <c r="J80" s="64"/>
      <c r="K80" s="64"/>
      <c r="L80" s="64"/>
      <c r="M80" s="64"/>
      <c r="N80" s="64"/>
      <c r="O80" s="64"/>
      <c r="P80" s="64">
        <f t="shared" si="12"/>
        <v>410256</v>
      </c>
      <c r="Q80" s="78"/>
    </row>
    <row r="81" spans="1:29" ht="23.1" customHeight="1" x14ac:dyDescent="0.15">
      <c r="A81" s="21" t="s">
        <v>604</v>
      </c>
      <c r="B81" s="21" t="s">
        <v>501</v>
      </c>
      <c r="C81" s="21" t="s">
        <v>404</v>
      </c>
      <c r="D81" s="78" t="s">
        <v>405</v>
      </c>
      <c r="E81" s="78" t="s">
        <v>406</v>
      </c>
      <c r="F81" s="52" t="s">
        <v>238</v>
      </c>
      <c r="G81" s="49">
        <v>2</v>
      </c>
      <c r="H81" s="64">
        <f>합산자재!H82</f>
        <v>0</v>
      </c>
      <c r="I81" s="64">
        <f t="shared" si="9"/>
        <v>0</v>
      </c>
      <c r="J81" s="64">
        <v>2</v>
      </c>
      <c r="K81" s="64">
        <f>합산자재!I82</f>
        <v>0</v>
      </c>
      <c r="L81" s="64">
        <f t="shared" si="10"/>
        <v>0</v>
      </c>
      <c r="M81" s="64">
        <f>합산자재!J82</f>
        <v>0</v>
      </c>
      <c r="N81" s="64">
        <f t="shared" si="11"/>
        <v>0</v>
      </c>
      <c r="O81" s="64"/>
      <c r="P81" s="64">
        <f t="shared" si="12"/>
        <v>0</v>
      </c>
      <c r="Q81" s="78"/>
    </row>
    <row r="82" spans="1:29" ht="23.1" customHeight="1" x14ac:dyDescent="0.15">
      <c r="A82" s="21" t="s">
        <v>605</v>
      </c>
      <c r="B82" s="21" t="s">
        <v>501</v>
      </c>
      <c r="C82" s="21" t="s">
        <v>407</v>
      </c>
      <c r="D82" s="78" t="s">
        <v>405</v>
      </c>
      <c r="E82" s="78" t="s">
        <v>408</v>
      </c>
      <c r="F82" s="52" t="s">
        <v>238</v>
      </c>
      <c r="G82" s="49">
        <v>1</v>
      </c>
      <c r="H82" s="64">
        <f>합산자재!H83</f>
        <v>0</v>
      </c>
      <c r="I82" s="64">
        <f t="shared" si="9"/>
        <v>0</v>
      </c>
      <c r="J82" s="64">
        <v>1</v>
      </c>
      <c r="K82" s="64">
        <f>합산자재!I83</f>
        <v>0</v>
      </c>
      <c r="L82" s="64">
        <f t="shared" si="10"/>
        <v>0</v>
      </c>
      <c r="M82" s="64">
        <f>합산자재!J83</f>
        <v>0</v>
      </c>
      <c r="N82" s="64">
        <f t="shared" si="11"/>
        <v>0</v>
      </c>
      <c r="O82" s="64"/>
      <c r="P82" s="64">
        <f t="shared" si="12"/>
        <v>0</v>
      </c>
      <c r="Q82" s="78"/>
    </row>
    <row r="83" spans="1:29" ht="23.1" customHeight="1" x14ac:dyDescent="0.15">
      <c r="A83" s="21" t="s">
        <v>606</v>
      </c>
      <c r="B83" s="21" t="s">
        <v>501</v>
      </c>
      <c r="C83" s="21" t="s">
        <v>409</v>
      </c>
      <c r="D83" s="78" t="s">
        <v>410</v>
      </c>
      <c r="E83" s="78" t="s">
        <v>411</v>
      </c>
      <c r="F83" s="52" t="s">
        <v>345</v>
      </c>
      <c r="G83" s="49">
        <v>1</v>
      </c>
      <c r="H83" s="64">
        <f>합산자재!H84</f>
        <v>600000</v>
      </c>
      <c r="I83" s="64">
        <f t="shared" si="9"/>
        <v>600000</v>
      </c>
      <c r="J83" s="64">
        <v>1</v>
      </c>
      <c r="K83" s="64">
        <f>합산자재!I84</f>
        <v>0</v>
      </c>
      <c r="L83" s="64">
        <f t="shared" si="10"/>
        <v>0</v>
      </c>
      <c r="M83" s="64">
        <f>합산자재!J84</f>
        <v>0</v>
      </c>
      <c r="N83" s="64">
        <f t="shared" si="11"/>
        <v>0</v>
      </c>
      <c r="O83" s="64"/>
      <c r="P83" s="64">
        <f t="shared" si="12"/>
        <v>600000</v>
      </c>
      <c r="Q83" s="78"/>
    </row>
    <row r="84" spans="1:29" ht="23.1" customHeight="1" x14ac:dyDescent="0.15">
      <c r="A84" s="21" t="s">
        <v>607</v>
      </c>
      <c r="B84" s="21" t="s">
        <v>501</v>
      </c>
      <c r="C84" s="21" t="s">
        <v>412</v>
      </c>
      <c r="D84" s="78" t="s">
        <v>413</v>
      </c>
      <c r="E84" s="78" t="s">
        <v>414</v>
      </c>
      <c r="F84" s="52" t="s">
        <v>172</v>
      </c>
      <c r="G84" s="49">
        <v>145</v>
      </c>
      <c r="H84" s="64">
        <f>합산자재!H85</f>
        <v>0</v>
      </c>
      <c r="I84" s="64">
        <f t="shared" si="9"/>
        <v>0</v>
      </c>
      <c r="J84" s="64">
        <v>145</v>
      </c>
      <c r="K84" s="64">
        <f>합산자재!I85</f>
        <v>0</v>
      </c>
      <c r="L84" s="64">
        <f t="shared" si="10"/>
        <v>0</v>
      </c>
      <c r="M84" s="64">
        <f>합산자재!J85</f>
        <v>0</v>
      </c>
      <c r="N84" s="64">
        <f t="shared" si="11"/>
        <v>0</v>
      </c>
      <c r="O84" s="64"/>
      <c r="P84" s="64">
        <f t="shared" si="12"/>
        <v>0</v>
      </c>
      <c r="Q84" s="78"/>
      <c r="R84" s="2" t="s">
        <v>1060</v>
      </c>
      <c r="S84" s="2">
        <v>2.5</v>
      </c>
      <c r="T84" s="2">
        <v>8.9599999999999992E-3</v>
      </c>
      <c r="U84" s="2">
        <v>145</v>
      </c>
      <c r="V84" s="2">
        <v>0.8</v>
      </c>
      <c r="W84" s="2">
        <f>V84*U84*T84*S84</f>
        <v>2.5983999999999998</v>
      </c>
      <c r="AC84" s="63">
        <f>G84*H84</f>
        <v>0</v>
      </c>
    </row>
    <row r="85" spans="1:29" ht="23.1" customHeight="1" x14ac:dyDescent="0.15">
      <c r="A85" s="21" t="s">
        <v>608</v>
      </c>
      <c r="B85" s="21" t="s">
        <v>501</v>
      </c>
      <c r="C85" s="21" t="s">
        <v>415</v>
      </c>
      <c r="D85" s="78" t="s">
        <v>413</v>
      </c>
      <c r="E85" s="78" t="s">
        <v>416</v>
      </c>
      <c r="F85" s="52" t="s">
        <v>190</v>
      </c>
      <c r="G85" s="49">
        <v>275</v>
      </c>
      <c r="H85" s="64">
        <f>합산자재!H86</f>
        <v>0</v>
      </c>
      <c r="I85" s="64">
        <f t="shared" si="9"/>
        <v>0</v>
      </c>
      <c r="J85" s="64">
        <v>275</v>
      </c>
      <c r="K85" s="64">
        <f>합산자재!I86</f>
        <v>0</v>
      </c>
      <c r="L85" s="64">
        <f t="shared" si="10"/>
        <v>0</v>
      </c>
      <c r="M85" s="64">
        <f>합산자재!J86</f>
        <v>0</v>
      </c>
      <c r="N85" s="64">
        <f t="shared" si="11"/>
        <v>0</v>
      </c>
      <c r="O85" s="64"/>
      <c r="P85" s="64">
        <f t="shared" si="12"/>
        <v>0</v>
      </c>
      <c r="Q85" s="78"/>
      <c r="S85" s="2">
        <v>4</v>
      </c>
      <c r="T85" s="2">
        <v>8.9599999999999992E-3</v>
      </c>
      <c r="U85" s="2">
        <v>275</v>
      </c>
      <c r="V85" s="2">
        <v>0.8</v>
      </c>
      <c r="W85" s="2">
        <f>V85*U85*T85*S85</f>
        <v>7.8847999999999994</v>
      </c>
      <c r="Z85" s="2" t="s">
        <v>490</v>
      </c>
    </row>
    <row r="86" spans="1:29" ht="23.1" customHeight="1" x14ac:dyDescent="0.15">
      <c r="A86" s="21" t="s">
        <v>609</v>
      </c>
      <c r="B86" s="21" t="s">
        <v>501</v>
      </c>
      <c r="C86" s="21" t="s">
        <v>417</v>
      </c>
      <c r="D86" s="78" t="s">
        <v>418</v>
      </c>
      <c r="E86" s="78" t="s">
        <v>419</v>
      </c>
      <c r="F86" s="52" t="s">
        <v>420</v>
      </c>
      <c r="G86" s="49">
        <v>12</v>
      </c>
      <c r="H86" s="64">
        <f>합산자재!H87</f>
        <v>0</v>
      </c>
      <c r="I86" s="64">
        <f t="shared" si="9"/>
        <v>0</v>
      </c>
      <c r="J86" s="64">
        <v>12</v>
      </c>
      <c r="K86" s="64">
        <f>합산자재!I87</f>
        <v>0</v>
      </c>
      <c r="L86" s="64">
        <f t="shared" si="10"/>
        <v>0</v>
      </c>
      <c r="M86" s="64">
        <f>합산자재!J87</f>
        <v>0</v>
      </c>
      <c r="N86" s="64">
        <f t="shared" si="11"/>
        <v>0</v>
      </c>
      <c r="O86" s="64"/>
      <c r="P86" s="64">
        <f t="shared" si="12"/>
        <v>0</v>
      </c>
      <c r="Q86" s="78"/>
    </row>
    <row r="87" spans="1:29" ht="23.1" customHeight="1" thickBot="1" x14ac:dyDescent="0.2">
      <c r="A87" s="21" t="s">
        <v>610</v>
      </c>
      <c r="B87" s="21" t="s">
        <v>501</v>
      </c>
      <c r="C87" s="21" t="s">
        <v>421</v>
      </c>
      <c r="D87" s="78" t="s">
        <v>418</v>
      </c>
      <c r="E87" s="78" t="s">
        <v>422</v>
      </c>
      <c r="F87" s="52" t="s">
        <v>420</v>
      </c>
      <c r="G87" s="49">
        <v>1</v>
      </c>
      <c r="H87" s="64">
        <f>합산자재!H88</f>
        <v>0</v>
      </c>
      <c r="I87" s="64">
        <f t="shared" si="9"/>
        <v>0</v>
      </c>
      <c r="J87" s="64">
        <v>1</v>
      </c>
      <c r="K87" s="64">
        <f>합산자재!I88</f>
        <v>0</v>
      </c>
      <c r="L87" s="64">
        <f t="shared" si="10"/>
        <v>0</v>
      </c>
      <c r="M87" s="64">
        <f>합산자재!J88</f>
        <v>0</v>
      </c>
      <c r="N87" s="64">
        <f t="shared" si="11"/>
        <v>0</v>
      </c>
      <c r="O87" s="64"/>
      <c r="P87" s="64">
        <f t="shared" si="12"/>
        <v>0</v>
      </c>
      <c r="Q87" s="78"/>
      <c r="R87" s="2" t="s">
        <v>1061</v>
      </c>
      <c r="S87" s="2">
        <v>75</v>
      </c>
      <c r="T87" s="2">
        <v>8.9599999999999992E-3</v>
      </c>
      <c r="U87" s="2">
        <f>U88+U89+U90+U91+U92+U93</f>
        <v>20.800000000000004</v>
      </c>
      <c r="V87" s="2">
        <v>0.8</v>
      </c>
      <c r="W87" s="2">
        <f t="shared" ref="W87" si="13">V87*U87*T87*S87</f>
        <v>11.182080000000001</v>
      </c>
    </row>
    <row r="88" spans="1:29" ht="23.1" customHeight="1" thickBot="1" x14ac:dyDescent="0.2">
      <c r="A88" s="21" t="s">
        <v>611</v>
      </c>
      <c r="B88" s="21" t="s">
        <v>501</v>
      </c>
      <c r="C88" s="21" t="s">
        <v>423</v>
      </c>
      <c r="D88" s="78" t="s">
        <v>424</v>
      </c>
      <c r="E88" s="78" t="s">
        <v>425</v>
      </c>
      <c r="F88" s="52" t="s">
        <v>420</v>
      </c>
      <c r="G88" s="49">
        <v>1</v>
      </c>
      <c r="H88" s="64">
        <f>합산자재!H89</f>
        <v>70000</v>
      </c>
      <c r="I88" s="64">
        <f t="shared" si="9"/>
        <v>70000</v>
      </c>
      <c r="J88" s="64">
        <v>1</v>
      </c>
      <c r="K88" s="64">
        <f>합산자재!I89</f>
        <v>0</v>
      </c>
      <c r="L88" s="64">
        <f t="shared" si="10"/>
        <v>0</v>
      </c>
      <c r="M88" s="64">
        <f>합산자재!J89</f>
        <v>0</v>
      </c>
      <c r="N88" s="64">
        <f t="shared" si="11"/>
        <v>0</v>
      </c>
      <c r="O88" s="64"/>
      <c r="P88" s="64">
        <f t="shared" si="12"/>
        <v>70000</v>
      </c>
      <c r="Q88" s="78"/>
      <c r="U88" s="152">
        <v>3.2</v>
      </c>
    </row>
    <row r="89" spans="1:29" ht="23.1" customHeight="1" thickBot="1" x14ac:dyDescent="0.2">
      <c r="A89" s="21" t="s">
        <v>612</v>
      </c>
      <c r="B89" s="21" t="s">
        <v>501</v>
      </c>
      <c r="C89" s="21" t="s">
        <v>426</v>
      </c>
      <c r="D89" s="78" t="s">
        <v>427</v>
      </c>
      <c r="E89" s="78" t="s">
        <v>428</v>
      </c>
      <c r="F89" s="52" t="s">
        <v>420</v>
      </c>
      <c r="G89" s="49">
        <v>12</v>
      </c>
      <c r="H89" s="64">
        <f>합산자재!H90</f>
        <v>25000</v>
      </c>
      <c r="I89" s="64">
        <f t="shared" si="9"/>
        <v>300000</v>
      </c>
      <c r="J89" s="64">
        <v>12</v>
      </c>
      <c r="K89" s="64">
        <f>합산자재!I90</f>
        <v>0</v>
      </c>
      <c r="L89" s="64">
        <f t="shared" si="10"/>
        <v>0</v>
      </c>
      <c r="M89" s="64">
        <f>합산자재!J90</f>
        <v>0</v>
      </c>
      <c r="N89" s="64">
        <f t="shared" si="11"/>
        <v>0</v>
      </c>
      <c r="O89" s="64"/>
      <c r="P89" s="64">
        <f t="shared" si="12"/>
        <v>300000</v>
      </c>
      <c r="Q89" s="78"/>
      <c r="U89" s="153">
        <v>3.6</v>
      </c>
      <c r="W89" s="155" t="s">
        <v>1062</v>
      </c>
      <c r="X89" s="156">
        <f>(W87+W85+W84)*0.7</f>
        <v>15.165696000000001</v>
      </c>
    </row>
    <row r="90" spans="1:29" ht="23.1" customHeight="1" x14ac:dyDescent="0.15">
      <c r="A90" s="21" t="s">
        <v>613</v>
      </c>
      <c r="B90" s="21" t="s">
        <v>501</v>
      </c>
      <c r="C90" s="21" t="s">
        <v>429</v>
      </c>
      <c r="D90" s="78" t="s">
        <v>430</v>
      </c>
      <c r="E90" s="78" t="s">
        <v>431</v>
      </c>
      <c r="F90" s="52" t="s">
        <v>238</v>
      </c>
      <c r="G90" s="49">
        <v>3</v>
      </c>
      <c r="H90" s="64">
        <f>합산자재!H91</f>
        <v>0</v>
      </c>
      <c r="I90" s="64">
        <f t="shared" si="9"/>
        <v>0</v>
      </c>
      <c r="J90" s="64">
        <v>3</v>
      </c>
      <c r="K90" s="64">
        <f>합산자재!I91</f>
        <v>0</v>
      </c>
      <c r="L90" s="64">
        <f t="shared" si="10"/>
        <v>0</v>
      </c>
      <c r="M90" s="64">
        <f>합산자재!J91</f>
        <v>0</v>
      </c>
      <c r="N90" s="64">
        <f t="shared" si="11"/>
        <v>0</v>
      </c>
      <c r="O90" s="64"/>
      <c r="P90" s="64">
        <f t="shared" si="12"/>
        <v>0</v>
      </c>
      <c r="Q90" s="78"/>
      <c r="U90" s="153">
        <v>3.4</v>
      </c>
      <c r="X90" s="2" t="s">
        <v>1081</v>
      </c>
    </row>
    <row r="91" spans="1:29" ht="23.1" customHeight="1" x14ac:dyDescent="0.15">
      <c r="A91" s="21" t="s">
        <v>614</v>
      </c>
      <c r="B91" s="21" t="s">
        <v>501</v>
      </c>
      <c r="C91" s="21" t="s">
        <v>432</v>
      </c>
      <c r="D91" s="78" t="s">
        <v>433</v>
      </c>
      <c r="E91" s="78" t="s">
        <v>434</v>
      </c>
      <c r="F91" s="52" t="s">
        <v>238</v>
      </c>
      <c r="G91" s="49">
        <v>47</v>
      </c>
      <c r="H91" s="64">
        <f>합산자재!H92</f>
        <v>1200</v>
      </c>
      <c r="I91" s="64">
        <f t="shared" si="9"/>
        <v>56400</v>
      </c>
      <c r="J91" s="64">
        <v>47</v>
      </c>
      <c r="K91" s="64">
        <f>합산자재!I92</f>
        <v>0</v>
      </c>
      <c r="L91" s="64">
        <f t="shared" si="10"/>
        <v>0</v>
      </c>
      <c r="M91" s="64">
        <f>합산자재!J92</f>
        <v>0</v>
      </c>
      <c r="N91" s="64">
        <f t="shared" si="11"/>
        <v>0</v>
      </c>
      <c r="O91" s="64"/>
      <c r="P91" s="64">
        <f t="shared" si="12"/>
        <v>56400</v>
      </c>
      <c r="Q91" s="78"/>
      <c r="U91" s="153">
        <v>3.2</v>
      </c>
    </row>
    <row r="92" spans="1:29" ht="23.1" customHeight="1" x14ac:dyDescent="0.15">
      <c r="A92" s="21" t="s">
        <v>615</v>
      </c>
      <c r="B92" s="21" t="s">
        <v>501</v>
      </c>
      <c r="C92" s="21" t="s">
        <v>435</v>
      </c>
      <c r="D92" s="78" t="s">
        <v>433</v>
      </c>
      <c r="E92" s="78" t="s">
        <v>436</v>
      </c>
      <c r="F92" s="52" t="s">
        <v>238</v>
      </c>
      <c r="G92" s="49">
        <v>6</v>
      </c>
      <c r="H92" s="64">
        <f>합산자재!H93</f>
        <v>2000</v>
      </c>
      <c r="I92" s="64">
        <f t="shared" si="9"/>
        <v>12000</v>
      </c>
      <c r="J92" s="64">
        <v>6</v>
      </c>
      <c r="K92" s="64">
        <f>합산자재!I93</f>
        <v>0</v>
      </c>
      <c r="L92" s="64">
        <f t="shared" si="10"/>
        <v>0</v>
      </c>
      <c r="M92" s="64">
        <f>합산자재!J93</f>
        <v>0</v>
      </c>
      <c r="N92" s="64">
        <f t="shared" si="11"/>
        <v>0</v>
      </c>
      <c r="O92" s="64"/>
      <c r="P92" s="64">
        <f t="shared" si="12"/>
        <v>12000</v>
      </c>
      <c r="Q92" s="78"/>
      <c r="U92" s="153">
        <v>2.6</v>
      </c>
    </row>
    <row r="93" spans="1:29" ht="23.1" customHeight="1" thickBot="1" x14ac:dyDescent="0.2">
      <c r="A93" s="21" t="s">
        <v>616</v>
      </c>
      <c r="B93" s="21" t="s">
        <v>501</v>
      </c>
      <c r="C93" s="21" t="s">
        <v>437</v>
      </c>
      <c r="D93" s="78" t="s">
        <v>438</v>
      </c>
      <c r="E93" s="78" t="s">
        <v>439</v>
      </c>
      <c r="F93" s="52" t="s">
        <v>238</v>
      </c>
      <c r="G93" s="49">
        <v>1</v>
      </c>
      <c r="H93" s="64">
        <f>합산자재!H94</f>
        <v>0</v>
      </c>
      <c r="I93" s="64">
        <f t="shared" si="9"/>
        <v>0</v>
      </c>
      <c r="J93" s="64">
        <v>1</v>
      </c>
      <c r="K93" s="64">
        <f>합산자재!I94</f>
        <v>0</v>
      </c>
      <c r="L93" s="64">
        <f t="shared" si="10"/>
        <v>0</v>
      </c>
      <c r="M93" s="64">
        <f>합산자재!J94</f>
        <v>0</v>
      </c>
      <c r="N93" s="64">
        <f t="shared" si="11"/>
        <v>0</v>
      </c>
      <c r="O93" s="64"/>
      <c r="P93" s="64">
        <f t="shared" si="12"/>
        <v>0</v>
      </c>
      <c r="Q93" s="78"/>
      <c r="U93" s="154">
        <v>4.8</v>
      </c>
    </row>
    <row r="94" spans="1:29" ht="23.1" customHeight="1" thickBot="1" x14ac:dyDescent="0.2">
      <c r="A94" s="21" t="s">
        <v>617</v>
      </c>
      <c r="B94" s="21" t="s">
        <v>501</v>
      </c>
      <c r="C94" s="21" t="s">
        <v>440</v>
      </c>
      <c r="D94" s="78" t="s">
        <v>438</v>
      </c>
      <c r="E94" s="78" t="s">
        <v>441</v>
      </c>
      <c r="F94" s="52" t="s">
        <v>238</v>
      </c>
      <c r="G94" s="49">
        <v>35</v>
      </c>
      <c r="H94" s="64">
        <f>합산자재!H95</f>
        <v>0</v>
      </c>
      <c r="I94" s="64">
        <f t="shared" si="9"/>
        <v>0</v>
      </c>
      <c r="J94" s="64">
        <v>35</v>
      </c>
      <c r="K94" s="64">
        <f>합산자재!I95</f>
        <v>0</v>
      </c>
      <c r="L94" s="64">
        <f t="shared" si="10"/>
        <v>0</v>
      </c>
      <c r="M94" s="64">
        <f>합산자재!J95</f>
        <v>0</v>
      </c>
      <c r="N94" s="64">
        <f t="shared" si="11"/>
        <v>0</v>
      </c>
      <c r="O94" s="64"/>
      <c r="P94" s="64">
        <f t="shared" si="12"/>
        <v>0</v>
      </c>
      <c r="Q94" s="78"/>
    </row>
    <row r="95" spans="1:29" ht="23.1" customHeight="1" x14ac:dyDescent="0.15">
      <c r="A95" s="21" t="s">
        <v>618</v>
      </c>
      <c r="B95" s="21" t="s">
        <v>501</v>
      </c>
      <c r="C95" s="21" t="s">
        <v>442</v>
      </c>
      <c r="D95" s="78" t="s">
        <v>443</v>
      </c>
      <c r="E95" s="78" t="s">
        <v>444</v>
      </c>
      <c r="F95" s="52" t="s">
        <v>172</v>
      </c>
      <c r="G95" s="49">
        <v>3</v>
      </c>
      <c r="H95" s="64">
        <f>합산자재!H96</f>
        <v>0</v>
      </c>
      <c r="I95" s="64">
        <f t="shared" si="9"/>
        <v>0</v>
      </c>
      <c r="J95" s="64">
        <v>3</v>
      </c>
      <c r="K95" s="64">
        <f>합산자재!I96</f>
        <v>0</v>
      </c>
      <c r="L95" s="64">
        <f t="shared" si="10"/>
        <v>0</v>
      </c>
      <c r="M95" s="64">
        <f>합산자재!J96</f>
        <v>0</v>
      </c>
      <c r="N95" s="64">
        <f t="shared" si="11"/>
        <v>0</v>
      </c>
      <c r="O95" s="64"/>
      <c r="P95" s="64">
        <f t="shared" si="12"/>
        <v>0</v>
      </c>
      <c r="Q95" s="78"/>
      <c r="X95" s="152" t="s">
        <v>1085</v>
      </c>
      <c r="AC95" s="63">
        <f>G95*H95</f>
        <v>0</v>
      </c>
    </row>
    <row r="96" spans="1:29" ht="23.1" customHeight="1" thickBot="1" x14ac:dyDescent="0.2">
      <c r="A96" s="21" t="s">
        <v>619</v>
      </c>
      <c r="B96" s="21" t="s">
        <v>501</v>
      </c>
      <c r="C96" s="21" t="s">
        <v>445</v>
      </c>
      <c r="D96" s="78" t="s">
        <v>443</v>
      </c>
      <c r="E96" s="78" t="s">
        <v>446</v>
      </c>
      <c r="F96" s="52" t="s">
        <v>172</v>
      </c>
      <c r="G96" s="49">
        <v>16</v>
      </c>
      <c r="H96" s="64">
        <f>합산자재!H97</f>
        <v>0</v>
      </c>
      <c r="I96" s="64">
        <f t="shared" si="9"/>
        <v>0</v>
      </c>
      <c r="J96" s="64">
        <v>16</v>
      </c>
      <c r="K96" s="64">
        <f>합산자재!I97</f>
        <v>0</v>
      </c>
      <c r="L96" s="64">
        <f t="shared" si="10"/>
        <v>0</v>
      </c>
      <c r="M96" s="64">
        <f>합산자재!J97</f>
        <v>0</v>
      </c>
      <c r="N96" s="64">
        <f t="shared" si="11"/>
        <v>0</v>
      </c>
      <c r="O96" s="64"/>
      <c r="P96" s="64">
        <f t="shared" si="12"/>
        <v>0</v>
      </c>
      <c r="Q96" s="78"/>
      <c r="R96" s="2" t="s">
        <v>1068</v>
      </c>
      <c r="S96" s="2" t="s">
        <v>1069</v>
      </c>
      <c r="U96" s="2">
        <f>600*1000*2*1.2</f>
        <v>1440000</v>
      </c>
      <c r="V96" s="2">
        <f>600*2*180*1.2</f>
        <v>259200</v>
      </c>
      <c r="W96" s="2">
        <f>1000*2*180*1.2</f>
        <v>432000</v>
      </c>
      <c r="X96" s="154">
        <f>W96+V96+U96+U97+U98+U99</f>
        <v>4695000</v>
      </c>
      <c r="AC96" s="63">
        <f>G96*H96</f>
        <v>0</v>
      </c>
    </row>
    <row r="97" spans="1:31" ht="23.1" customHeight="1" x14ac:dyDescent="0.15">
      <c r="A97" s="21" t="s">
        <v>620</v>
      </c>
      <c r="B97" s="21" t="s">
        <v>501</v>
      </c>
      <c r="C97" s="21" t="s">
        <v>447</v>
      </c>
      <c r="D97" s="78" t="s">
        <v>443</v>
      </c>
      <c r="E97" s="78" t="s">
        <v>448</v>
      </c>
      <c r="F97" s="52" t="s">
        <v>172</v>
      </c>
      <c r="G97" s="49">
        <v>22</v>
      </c>
      <c r="H97" s="64">
        <f>합산자재!H98</f>
        <v>0</v>
      </c>
      <c r="I97" s="64">
        <f t="shared" si="9"/>
        <v>0</v>
      </c>
      <c r="J97" s="64">
        <v>22</v>
      </c>
      <c r="K97" s="64">
        <f>합산자재!I98</f>
        <v>0</v>
      </c>
      <c r="L97" s="64">
        <f t="shared" si="10"/>
        <v>0</v>
      </c>
      <c r="M97" s="64">
        <f>합산자재!J98</f>
        <v>0</v>
      </c>
      <c r="N97" s="64">
        <f t="shared" si="11"/>
        <v>0</v>
      </c>
      <c r="O97" s="64"/>
      <c r="P97" s="64">
        <f t="shared" si="12"/>
        <v>0</v>
      </c>
      <c r="Q97" s="78"/>
      <c r="R97" s="2" t="s">
        <v>1083</v>
      </c>
      <c r="S97" s="2" t="s">
        <v>401</v>
      </c>
      <c r="U97" s="2">
        <f>700*1.2*1100</f>
        <v>924000</v>
      </c>
      <c r="AC97" s="63">
        <f>G97*H97</f>
        <v>0</v>
      </c>
    </row>
    <row r="98" spans="1:31" ht="23.1" customHeight="1" x14ac:dyDescent="0.15">
      <c r="A98" s="21" t="s">
        <v>621</v>
      </c>
      <c r="B98" s="21" t="s">
        <v>501</v>
      </c>
      <c r="C98" s="21" t="s">
        <v>449</v>
      </c>
      <c r="D98" s="78" t="s">
        <v>443</v>
      </c>
      <c r="E98" s="78" t="s">
        <v>450</v>
      </c>
      <c r="F98" s="52" t="s">
        <v>172</v>
      </c>
      <c r="G98" s="49">
        <v>30</v>
      </c>
      <c r="H98" s="64">
        <f>합산자재!H99</f>
        <v>0</v>
      </c>
      <c r="I98" s="64">
        <f t="shared" si="9"/>
        <v>0</v>
      </c>
      <c r="J98" s="64">
        <v>30</v>
      </c>
      <c r="K98" s="64">
        <f>합산자재!I99</f>
        <v>0</v>
      </c>
      <c r="L98" s="64">
        <f t="shared" si="10"/>
        <v>0</v>
      </c>
      <c r="M98" s="64">
        <f>합산자재!J99</f>
        <v>0</v>
      </c>
      <c r="N98" s="64">
        <f t="shared" si="11"/>
        <v>0</v>
      </c>
      <c r="O98" s="64"/>
      <c r="P98" s="64">
        <f t="shared" si="12"/>
        <v>0</v>
      </c>
      <c r="Q98" s="78"/>
      <c r="S98" s="2" t="s">
        <v>1072</v>
      </c>
      <c r="U98" s="2">
        <f>730*1.2*1050</f>
        <v>919800</v>
      </c>
      <c r="W98" s="82">
        <v>7.93</v>
      </c>
      <c r="X98" s="84"/>
      <c r="AC98" s="63">
        <f>G98*H98</f>
        <v>0</v>
      </c>
    </row>
    <row r="99" spans="1:31" ht="23.1" customHeight="1" x14ac:dyDescent="0.15">
      <c r="A99" s="21" t="s">
        <v>622</v>
      </c>
      <c r="B99" s="21" t="s">
        <v>501</v>
      </c>
      <c r="C99" s="21" t="s">
        <v>451</v>
      </c>
      <c r="D99" s="78" t="s">
        <v>443</v>
      </c>
      <c r="E99" s="78" t="s">
        <v>452</v>
      </c>
      <c r="F99" s="52" t="s">
        <v>172</v>
      </c>
      <c r="G99" s="49">
        <v>168</v>
      </c>
      <c r="H99" s="64">
        <f>합산자재!H100</f>
        <v>0</v>
      </c>
      <c r="I99" s="64">
        <f t="shared" si="9"/>
        <v>0</v>
      </c>
      <c r="J99" s="64">
        <v>168</v>
      </c>
      <c r="K99" s="64">
        <f>합산자재!I100</f>
        <v>0</v>
      </c>
      <c r="L99" s="64">
        <f t="shared" si="10"/>
        <v>0</v>
      </c>
      <c r="M99" s="64">
        <f>합산자재!J100</f>
        <v>0</v>
      </c>
      <c r="N99" s="64">
        <f t="shared" si="11"/>
        <v>0</v>
      </c>
      <c r="O99" s="64"/>
      <c r="P99" s="64">
        <f t="shared" si="12"/>
        <v>0</v>
      </c>
      <c r="Q99" s="78"/>
      <c r="S99" s="2" t="s">
        <v>1074</v>
      </c>
      <c r="U99" s="2">
        <f>600*1000*1.2</f>
        <v>720000</v>
      </c>
      <c r="W99" s="279">
        <f>W98*X96/1000000</f>
        <v>37.231349999999999</v>
      </c>
      <c r="X99" s="280"/>
      <c r="Y99" s="2" t="s">
        <v>1086</v>
      </c>
      <c r="AC99" s="63">
        <f>G99*H99</f>
        <v>0</v>
      </c>
    </row>
    <row r="100" spans="1:31" ht="23.1" customHeight="1" thickBot="1" x14ac:dyDescent="0.2">
      <c r="A100" s="21" t="s">
        <v>623</v>
      </c>
      <c r="B100" s="21" t="s">
        <v>501</v>
      </c>
      <c r="C100" s="21" t="s">
        <v>453</v>
      </c>
      <c r="D100" s="78" t="s">
        <v>454</v>
      </c>
      <c r="E100" s="78" t="s">
        <v>455</v>
      </c>
      <c r="F100" s="52" t="s">
        <v>238</v>
      </c>
      <c r="G100" s="49">
        <v>6</v>
      </c>
      <c r="H100" s="64">
        <f>합산자재!H101</f>
        <v>0</v>
      </c>
      <c r="I100" s="64">
        <f t="shared" si="9"/>
        <v>0</v>
      </c>
      <c r="J100" s="64">
        <v>6</v>
      </c>
      <c r="K100" s="64">
        <f>합산자재!I101</f>
        <v>0</v>
      </c>
      <c r="L100" s="64">
        <f t="shared" si="10"/>
        <v>0</v>
      </c>
      <c r="M100" s="64">
        <f>합산자재!J101</f>
        <v>0</v>
      </c>
      <c r="N100" s="64">
        <f t="shared" si="11"/>
        <v>0</v>
      </c>
      <c r="O100" s="64"/>
      <c r="P100" s="64">
        <f t="shared" si="12"/>
        <v>0</v>
      </c>
      <c r="Q100" s="78"/>
    </row>
    <row r="101" spans="1:31" ht="23.1" customHeight="1" x14ac:dyDescent="0.15">
      <c r="A101" s="21" t="s">
        <v>624</v>
      </c>
      <c r="B101" s="21" t="s">
        <v>501</v>
      </c>
      <c r="C101" s="21" t="s">
        <v>456</v>
      </c>
      <c r="D101" s="78" t="s">
        <v>454</v>
      </c>
      <c r="E101" s="78" t="s">
        <v>457</v>
      </c>
      <c r="F101" s="52" t="s">
        <v>238</v>
      </c>
      <c r="G101" s="49">
        <v>6</v>
      </c>
      <c r="H101" s="64">
        <f>합산자재!H102</f>
        <v>0</v>
      </c>
      <c r="I101" s="64">
        <f t="shared" si="9"/>
        <v>0</v>
      </c>
      <c r="J101" s="64">
        <v>6</v>
      </c>
      <c r="K101" s="64">
        <f>합산자재!I102</f>
        <v>0</v>
      </c>
      <c r="L101" s="64">
        <f t="shared" si="10"/>
        <v>0</v>
      </c>
      <c r="M101" s="64">
        <f>합산자재!J102</f>
        <v>0</v>
      </c>
      <c r="N101" s="64">
        <f t="shared" si="11"/>
        <v>0</v>
      </c>
      <c r="O101" s="64"/>
      <c r="P101" s="64">
        <f t="shared" si="12"/>
        <v>0</v>
      </c>
      <c r="Q101" s="78"/>
      <c r="R101" s="2" t="s">
        <v>1075</v>
      </c>
      <c r="S101" s="2" t="s">
        <v>1076</v>
      </c>
      <c r="U101" s="2">
        <f>750*2*1600*1.6</f>
        <v>3840000</v>
      </c>
      <c r="V101" s="2">
        <f>2*750*200*1.6</f>
        <v>480000</v>
      </c>
      <c r="W101" s="2">
        <f>1.6*2*1600*200</f>
        <v>1024000</v>
      </c>
      <c r="X101" s="152" t="s">
        <v>1087</v>
      </c>
    </row>
    <row r="102" spans="1:31" ht="23.1" customHeight="1" x14ac:dyDescent="0.15">
      <c r="A102" s="21" t="s">
        <v>625</v>
      </c>
      <c r="B102" s="21" t="s">
        <v>501</v>
      </c>
      <c r="C102" s="21" t="s">
        <v>626</v>
      </c>
      <c r="D102" s="78" t="s">
        <v>627</v>
      </c>
      <c r="E102" s="78" t="s">
        <v>628</v>
      </c>
      <c r="F102" s="52" t="s">
        <v>486</v>
      </c>
      <c r="G102" s="49">
        <v>1</v>
      </c>
      <c r="H102" s="64">
        <f>IF(TRUNC((AD102+AC102)/$AD$3)*$AD$3-AD102 &lt;0, AC102, TRUNC((AD102+AC102)/$AD$3)*$AD$3-AD102)</f>
        <v>26210</v>
      </c>
      <c r="I102" s="64">
        <f>H102</f>
        <v>26210</v>
      </c>
      <c r="J102" s="64">
        <v>1</v>
      </c>
      <c r="K102" s="64"/>
      <c r="L102" s="64">
        <f t="shared" ref="L102:L107" si="14">TRUNC(G102*K102)</f>
        <v>0</v>
      </c>
      <c r="M102" s="64"/>
      <c r="N102" s="64">
        <f t="shared" ref="N102:N107" si="15">TRUNC(G102*M102)</f>
        <v>0</v>
      </c>
      <c r="O102" s="64"/>
      <c r="P102" s="64">
        <f t="shared" ref="P102:P107" si="16">SUM(I102,L102,N102)</f>
        <v>26210</v>
      </c>
      <c r="Q102" s="78"/>
      <c r="R102" s="2" t="s">
        <v>1084</v>
      </c>
      <c r="S102" s="2" t="s">
        <v>1078</v>
      </c>
      <c r="U102" s="2">
        <f>700*1.6*2*1100</f>
        <v>2464000</v>
      </c>
      <c r="V102" s="2">
        <f>1.6*2*700*180</f>
        <v>403200</v>
      </c>
      <c r="W102" s="2">
        <f>1.6*2*1100*180</f>
        <v>633600</v>
      </c>
      <c r="X102" s="153">
        <f>U101+V101+W101+U102+V102+W102+U103+V103+W103+U104+V104+W104</f>
        <v>14688000</v>
      </c>
      <c r="AC102" s="63">
        <f>TRUNC(TRUNC(SUM(AC4:AC101))*옵션!$B$33/100)</f>
        <v>26210</v>
      </c>
      <c r="AD102" s="63">
        <f>TRUNC(SUM(I4:I101))+TRUNC(SUM(N4:N101))</f>
        <v>26390595</v>
      </c>
    </row>
    <row r="103" spans="1:31" ht="23.1" customHeight="1" x14ac:dyDescent="0.15">
      <c r="A103" s="21" t="s">
        <v>479</v>
      </c>
      <c r="B103" s="21" t="s">
        <v>501</v>
      </c>
      <c r="C103" s="21" t="s">
        <v>458</v>
      </c>
      <c r="D103" s="78" t="s">
        <v>459</v>
      </c>
      <c r="E103" s="78" t="s">
        <v>460</v>
      </c>
      <c r="F103" s="52" t="s">
        <v>461</v>
      </c>
      <c r="G103" s="49">
        <f>노임근거!G84</f>
        <v>62.109000000000002</v>
      </c>
      <c r="H103" s="64">
        <f>합산자재!H103</f>
        <v>0</v>
      </c>
      <c r="I103" s="64">
        <f>TRUNC(G103*H103)</f>
        <v>0</v>
      </c>
      <c r="J103" s="64">
        <f>노임근거!G84</f>
        <v>62.109000000000002</v>
      </c>
      <c r="K103" s="64">
        <f>합산자재!I103</f>
        <v>273676</v>
      </c>
      <c r="L103" s="64">
        <f t="shared" si="14"/>
        <v>16997742</v>
      </c>
      <c r="M103" s="64">
        <f>합산자재!J103</f>
        <v>0</v>
      </c>
      <c r="N103" s="64">
        <f t="shared" si="15"/>
        <v>0</v>
      </c>
      <c r="O103" s="64"/>
      <c r="P103" s="64">
        <f t="shared" si="16"/>
        <v>16997742</v>
      </c>
      <c r="Q103" s="78"/>
      <c r="S103" s="2" t="s">
        <v>1080</v>
      </c>
      <c r="U103" s="2">
        <f>1.6*800*2*600</f>
        <v>1536000</v>
      </c>
      <c r="V103" s="2">
        <f>2*1.6*800*180</f>
        <v>460800</v>
      </c>
      <c r="W103" s="2">
        <f>1.6*2*600*180</f>
        <v>345600</v>
      </c>
      <c r="X103" s="82">
        <v>7.85</v>
      </c>
      <c r="Y103" s="84"/>
      <c r="AE103" s="63">
        <f>L103</f>
        <v>16997742</v>
      </c>
    </row>
    <row r="104" spans="1:31" ht="23.1" customHeight="1" x14ac:dyDescent="0.15">
      <c r="A104" s="21" t="s">
        <v>513</v>
      </c>
      <c r="B104" s="21" t="s">
        <v>501</v>
      </c>
      <c r="C104" s="21" t="s">
        <v>462</v>
      </c>
      <c r="D104" s="78" t="s">
        <v>459</v>
      </c>
      <c r="E104" s="78" t="s">
        <v>463</v>
      </c>
      <c r="F104" s="52" t="s">
        <v>461</v>
      </c>
      <c r="G104" s="49">
        <f>노임근거!G85</f>
        <v>19.885999999999999</v>
      </c>
      <c r="H104" s="64">
        <f>합산자재!H104</f>
        <v>0</v>
      </c>
      <c r="I104" s="64">
        <f>TRUNC(G104*H104)</f>
        <v>0</v>
      </c>
      <c r="J104" s="64">
        <f>노임근거!G85</f>
        <v>19.885999999999999</v>
      </c>
      <c r="K104" s="64">
        <f>합산자재!I104</f>
        <v>304156</v>
      </c>
      <c r="L104" s="64">
        <f t="shared" si="14"/>
        <v>6048446</v>
      </c>
      <c r="M104" s="64">
        <f>합산자재!J104</f>
        <v>0</v>
      </c>
      <c r="N104" s="64">
        <f t="shared" si="15"/>
        <v>0</v>
      </c>
      <c r="O104" s="64"/>
      <c r="P104" s="64">
        <f t="shared" si="16"/>
        <v>6048446</v>
      </c>
      <c r="Q104" s="78"/>
      <c r="S104" s="2" t="s">
        <v>1079</v>
      </c>
      <c r="U104" s="2">
        <f>700*1100*1.6*2</f>
        <v>2464000</v>
      </c>
      <c r="V104" s="2">
        <f>2*1.6*700*180</f>
        <v>403200</v>
      </c>
      <c r="W104" s="2">
        <f>2*1.6*1100*180</f>
        <v>633600</v>
      </c>
      <c r="X104" s="279">
        <f>7.85*X102/1000000</f>
        <v>115.3008</v>
      </c>
      <c r="Y104" s="280"/>
      <c r="AE104" s="63">
        <f>L104</f>
        <v>6048446</v>
      </c>
    </row>
    <row r="105" spans="1:31" ht="23.1" customHeight="1" x14ac:dyDescent="0.15">
      <c r="A105" s="21" t="s">
        <v>503</v>
      </c>
      <c r="B105" s="21" t="s">
        <v>501</v>
      </c>
      <c r="C105" s="21" t="s">
        <v>464</v>
      </c>
      <c r="D105" s="78" t="s">
        <v>459</v>
      </c>
      <c r="E105" s="78" t="s">
        <v>465</v>
      </c>
      <c r="F105" s="52" t="s">
        <v>461</v>
      </c>
      <c r="G105" s="49">
        <f>노임근거!G86</f>
        <v>7.0000000000000007E-2</v>
      </c>
      <c r="H105" s="64">
        <f>합산자재!H105</f>
        <v>0</v>
      </c>
      <c r="I105" s="64">
        <f>TRUNC(G105*H105)</f>
        <v>0</v>
      </c>
      <c r="J105" s="64">
        <f>노임근거!G86</f>
        <v>7.0000000000000007E-2</v>
      </c>
      <c r="K105" s="64">
        <f>합산자재!I105</f>
        <v>414968</v>
      </c>
      <c r="L105" s="64">
        <f t="shared" si="14"/>
        <v>29047</v>
      </c>
      <c r="M105" s="64">
        <f>합산자재!J105</f>
        <v>0</v>
      </c>
      <c r="N105" s="64">
        <f t="shared" si="15"/>
        <v>0</v>
      </c>
      <c r="O105" s="64"/>
      <c r="P105" s="64">
        <f t="shared" si="16"/>
        <v>29047</v>
      </c>
      <c r="Q105" s="78"/>
      <c r="X105" s="2" t="s">
        <v>1101</v>
      </c>
      <c r="AE105" s="63">
        <f>L105</f>
        <v>29047</v>
      </c>
    </row>
    <row r="106" spans="1:31" ht="23.1" customHeight="1" x14ac:dyDescent="0.15">
      <c r="A106" s="21" t="s">
        <v>505</v>
      </c>
      <c r="B106" s="21" t="s">
        <v>501</v>
      </c>
      <c r="C106" s="21" t="s">
        <v>466</v>
      </c>
      <c r="D106" s="78" t="s">
        <v>459</v>
      </c>
      <c r="E106" s="78" t="s">
        <v>467</v>
      </c>
      <c r="F106" s="52" t="s">
        <v>461</v>
      </c>
      <c r="G106" s="49">
        <f>노임근거!G87</f>
        <v>0.18</v>
      </c>
      <c r="H106" s="64">
        <f>합산자재!H106</f>
        <v>0</v>
      </c>
      <c r="I106" s="64">
        <f>TRUNC(G106*H106)</f>
        <v>0</v>
      </c>
      <c r="J106" s="64">
        <f>노임근거!G87</f>
        <v>0.18</v>
      </c>
      <c r="K106" s="64">
        <f>합산자재!I106</f>
        <v>172068</v>
      </c>
      <c r="L106" s="64">
        <f t="shared" si="14"/>
        <v>30972</v>
      </c>
      <c r="M106" s="64">
        <f>합산자재!J106</f>
        <v>0</v>
      </c>
      <c r="N106" s="64">
        <f t="shared" si="15"/>
        <v>0</v>
      </c>
      <c r="O106" s="64"/>
      <c r="P106" s="64">
        <f t="shared" si="16"/>
        <v>30972</v>
      </c>
      <c r="Q106" s="78"/>
      <c r="AE106" s="63">
        <f>L106</f>
        <v>30972</v>
      </c>
    </row>
    <row r="107" spans="1:31" ht="23.1" customHeight="1" x14ac:dyDescent="0.15">
      <c r="A107" s="21" t="s">
        <v>495</v>
      </c>
      <c r="B107" s="21" t="s">
        <v>501</v>
      </c>
      <c r="C107" s="21" t="s">
        <v>496</v>
      </c>
      <c r="D107" s="78" t="s">
        <v>497</v>
      </c>
      <c r="E107" s="78" t="s">
        <v>498</v>
      </c>
      <c r="F107" s="52" t="s">
        <v>486</v>
      </c>
      <c r="G107" s="49">
        <v>1</v>
      </c>
      <c r="H107" s="64">
        <f>IF(TRUNC((AD108+AC108)/$AE$3)*$AE$3-AD108 &lt;0, AC108, TRUNC((AD108+AC108)/$AE$3)*$AE$3-AD108)</f>
        <v>693186</v>
      </c>
      <c r="I107" s="64">
        <f>H107</f>
        <v>693186</v>
      </c>
      <c r="J107" s="64">
        <v>1</v>
      </c>
      <c r="K107" s="64"/>
      <c r="L107" s="64">
        <f t="shared" si="14"/>
        <v>0</v>
      </c>
      <c r="M107" s="64"/>
      <c r="N107" s="64">
        <f t="shared" si="15"/>
        <v>0</v>
      </c>
      <c r="O107" s="64"/>
      <c r="P107" s="64">
        <f t="shared" si="16"/>
        <v>693186</v>
      </c>
      <c r="Q107" s="78"/>
    </row>
    <row r="108" spans="1:31" ht="23.1" customHeight="1" x14ac:dyDescent="0.15">
      <c r="B108" s="21" t="s">
        <v>499</v>
      </c>
      <c r="D108" s="78" t="s">
        <v>500</v>
      </c>
      <c r="E108" s="78"/>
      <c r="F108" s="52"/>
      <c r="G108" s="49"/>
      <c r="H108" s="64"/>
      <c r="I108" s="64">
        <f>TRUNC(SUM(I4:I107))</f>
        <v>27109991</v>
      </c>
      <c r="J108" s="64"/>
      <c r="K108" s="64"/>
      <c r="L108" s="64">
        <f>TRUNC(SUM(L4:L107))</f>
        <v>30633718</v>
      </c>
      <c r="M108" s="64"/>
      <c r="N108" s="64">
        <f>TRUNC(SUM(N4:N107))</f>
        <v>0</v>
      </c>
      <c r="O108" s="64"/>
      <c r="P108" s="64">
        <f>TRUNC(SUM(P4:P107))</f>
        <v>57743709</v>
      </c>
      <c r="Q108" s="78"/>
      <c r="AC108" s="63">
        <f>TRUNC(AE108*옵션!$B$36/100)</f>
        <v>693186</v>
      </c>
      <c r="AD108" s="63">
        <f>TRUNC(SUM(L4:L106))</f>
        <v>30633718</v>
      </c>
      <c r="AE108" s="63">
        <f>TRUNC(SUM(AE4:AE107))</f>
        <v>23106207</v>
      </c>
    </row>
  </sheetData>
  <mergeCells count="17">
    <mergeCell ref="W99:X99"/>
    <mergeCell ref="X104:Y104"/>
    <mergeCell ref="D4:Q4"/>
    <mergeCell ref="A2:A3"/>
    <mergeCell ref="B2:B3"/>
    <mergeCell ref="C2:C3"/>
    <mergeCell ref="W1:Y1"/>
    <mergeCell ref="E2:E3"/>
    <mergeCell ref="D2:D3"/>
    <mergeCell ref="J2:L2"/>
    <mergeCell ref="M2:N2"/>
    <mergeCell ref="G2:G3"/>
    <mergeCell ref="H2:I2"/>
    <mergeCell ref="P2:P3"/>
    <mergeCell ref="F2:F3"/>
    <mergeCell ref="Q2:Q3"/>
    <mergeCell ref="D1:Q1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D107"/>
  <sheetViews>
    <sheetView view="pageBreakPreview" topLeftCell="D1" zoomScale="85" zoomScaleNormal="100" zoomScaleSheetLayoutView="85" workbookViewId="0">
      <pane ySplit="3" topLeftCell="A67" activePane="bottomLeft" state="frozen"/>
      <selection activeCell="W1" sqref="W1:AE3"/>
      <selection pane="bottomLeft" activeCell="D2" sqref="D2:D3"/>
    </sheetView>
  </sheetViews>
  <sheetFormatPr defaultRowHeight="21.95" customHeight="1" x14ac:dyDescent="0.15"/>
  <cols>
    <col min="1" max="1" width="4.6640625" style="2" hidden="1" customWidth="1"/>
    <col min="2" max="2" width="6.5546875" style="21" hidden="1" customWidth="1"/>
    <col min="3" max="3" width="10.77734375" style="21" hidden="1" customWidth="1"/>
    <col min="4" max="5" width="24.33203125" style="21" customWidth="1"/>
    <col min="6" max="6" width="4.5546875" style="47" customWidth="1"/>
    <col min="7" max="7" width="10.109375" style="47" customWidth="1"/>
    <col min="8" max="8" width="9.33203125" style="47" customWidth="1"/>
    <col min="9" max="9" width="10" style="47" customWidth="1"/>
    <col min="10" max="10" width="5.21875" style="47" customWidth="1"/>
    <col min="11" max="11" width="4.77734375" style="21" hidden="1" customWidth="1"/>
    <col min="12" max="12" width="14.109375" style="47" customWidth="1"/>
    <col min="13" max="13" width="7.21875" style="47" customWidth="1"/>
    <col min="14" max="14" width="5.44140625" style="47" customWidth="1"/>
    <col min="15" max="15" width="8.77734375" style="47" customWidth="1"/>
    <col min="16" max="16" width="2.44140625" style="63" hidden="1" customWidth="1"/>
    <col min="17" max="17" width="1.21875" style="63" hidden="1" customWidth="1"/>
    <col min="18" max="18" width="5.109375" style="63" hidden="1" customWidth="1"/>
    <col min="19" max="19" width="9.21875" style="2" customWidth="1"/>
    <col min="20" max="20" width="11.109375" style="2" customWidth="1"/>
    <col min="21" max="29" width="8.88671875" style="2"/>
    <col min="30" max="55" width="11.77734375" style="2" customWidth="1"/>
    <col min="56" max="16384" width="8.88671875" style="2"/>
  </cols>
  <sheetData>
    <row r="1" spans="1:30" ht="21.95" customHeight="1" x14ac:dyDescent="0.15">
      <c r="A1" s="2" t="s">
        <v>473</v>
      </c>
      <c r="B1" s="21" t="s">
        <v>476</v>
      </c>
      <c r="D1" s="278" t="s">
        <v>1137</v>
      </c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AA1" s="2" t="s">
        <v>460</v>
      </c>
      <c r="AB1" s="2" t="s">
        <v>463</v>
      </c>
      <c r="AC1" s="2" t="s">
        <v>465</v>
      </c>
      <c r="AD1" s="2" t="s">
        <v>467</v>
      </c>
    </row>
    <row r="2" spans="1:30" s="17" customFormat="1" ht="21.95" customHeight="1" x14ac:dyDescent="0.15">
      <c r="A2" s="281" t="s">
        <v>79</v>
      </c>
      <c r="B2" s="270" t="s">
        <v>24</v>
      </c>
      <c r="C2" s="270" t="s">
        <v>23</v>
      </c>
      <c r="D2" s="271" t="s">
        <v>85</v>
      </c>
      <c r="E2" s="271" t="s">
        <v>86</v>
      </c>
      <c r="F2" s="274" t="s">
        <v>1</v>
      </c>
      <c r="G2" s="274" t="s">
        <v>2</v>
      </c>
      <c r="H2" s="274"/>
      <c r="I2" s="274"/>
      <c r="J2" s="274"/>
      <c r="K2" s="271" t="s">
        <v>81</v>
      </c>
      <c r="L2" s="274" t="s">
        <v>36</v>
      </c>
      <c r="M2" s="274"/>
      <c r="N2" s="274"/>
      <c r="O2" s="274"/>
      <c r="P2" s="274" t="s">
        <v>119</v>
      </c>
      <c r="Q2" s="274"/>
      <c r="R2" s="274"/>
      <c r="S2" s="282" t="s">
        <v>37</v>
      </c>
      <c r="T2" s="282" t="s">
        <v>38</v>
      </c>
    </row>
    <row r="3" spans="1:30" s="17" customFormat="1" ht="21.95" customHeight="1" x14ac:dyDescent="0.15">
      <c r="A3" s="281"/>
      <c r="B3" s="270"/>
      <c r="C3" s="270"/>
      <c r="D3" s="272"/>
      <c r="E3" s="272"/>
      <c r="F3" s="275"/>
      <c r="G3" s="101" t="s">
        <v>39</v>
      </c>
      <c r="H3" s="101" t="s">
        <v>40</v>
      </c>
      <c r="I3" s="101" t="s">
        <v>41</v>
      </c>
      <c r="J3" s="101" t="s">
        <v>42</v>
      </c>
      <c r="K3" s="284"/>
      <c r="L3" s="101" t="s">
        <v>30</v>
      </c>
      <c r="M3" s="101" t="s">
        <v>43</v>
      </c>
      <c r="N3" s="101" t="s">
        <v>44</v>
      </c>
      <c r="O3" s="101" t="s">
        <v>45</v>
      </c>
      <c r="P3" s="101" t="s">
        <v>120</v>
      </c>
      <c r="Q3" s="101" t="s">
        <v>122</v>
      </c>
      <c r="R3" s="101" t="s">
        <v>121</v>
      </c>
      <c r="S3" s="283"/>
      <c r="T3" s="283"/>
    </row>
    <row r="4" spans="1:30" ht="21.95" customHeight="1" x14ac:dyDescent="0.15">
      <c r="B4" s="21" t="s">
        <v>477</v>
      </c>
      <c r="D4" s="264" t="s">
        <v>168</v>
      </c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5"/>
      <c r="R4" s="265"/>
      <c r="S4" s="265"/>
      <c r="T4" s="266"/>
    </row>
    <row r="5" spans="1:30" ht="21.95" customHeight="1" x14ac:dyDescent="0.15">
      <c r="B5" s="21" t="s">
        <v>501</v>
      </c>
      <c r="C5" s="21" t="s">
        <v>169</v>
      </c>
      <c r="D5" s="78" t="s">
        <v>170</v>
      </c>
      <c r="E5" s="78" t="s">
        <v>171</v>
      </c>
      <c r="F5" s="49" t="s">
        <v>172</v>
      </c>
      <c r="G5" s="49">
        <f>내역서!G5</f>
        <v>25</v>
      </c>
      <c r="H5" s="49">
        <f t="shared" ref="H5:H36" si="0">IF(I5&lt;&gt;0,G5-I5,"")</f>
        <v>3</v>
      </c>
      <c r="I5" s="49">
        <f>내역서!J5</f>
        <v>22</v>
      </c>
      <c r="J5" s="49">
        <v>10</v>
      </c>
      <c r="K5" s="78" t="s">
        <v>479</v>
      </c>
      <c r="L5" s="49" t="s">
        <v>460</v>
      </c>
      <c r="M5" s="49">
        <v>0.2</v>
      </c>
      <c r="N5" s="49">
        <v>100</v>
      </c>
      <c r="O5" s="49">
        <f t="shared" ref="O5:O36" si="1">IF(I5*M5=0,"",I5*M5*(N5/100))</f>
        <v>4.4000000000000004</v>
      </c>
      <c r="P5" s="64"/>
      <c r="Q5" s="64"/>
      <c r="R5" s="64"/>
      <c r="S5" s="18" t="s">
        <v>502</v>
      </c>
      <c r="T5" s="18"/>
      <c r="AA5" s="2">
        <f>O5</f>
        <v>4.4000000000000004</v>
      </c>
    </row>
    <row r="6" spans="1:30" ht="21.95" customHeight="1" x14ac:dyDescent="0.15">
      <c r="B6" s="21" t="s">
        <v>501</v>
      </c>
      <c r="C6" s="21" t="s">
        <v>175</v>
      </c>
      <c r="D6" s="78" t="s">
        <v>176</v>
      </c>
      <c r="E6" s="78" t="s">
        <v>177</v>
      </c>
      <c r="F6" s="49" t="s">
        <v>172</v>
      </c>
      <c r="G6" s="49">
        <f>내역서!G6</f>
        <v>14</v>
      </c>
      <c r="H6" s="49">
        <f t="shared" si="0"/>
        <v>2</v>
      </c>
      <c r="I6" s="49">
        <f>내역서!J6</f>
        <v>12</v>
      </c>
      <c r="J6" s="49">
        <v>10</v>
      </c>
      <c r="K6" s="78" t="s">
        <v>479</v>
      </c>
      <c r="L6" s="49" t="s">
        <v>460</v>
      </c>
      <c r="M6" s="49">
        <v>0.04</v>
      </c>
      <c r="N6" s="49">
        <v>100</v>
      </c>
      <c r="O6" s="49">
        <f t="shared" si="1"/>
        <v>0.48</v>
      </c>
      <c r="P6" s="64"/>
      <c r="Q6" s="64"/>
      <c r="R6" s="64"/>
      <c r="S6" s="18" t="s">
        <v>502</v>
      </c>
      <c r="T6" s="18"/>
      <c r="AA6" s="2">
        <f>O6</f>
        <v>0.48</v>
      </c>
    </row>
    <row r="7" spans="1:30" ht="21.95" customHeight="1" x14ac:dyDescent="0.15">
      <c r="B7" s="21" t="s">
        <v>501</v>
      </c>
      <c r="C7" s="21" t="s">
        <v>180</v>
      </c>
      <c r="D7" s="78" t="s">
        <v>181</v>
      </c>
      <c r="E7" s="78" t="s">
        <v>182</v>
      </c>
      <c r="F7" s="49" t="s">
        <v>172</v>
      </c>
      <c r="G7" s="49">
        <f>내역서!G7</f>
        <v>11</v>
      </c>
      <c r="H7" s="49">
        <f t="shared" si="0"/>
        <v>1</v>
      </c>
      <c r="I7" s="49">
        <f>내역서!J7</f>
        <v>10</v>
      </c>
      <c r="J7" s="49">
        <v>3</v>
      </c>
      <c r="K7" s="78" t="s">
        <v>503</v>
      </c>
      <c r="L7" s="49" t="s">
        <v>465</v>
      </c>
      <c r="M7" s="49">
        <v>7.0000000000000001E-3</v>
      </c>
      <c r="N7" s="49">
        <v>100</v>
      </c>
      <c r="O7" s="49">
        <f t="shared" si="1"/>
        <v>7.0000000000000007E-2</v>
      </c>
      <c r="P7" s="64"/>
      <c r="Q7" s="64"/>
      <c r="R7" s="64"/>
      <c r="S7" s="18" t="s">
        <v>504</v>
      </c>
      <c r="T7" s="18"/>
      <c r="AC7" s="2">
        <f>O7</f>
        <v>7.0000000000000007E-2</v>
      </c>
    </row>
    <row r="8" spans="1:30" ht="21.95" customHeight="1" x14ac:dyDescent="0.15">
      <c r="B8" s="21" t="s">
        <v>501</v>
      </c>
      <c r="C8" s="21" t="s">
        <v>180</v>
      </c>
      <c r="D8" s="78"/>
      <c r="E8" s="78"/>
      <c r="F8" s="49"/>
      <c r="G8" s="49">
        <f>내역서!G7</f>
        <v>11</v>
      </c>
      <c r="H8" s="49">
        <f t="shared" si="0"/>
        <v>1</v>
      </c>
      <c r="I8" s="49">
        <f>내역서!J7</f>
        <v>10</v>
      </c>
      <c r="J8" s="49">
        <v>3</v>
      </c>
      <c r="K8" s="78" t="s">
        <v>505</v>
      </c>
      <c r="L8" s="49" t="s">
        <v>467</v>
      </c>
      <c r="M8" s="49">
        <v>1.7999999999999999E-2</v>
      </c>
      <c r="N8" s="49">
        <v>100</v>
      </c>
      <c r="O8" s="49">
        <f t="shared" si="1"/>
        <v>0.18</v>
      </c>
      <c r="P8" s="64"/>
      <c r="Q8" s="64"/>
      <c r="R8" s="64"/>
      <c r="S8" s="18" t="s">
        <v>504</v>
      </c>
      <c r="T8" s="18"/>
      <c r="AD8" s="2">
        <f>O8</f>
        <v>0.18</v>
      </c>
    </row>
    <row r="9" spans="1:30" ht="21.95" customHeight="1" x14ac:dyDescent="0.15">
      <c r="B9" s="21" t="s">
        <v>501</v>
      </c>
      <c r="C9" s="21" t="s">
        <v>183</v>
      </c>
      <c r="D9" s="78" t="s">
        <v>184</v>
      </c>
      <c r="E9" s="78" t="s">
        <v>185</v>
      </c>
      <c r="F9" s="49" t="s">
        <v>172</v>
      </c>
      <c r="G9" s="49">
        <f>내역서!G10</f>
        <v>73</v>
      </c>
      <c r="H9" s="49">
        <f t="shared" si="0"/>
        <v>7</v>
      </c>
      <c r="I9" s="49">
        <f>내역서!J10</f>
        <v>66</v>
      </c>
      <c r="J9" s="49">
        <v>10</v>
      </c>
      <c r="K9" s="78" t="s">
        <v>479</v>
      </c>
      <c r="L9" s="49" t="s">
        <v>460</v>
      </c>
      <c r="M9" s="49">
        <v>4.3999999999999997E-2</v>
      </c>
      <c r="N9" s="49">
        <v>100</v>
      </c>
      <c r="O9" s="49">
        <f t="shared" si="1"/>
        <v>2.9039999999999999</v>
      </c>
      <c r="P9" s="64"/>
      <c r="Q9" s="64"/>
      <c r="R9" s="64"/>
      <c r="S9" s="18" t="s">
        <v>502</v>
      </c>
      <c r="T9" s="18"/>
      <c r="AA9" s="2">
        <f t="shared" ref="AA9:AA22" si="2">O9</f>
        <v>2.9039999999999999</v>
      </c>
    </row>
    <row r="10" spans="1:30" ht="21.95" customHeight="1" x14ac:dyDescent="0.15">
      <c r="B10" s="21" t="s">
        <v>501</v>
      </c>
      <c r="C10" s="21" t="s">
        <v>186</v>
      </c>
      <c r="D10" s="78" t="s">
        <v>184</v>
      </c>
      <c r="E10" s="78" t="s">
        <v>187</v>
      </c>
      <c r="F10" s="49" t="s">
        <v>172</v>
      </c>
      <c r="G10" s="49">
        <f>내역서!G11</f>
        <v>19</v>
      </c>
      <c r="H10" s="49">
        <f t="shared" si="0"/>
        <v>2</v>
      </c>
      <c r="I10" s="49">
        <f>내역서!J11</f>
        <v>17</v>
      </c>
      <c r="J10" s="49">
        <v>10</v>
      </c>
      <c r="K10" s="78" t="s">
        <v>479</v>
      </c>
      <c r="L10" s="49" t="s">
        <v>460</v>
      </c>
      <c r="M10" s="49">
        <v>5.8999999999999997E-2</v>
      </c>
      <c r="N10" s="49">
        <v>100</v>
      </c>
      <c r="O10" s="49">
        <f t="shared" si="1"/>
        <v>1.0029999999999999</v>
      </c>
      <c r="P10" s="64"/>
      <c r="Q10" s="64"/>
      <c r="R10" s="64"/>
      <c r="S10" s="18" t="s">
        <v>502</v>
      </c>
      <c r="T10" s="18"/>
      <c r="AA10" s="2">
        <f t="shared" si="2"/>
        <v>1.0029999999999999</v>
      </c>
    </row>
    <row r="11" spans="1:30" ht="21.95" customHeight="1" x14ac:dyDescent="0.15">
      <c r="B11" s="21" t="s">
        <v>501</v>
      </c>
      <c r="C11" s="21" t="s">
        <v>195</v>
      </c>
      <c r="D11" s="78" t="s">
        <v>196</v>
      </c>
      <c r="E11" s="78" t="s">
        <v>197</v>
      </c>
      <c r="F11" s="49" t="s">
        <v>190</v>
      </c>
      <c r="G11" s="49">
        <f>내역서!G14</f>
        <v>12</v>
      </c>
      <c r="H11" s="49">
        <f t="shared" si="0"/>
        <v>0</v>
      </c>
      <c r="I11" s="49">
        <f>내역서!J14</f>
        <v>12</v>
      </c>
      <c r="J11" s="49"/>
      <c r="K11" s="78" t="s">
        <v>479</v>
      </c>
      <c r="L11" s="49" t="s">
        <v>460</v>
      </c>
      <c r="M11" s="49">
        <v>0.12</v>
      </c>
      <c r="N11" s="49">
        <v>100</v>
      </c>
      <c r="O11" s="49">
        <f t="shared" si="1"/>
        <v>1.44</v>
      </c>
      <c r="P11" s="64"/>
      <c r="Q11" s="64"/>
      <c r="R11" s="64"/>
      <c r="S11" s="18" t="s">
        <v>506</v>
      </c>
      <c r="T11" s="18"/>
      <c r="AA11" s="2">
        <f t="shared" si="2"/>
        <v>1.44</v>
      </c>
    </row>
    <row r="12" spans="1:30" ht="21.95" customHeight="1" x14ac:dyDescent="0.15">
      <c r="B12" s="21" t="s">
        <v>501</v>
      </c>
      <c r="C12" s="21" t="s">
        <v>200</v>
      </c>
      <c r="D12" s="78" t="s">
        <v>196</v>
      </c>
      <c r="E12" s="78" t="s">
        <v>201</v>
      </c>
      <c r="F12" s="49" t="s">
        <v>190</v>
      </c>
      <c r="G12" s="49">
        <f>내역서!G15</f>
        <v>8</v>
      </c>
      <c r="H12" s="49">
        <f t="shared" si="0"/>
        <v>0</v>
      </c>
      <c r="I12" s="49">
        <f>내역서!J15</f>
        <v>8</v>
      </c>
      <c r="J12" s="49"/>
      <c r="K12" s="78" t="s">
        <v>479</v>
      </c>
      <c r="L12" s="49" t="s">
        <v>460</v>
      </c>
      <c r="M12" s="49">
        <v>0.12</v>
      </c>
      <c r="N12" s="49">
        <v>100</v>
      </c>
      <c r="O12" s="49">
        <f t="shared" si="1"/>
        <v>0.96</v>
      </c>
      <c r="P12" s="64"/>
      <c r="Q12" s="64"/>
      <c r="R12" s="64"/>
      <c r="S12" s="18" t="s">
        <v>506</v>
      </c>
      <c r="T12" s="18"/>
      <c r="AA12" s="2">
        <f t="shared" si="2"/>
        <v>0.96</v>
      </c>
    </row>
    <row r="13" spans="1:30" ht="21.95" customHeight="1" x14ac:dyDescent="0.15">
      <c r="B13" s="21" t="s">
        <v>501</v>
      </c>
      <c r="C13" s="21" t="s">
        <v>207</v>
      </c>
      <c r="D13" s="78" t="s">
        <v>208</v>
      </c>
      <c r="E13" s="78" t="s">
        <v>209</v>
      </c>
      <c r="F13" s="49" t="s">
        <v>190</v>
      </c>
      <c r="G13" s="49">
        <f>내역서!G18</f>
        <v>5</v>
      </c>
      <c r="H13" s="49">
        <f t="shared" si="0"/>
        <v>0</v>
      </c>
      <c r="I13" s="49">
        <f>내역서!J18</f>
        <v>5</v>
      </c>
      <c r="J13" s="49"/>
      <c r="K13" s="78" t="s">
        <v>479</v>
      </c>
      <c r="L13" s="49" t="s">
        <v>460</v>
      </c>
      <c r="M13" s="49">
        <v>0.28999999999999998</v>
      </c>
      <c r="N13" s="49">
        <v>100</v>
      </c>
      <c r="O13" s="49">
        <f t="shared" si="1"/>
        <v>1.45</v>
      </c>
      <c r="P13" s="64"/>
      <c r="Q13" s="64"/>
      <c r="R13" s="64"/>
      <c r="S13" s="18" t="s">
        <v>506</v>
      </c>
      <c r="T13" s="18"/>
      <c r="AA13" s="2">
        <f t="shared" si="2"/>
        <v>1.45</v>
      </c>
    </row>
    <row r="14" spans="1:30" ht="21.95" customHeight="1" x14ac:dyDescent="0.15">
      <c r="B14" s="21" t="s">
        <v>501</v>
      </c>
      <c r="C14" s="21" t="s">
        <v>212</v>
      </c>
      <c r="D14" s="78" t="s">
        <v>213</v>
      </c>
      <c r="E14" s="78" t="s">
        <v>214</v>
      </c>
      <c r="F14" s="49" t="s">
        <v>190</v>
      </c>
      <c r="G14" s="49">
        <f>내역서!G19</f>
        <v>3</v>
      </c>
      <c r="H14" s="49">
        <f t="shared" si="0"/>
        <v>0</v>
      </c>
      <c r="I14" s="49">
        <f>내역서!J19</f>
        <v>3</v>
      </c>
      <c r="J14" s="49"/>
      <c r="K14" s="78" t="s">
        <v>479</v>
      </c>
      <c r="L14" s="49" t="s">
        <v>460</v>
      </c>
      <c r="M14" s="49">
        <v>0.55000000000000004</v>
      </c>
      <c r="N14" s="49">
        <v>100</v>
      </c>
      <c r="O14" s="49">
        <f t="shared" si="1"/>
        <v>1.6500000000000001</v>
      </c>
      <c r="P14" s="64"/>
      <c r="Q14" s="64"/>
      <c r="R14" s="64"/>
      <c r="S14" s="18" t="s">
        <v>507</v>
      </c>
      <c r="T14" s="18"/>
      <c r="AA14" s="2">
        <f t="shared" si="2"/>
        <v>1.6500000000000001</v>
      </c>
    </row>
    <row r="15" spans="1:30" ht="21.95" customHeight="1" x14ac:dyDescent="0.15">
      <c r="B15" s="21" t="s">
        <v>501</v>
      </c>
      <c r="C15" s="21" t="s">
        <v>222</v>
      </c>
      <c r="D15" s="78" t="s">
        <v>223</v>
      </c>
      <c r="E15" s="78" t="s">
        <v>224</v>
      </c>
      <c r="F15" s="49" t="s">
        <v>172</v>
      </c>
      <c r="G15" s="49">
        <f>내역서!G20</f>
        <v>6</v>
      </c>
      <c r="H15" s="49">
        <f t="shared" si="0"/>
        <v>0</v>
      </c>
      <c r="I15" s="49">
        <f>내역서!J20</f>
        <v>6</v>
      </c>
      <c r="J15" s="49"/>
      <c r="K15" s="78" t="s">
        <v>479</v>
      </c>
      <c r="L15" s="49" t="s">
        <v>460</v>
      </c>
      <c r="M15" s="49">
        <v>0.28000000000000003</v>
      </c>
      <c r="N15" s="49">
        <v>100</v>
      </c>
      <c r="O15" s="49">
        <f t="shared" si="1"/>
        <v>1.6800000000000002</v>
      </c>
      <c r="P15" s="64"/>
      <c r="Q15" s="64"/>
      <c r="R15" s="64"/>
      <c r="S15" s="18" t="s">
        <v>508</v>
      </c>
      <c r="T15" s="18"/>
      <c r="AA15" s="2">
        <f t="shared" si="2"/>
        <v>1.6800000000000002</v>
      </c>
    </row>
    <row r="16" spans="1:30" ht="21.95" customHeight="1" x14ac:dyDescent="0.15">
      <c r="B16" s="21" t="s">
        <v>501</v>
      </c>
      <c r="C16" s="21" t="s">
        <v>226</v>
      </c>
      <c r="D16" s="78" t="s">
        <v>227</v>
      </c>
      <c r="E16" s="78" t="s">
        <v>224</v>
      </c>
      <c r="F16" s="49" t="s">
        <v>172</v>
      </c>
      <c r="G16" s="49">
        <f>내역서!G21</f>
        <v>6</v>
      </c>
      <c r="H16" s="49">
        <f t="shared" si="0"/>
        <v>0</v>
      </c>
      <c r="I16" s="49">
        <f>내역서!J21</f>
        <v>6</v>
      </c>
      <c r="J16" s="49"/>
      <c r="K16" s="78" t="s">
        <v>479</v>
      </c>
      <c r="L16" s="49" t="s">
        <v>460</v>
      </c>
      <c r="M16" s="49">
        <v>5.6000000000000001E-2</v>
      </c>
      <c r="N16" s="49">
        <v>100</v>
      </c>
      <c r="O16" s="49">
        <f t="shared" si="1"/>
        <v>0.33600000000000002</v>
      </c>
      <c r="P16" s="64"/>
      <c r="Q16" s="64"/>
      <c r="R16" s="64"/>
      <c r="S16" s="18" t="s">
        <v>509</v>
      </c>
      <c r="T16" s="18"/>
      <c r="AA16" s="2">
        <f t="shared" si="2"/>
        <v>0.33600000000000002</v>
      </c>
    </row>
    <row r="17" spans="2:28" ht="21.95" customHeight="1" x14ac:dyDescent="0.15">
      <c r="B17" s="21" t="s">
        <v>501</v>
      </c>
      <c r="C17" s="21" t="s">
        <v>228</v>
      </c>
      <c r="D17" s="78" t="s">
        <v>229</v>
      </c>
      <c r="E17" s="78" t="s">
        <v>224</v>
      </c>
      <c r="F17" s="49" t="s">
        <v>190</v>
      </c>
      <c r="G17" s="49">
        <f>내역서!G22</f>
        <v>5</v>
      </c>
      <c r="H17" s="49">
        <f t="shared" si="0"/>
        <v>0</v>
      </c>
      <c r="I17" s="49">
        <f>내역서!J22</f>
        <v>5</v>
      </c>
      <c r="J17" s="49"/>
      <c r="K17" s="78" t="s">
        <v>479</v>
      </c>
      <c r="L17" s="49" t="s">
        <v>460</v>
      </c>
      <c r="M17" s="49">
        <v>0.28000000000000003</v>
      </c>
      <c r="N17" s="49">
        <v>100</v>
      </c>
      <c r="O17" s="49">
        <f t="shared" si="1"/>
        <v>1.4000000000000001</v>
      </c>
      <c r="P17" s="64"/>
      <c r="Q17" s="64"/>
      <c r="R17" s="64"/>
      <c r="S17" s="18" t="s">
        <v>508</v>
      </c>
      <c r="T17" s="18"/>
      <c r="AA17" s="2">
        <f t="shared" si="2"/>
        <v>1.4000000000000001</v>
      </c>
    </row>
    <row r="18" spans="2:28" ht="21.95" customHeight="1" x14ac:dyDescent="0.15">
      <c r="B18" s="21" t="s">
        <v>501</v>
      </c>
      <c r="C18" s="21" t="s">
        <v>230</v>
      </c>
      <c r="D18" s="78" t="s">
        <v>231</v>
      </c>
      <c r="E18" s="78" t="s">
        <v>232</v>
      </c>
      <c r="F18" s="49" t="s">
        <v>172</v>
      </c>
      <c r="G18" s="49">
        <f>내역서!G23</f>
        <v>14</v>
      </c>
      <c r="H18" s="49">
        <f t="shared" si="0"/>
        <v>0</v>
      </c>
      <c r="I18" s="49">
        <f>내역서!J23</f>
        <v>14</v>
      </c>
      <c r="J18" s="49"/>
      <c r="K18" s="78" t="s">
        <v>479</v>
      </c>
      <c r="L18" s="49" t="s">
        <v>460</v>
      </c>
      <c r="M18" s="49">
        <v>0.22</v>
      </c>
      <c r="N18" s="49">
        <v>100</v>
      </c>
      <c r="O18" s="49">
        <f t="shared" si="1"/>
        <v>3.08</v>
      </c>
      <c r="P18" s="64"/>
      <c r="Q18" s="64"/>
      <c r="R18" s="64"/>
      <c r="S18" s="18" t="s">
        <v>510</v>
      </c>
      <c r="T18" s="18"/>
      <c r="AA18" s="2">
        <f t="shared" si="2"/>
        <v>3.08</v>
      </c>
    </row>
    <row r="19" spans="2:28" ht="21.95" customHeight="1" x14ac:dyDescent="0.15">
      <c r="B19" s="21" t="s">
        <v>501</v>
      </c>
      <c r="C19" s="21" t="s">
        <v>245</v>
      </c>
      <c r="D19" s="78" t="s">
        <v>246</v>
      </c>
      <c r="E19" s="78" t="s">
        <v>247</v>
      </c>
      <c r="F19" s="49" t="s">
        <v>172</v>
      </c>
      <c r="G19" s="49">
        <f>내역서!G26</f>
        <v>239</v>
      </c>
      <c r="H19" s="49">
        <f t="shared" si="0"/>
        <v>22</v>
      </c>
      <c r="I19" s="49">
        <f>내역서!J26</f>
        <v>217</v>
      </c>
      <c r="J19" s="49">
        <v>10</v>
      </c>
      <c r="K19" s="78" t="s">
        <v>479</v>
      </c>
      <c r="L19" s="49" t="s">
        <v>460</v>
      </c>
      <c r="M19" s="49">
        <v>0.01</v>
      </c>
      <c r="N19" s="49">
        <v>100</v>
      </c>
      <c r="O19" s="49">
        <f t="shared" si="1"/>
        <v>2.17</v>
      </c>
      <c r="P19" s="64"/>
      <c r="Q19" s="64"/>
      <c r="R19" s="64"/>
      <c r="S19" s="18" t="s">
        <v>511</v>
      </c>
      <c r="T19" s="18"/>
      <c r="AA19" s="2">
        <f t="shared" si="2"/>
        <v>2.17</v>
      </c>
    </row>
    <row r="20" spans="2:28" ht="21.95" customHeight="1" x14ac:dyDescent="0.15">
      <c r="B20" s="21" t="s">
        <v>501</v>
      </c>
      <c r="C20" s="21" t="s">
        <v>250</v>
      </c>
      <c r="D20" s="78" t="s">
        <v>246</v>
      </c>
      <c r="E20" s="78" t="s">
        <v>251</v>
      </c>
      <c r="F20" s="49" t="s">
        <v>172</v>
      </c>
      <c r="G20" s="49">
        <f>내역서!G27</f>
        <v>183</v>
      </c>
      <c r="H20" s="49">
        <f t="shared" si="0"/>
        <v>17</v>
      </c>
      <c r="I20" s="49">
        <f>내역서!J27</f>
        <v>166</v>
      </c>
      <c r="J20" s="49">
        <v>10</v>
      </c>
      <c r="K20" s="78" t="s">
        <v>479</v>
      </c>
      <c r="L20" s="49" t="s">
        <v>460</v>
      </c>
      <c r="M20" s="49">
        <v>0.01</v>
      </c>
      <c r="N20" s="49">
        <v>100</v>
      </c>
      <c r="O20" s="49">
        <f t="shared" si="1"/>
        <v>1.6600000000000001</v>
      </c>
      <c r="P20" s="64"/>
      <c r="Q20" s="64"/>
      <c r="R20" s="64"/>
      <c r="S20" s="18" t="s">
        <v>511</v>
      </c>
      <c r="T20" s="18"/>
      <c r="AA20" s="2">
        <f t="shared" si="2"/>
        <v>1.6600000000000001</v>
      </c>
    </row>
    <row r="21" spans="2:28" ht="21.95" customHeight="1" x14ac:dyDescent="0.15">
      <c r="B21" s="21" t="s">
        <v>501</v>
      </c>
      <c r="C21" s="21" t="s">
        <v>252</v>
      </c>
      <c r="D21" s="78" t="s">
        <v>253</v>
      </c>
      <c r="E21" s="78" t="s">
        <v>254</v>
      </c>
      <c r="F21" s="49" t="s">
        <v>172</v>
      </c>
      <c r="G21" s="49">
        <f>내역서!G28</f>
        <v>28</v>
      </c>
      <c r="H21" s="49">
        <f t="shared" si="0"/>
        <v>3</v>
      </c>
      <c r="I21" s="49">
        <f>내역서!J28</f>
        <v>25</v>
      </c>
      <c r="J21" s="49">
        <v>10</v>
      </c>
      <c r="K21" s="78" t="s">
        <v>479</v>
      </c>
      <c r="L21" s="49" t="s">
        <v>460</v>
      </c>
      <c r="M21" s="49">
        <v>6.0000000000000001E-3</v>
      </c>
      <c r="N21" s="49">
        <v>150</v>
      </c>
      <c r="O21" s="49">
        <f t="shared" si="1"/>
        <v>0.22499999999999998</v>
      </c>
      <c r="P21" s="64"/>
      <c r="Q21" s="64"/>
      <c r="R21" s="64"/>
      <c r="S21" s="18" t="s">
        <v>512</v>
      </c>
      <c r="T21" s="18"/>
      <c r="AA21" s="2">
        <f t="shared" si="2"/>
        <v>0.22499999999999998</v>
      </c>
    </row>
    <row r="22" spans="2:28" ht="21.95" customHeight="1" x14ac:dyDescent="0.15">
      <c r="B22" s="21" t="s">
        <v>501</v>
      </c>
      <c r="C22" s="21" t="s">
        <v>256</v>
      </c>
      <c r="D22" s="78" t="s">
        <v>253</v>
      </c>
      <c r="E22" s="78" t="s">
        <v>257</v>
      </c>
      <c r="F22" s="49" t="s">
        <v>172</v>
      </c>
      <c r="G22" s="49">
        <f>내역서!G29</f>
        <v>14</v>
      </c>
      <c r="H22" s="49">
        <f t="shared" si="0"/>
        <v>2</v>
      </c>
      <c r="I22" s="49">
        <f>내역서!J29</f>
        <v>12</v>
      </c>
      <c r="J22" s="49">
        <v>10</v>
      </c>
      <c r="K22" s="78" t="s">
        <v>479</v>
      </c>
      <c r="L22" s="49" t="s">
        <v>460</v>
      </c>
      <c r="M22" s="49">
        <v>7.0000000000000001E-3</v>
      </c>
      <c r="N22" s="49">
        <v>150</v>
      </c>
      <c r="O22" s="49">
        <f t="shared" si="1"/>
        <v>0.126</v>
      </c>
      <c r="P22" s="64"/>
      <c r="Q22" s="64"/>
      <c r="R22" s="64"/>
      <c r="S22" s="18" t="s">
        <v>512</v>
      </c>
      <c r="T22" s="18"/>
      <c r="AA22" s="2">
        <f t="shared" si="2"/>
        <v>0.126</v>
      </c>
    </row>
    <row r="23" spans="2:28" ht="21.95" customHeight="1" x14ac:dyDescent="0.15">
      <c r="B23" s="21" t="s">
        <v>501</v>
      </c>
      <c r="C23" s="21" t="s">
        <v>258</v>
      </c>
      <c r="D23" s="78" t="s">
        <v>259</v>
      </c>
      <c r="E23" s="78" t="s">
        <v>260</v>
      </c>
      <c r="F23" s="49" t="s">
        <v>172</v>
      </c>
      <c r="G23" s="49">
        <f>내역서!G30</f>
        <v>5</v>
      </c>
      <c r="H23" s="49">
        <f t="shared" si="0"/>
        <v>1</v>
      </c>
      <c r="I23" s="49">
        <f>내역서!J30</f>
        <v>4</v>
      </c>
      <c r="J23" s="49">
        <v>5</v>
      </c>
      <c r="K23" s="78" t="s">
        <v>513</v>
      </c>
      <c r="L23" s="49" t="s">
        <v>463</v>
      </c>
      <c r="M23" s="49">
        <v>0.03</v>
      </c>
      <c r="N23" s="49">
        <v>100</v>
      </c>
      <c r="O23" s="49">
        <f t="shared" si="1"/>
        <v>0.12</v>
      </c>
      <c r="P23" s="64"/>
      <c r="Q23" s="64"/>
      <c r="R23" s="64"/>
      <c r="S23" s="18" t="s">
        <v>514</v>
      </c>
      <c r="T23" s="18"/>
      <c r="AB23" s="2">
        <f>O23</f>
        <v>0.12</v>
      </c>
    </row>
    <row r="24" spans="2:28" ht="21.95" customHeight="1" x14ac:dyDescent="0.15">
      <c r="B24" s="21" t="s">
        <v>501</v>
      </c>
      <c r="C24" s="21" t="s">
        <v>262</v>
      </c>
      <c r="D24" s="78" t="s">
        <v>259</v>
      </c>
      <c r="E24" s="78" t="s">
        <v>263</v>
      </c>
      <c r="F24" s="49" t="s">
        <v>172</v>
      </c>
      <c r="G24" s="49">
        <f>내역서!G31</f>
        <v>5</v>
      </c>
      <c r="H24" s="49">
        <f t="shared" si="0"/>
        <v>1</v>
      </c>
      <c r="I24" s="49">
        <f>내역서!J31</f>
        <v>4</v>
      </c>
      <c r="J24" s="49">
        <v>5</v>
      </c>
      <c r="K24" s="78" t="s">
        <v>513</v>
      </c>
      <c r="L24" s="49" t="s">
        <v>463</v>
      </c>
      <c r="M24" s="49">
        <v>3.5999999999999997E-2</v>
      </c>
      <c r="N24" s="49">
        <v>100</v>
      </c>
      <c r="O24" s="49">
        <f t="shared" si="1"/>
        <v>0.14399999999999999</v>
      </c>
      <c r="P24" s="64"/>
      <c r="Q24" s="64"/>
      <c r="R24" s="64"/>
      <c r="S24" s="18" t="s">
        <v>514</v>
      </c>
      <c r="T24" s="18"/>
      <c r="AB24" s="2">
        <f>O24</f>
        <v>0.14399999999999999</v>
      </c>
    </row>
    <row r="25" spans="2:28" ht="21.95" customHeight="1" x14ac:dyDescent="0.15">
      <c r="B25" s="21" t="s">
        <v>501</v>
      </c>
      <c r="C25" s="21" t="s">
        <v>264</v>
      </c>
      <c r="D25" s="78" t="s">
        <v>259</v>
      </c>
      <c r="E25" s="78" t="s">
        <v>265</v>
      </c>
      <c r="F25" s="49" t="s">
        <v>172</v>
      </c>
      <c r="G25" s="49">
        <f>내역서!G32</f>
        <v>27</v>
      </c>
      <c r="H25" s="49">
        <f t="shared" si="0"/>
        <v>2</v>
      </c>
      <c r="I25" s="49">
        <f>내역서!J32</f>
        <v>25</v>
      </c>
      <c r="J25" s="49">
        <v>5</v>
      </c>
      <c r="K25" s="78" t="s">
        <v>513</v>
      </c>
      <c r="L25" s="49" t="s">
        <v>463</v>
      </c>
      <c r="M25" s="49">
        <v>2.5000000000000001E-2</v>
      </c>
      <c r="N25" s="49">
        <v>100</v>
      </c>
      <c r="O25" s="49">
        <f t="shared" si="1"/>
        <v>0.625</v>
      </c>
      <c r="P25" s="64"/>
      <c r="Q25" s="64"/>
      <c r="R25" s="64"/>
      <c r="S25" s="18" t="s">
        <v>515</v>
      </c>
      <c r="T25" s="18"/>
      <c r="AB25" s="2">
        <f>O25</f>
        <v>0.625</v>
      </c>
    </row>
    <row r="26" spans="2:28" ht="21.95" customHeight="1" x14ac:dyDescent="0.15">
      <c r="B26" s="21" t="s">
        <v>501</v>
      </c>
      <c r="C26" s="21" t="s">
        <v>266</v>
      </c>
      <c r="D26" s="78" t="s">
        <v>259</v>
      </c>
      <c r="E26" s="78" t="s">
        <v>267</v>
      </c>
      <c r="F26" s="49" t="s">
        <v>172</v>
      </c>
      <c r="G26" s="49">
        <f>내역서!G33</f>
        <v>11</v>
      </c>
      <c r="H26" s="49">
        <f t="shared" si="0"/>
        <v>1</v>
      </c>
      <c r="I26" s="49">
        <f>내역서!J33</f>
        <v>10</v>
      </c>
      <c r="J26" s="49">
        <v>5</v>
      </c>
      <c r="K26" s="78" t="s">
        <v>513</v>
      </c>
      <c r="L26" s="49" t="s">
        <v>463</v>
      </c>
      <c r="M26" s="49">
        <v>5.9799999999999999E-2</v>
      </c>
      <c r="N26" s="49">
        <v>100</v>
      </c>
      <c r="O26" s="49">
        <f t="shared" si="1"/>
        <v>0.59799999999999998</v>
      </c>
      <c r="P26" s="64"/>
      <c r="Q26" s="64"/>
      <c r="R26" s="64"/>
      <c r="S26" s="18" t="s">
        <v>514</v>
      </c>
      <c r="T26" s="18"/>
      <c r="AB26" s="2">
        <f>O26</f>
        <v>0.59799999999999998</v>
      </c>
    </row>
    <row r="27" spans="2:28" ht="21.95" customHeight="1" x14ac:dyDescent="0.15">
      <c r="B27" s="21" t="s">
        <v>501</v>
      </c>
      <c r="C27" s="21" t="s">
        <v>268</v>
      </c>
      <c r="D27" s="78" t="s">
        <v>269</v>
      </c>
      <c r="E27" s="78" t="s">
        <v>270</v>
      </c>
      <c r="F27" s="49" t="s">
        <v>172</v>
      </c>
      <c r="G27" s="49">
        <f>내역서!G34</f>
        <v>4</v>
      </c>
      <c r="H27" s="49">
        <f t="shared" si="0"/>
        <v>1</v>
      </c>
      <c r="I27" s="49">
        <f>내역서!J34</f>
        <v>3</v>
      </c>
      <c r="J27" s="49">
        <v>10</v>
      </c>
      <c r="K27" s="78" t="s">
        <v>479</v>
      </c>
      <c r="L27" s="49" t="s">
        <v>460</v>
      </c>
      <c r="M27" s="49">
        <v>2.3E-2</v>
      </c>
      <c r="N27" s="49">
        <v>100</v>
      </c>
      <c r="O27" s="49">
        <f t="shared" si="1"/>
        <v>6.9000000000000006E-2</v>
      </c>
      <c r="P27" s="64"/>
      <c r="Q27" s="64"/>
      <c r="R27" s="64"/>
      <c r="S27" s="18" t="s">
        <v>511</v>
      </c>
      <c r="T27" s="18"/>
      <c r="AA27" s="2">
        <f t="shared" ref="AA27:AA37" si="3">O27</f>
        <v>6.9000000000000006E-2</v>
      </c>
    </row>
    <row r="28" spans="2:28" ht="21.95" customHeight="1" x14ac:dyDescent="0.15">
      <c r="B28" s="21" t="s">
        <v>501</v>
      </c>
      <c r="C28" s="21" t="s">
        <v>272</v>
      </c>
      <c r="D28" s="78" t="s">
        <v>269</v>
      </c>
      <c r="E28" s="78" t="s">
        <v>273</v>
      </c>
      <c r="F28" s="49" t="s">
        <v>172</v>
      </c>
      <c r="G28" s="49">
        <f>내역서!G35</f>
        <v>5</v>
      </c>
      <c r="H28" s="49">
        <f t="shared" si="0"/>
        <v>1</v>
      </c>
      <c r="I28" s="49">
        <f>내역서!J35</f>
        <v>4</v>
      </c>
      <c r="J28" s="49">
        <v>10</v>
      </c>
      <c r="K28" s="78" t="s">
        <v>479</v>
      </c>
      <c r="L28" s="49" t="s">
        <v>460</v>
      </c>
      <c r="M28" s="49">
        <v>3.1E-2</v>
      </c>
      <c r="N28" s="49">
        <v>100</v>
      </c>
      <c r="O28" s="49">
        <f t="shared" si="1"/>
        <v>0.124</v>
      </c>
      <c r="P28" s="64"/>
      <c r="Q28" s="64"/>
      <c r="R28" s="64"/>
      <c r="S28" s="18" t="s">
        <v>511</v>
      </c>
      <c r="T28" s="18"/>
      <c r="AA28" s="2">
        <f t="shared" si="3"/>
        <v>0.124</v>
      </c>
    </row>
    <row r="29" spans="2:28" ht="21.95" customHeight="1" x14ac:dyDescent="0.15">
      <c r="B29" s="21" t="s">
        <v>501</v>
      </c>
      <c r="C29" s="21" t="s">
        <v>274</v>
      </c>
      <c r="D29" s="78" t="s">
        <v>275</v>
      </c>
      <c r="E29" s="78" t="s">
        <v>276</v>
      </c>
      <c r="F29" s="49" t="s">
        <v>190</v>
      </c>
      <c r="G29" s="49">
        <f>내역서!G36</f>
        <v>2</v>
      </c>
      <c r="H29" s="49">
        <f t="shared" si="0"/>
        <v>0</v>
      </c>
      <c r="I29" s="49">
        <f>내역서!J36</f>
        <v>2</v>
      </c>
      <c r="J29" s="49"/>
      <c r="K29" s="78" t="s">
        <v>479</v>
      </c>
      <c r="L29" s="49" t="s">
        <v>460</v>
      </c>
      <c r="M29" s="49">
        <v>8.5000000000000006E-2</v>
      </c>
      <c r="N29" s="49">
        <v>100</v>
      </c>
      <c r="O29" s="49">
        <f t="shared" si="1"/>
        <v>0.17</v>
      </c>
      <c r="P29" s="64"/>
      <c r="Q29" s="64"/>
      <c r="R29" s="64"/>
      <c r="S29" s="18" t="s">
        <v>516</v>
      </c>
      <c r="T29" s="18"/>
      <c r="AA29" s="2">
        <f t="shared" si="3"/>
        <v>0.17</v>
      </c>
    </row>
    <row r="30" spans="2:28" ht="21.95" customHeight="1" x14ac:dyDescent="0.15">
      <c r="B30" s="21" t="s">
        <v>501</v>
      </c>
      <c r="C30" s="21" t="s">
        <v>279</v>
      </c>
      <c r="D30" s="78" t="s">
        <v>275</v>
      </c>
      <c r="E30" s="78" t="s">
        <v>280</v>
      </c>
      <c r="F30" s="49" t="s">
        <v>190</v>
      </c>
      <c r="G30" s="49">
        <f>내역서!G37</f>
        <v>1</v>
      </c>
      <c r="H30" s="49">
        <f t="shared" si="0"/>
        <v>0</v>
      </c>
      <c r="I30" s="49">
        <f>내역서!J37</f>
        <v>1</v>
      </c>
      <c r="J30" s="49"/>
      <c r="K30" s="78" t="s">
        <v>479</v>
      </c>
      <c r="L30" s="49" t="s">
        <v>460</v>
      </c>
      <c r="M30" s="49">
        <v>8.5000000000000006E-2</v>
      </c>
      <c r="N30" s="49">
        <v>100</v>
      </c>
      <c r="O30" s="49">
        <f t="shared" si="1"/>
        <v>8.5000000000000006E-2</v>
      </c>
      <c r="P30" s="64"/>
      <c r="Q30" s="64"/>
      <c r="R30" s="64"/>
      <c r="S30" s="18" t="s">
        <v>516</v>
      </c>
      <c r="T30" s="18"/>
      <c r="AA30" s="2">
        <f t="shared" si="3"/>
        <v>8.5000000000000006E-2</v>
      </c>
    </row>
    <row r="31" spans="2:28" ht="21.95" customHeight="1" x14ac:dyDescent="0.15">
      <c r="B31" s="21" t="s">
        <v>501</v>
      </c>
      <c r="C31" s="21" t="s">
        <v>281</v>
      </c>
      <c r="D31" s="78" t="s">
        <v>282</v>
      </c>
      <c r="E31" s="78" t="s">
        <v>283</v>
      </c>
      <c r="F31" s="49" t="s">
        <v>190</v>
      </c>
      <c r="G31" s="49">
        <f>내역서!G38</f>
        <v>4</v>
      </c>
      <c r="H31" s="49">
        <f t="shared" si="0"/>
        <v>0</v>
      </c>
      <c r="I31" s="49">
        <f>내역서!J38</f>
        <v>4</v>
      </c>
      <c r="J31" s="49"/>
      <c r="K31" s="78" t="s">
        <v>479</v>
      </c>
      <c r="L31" s="49" t="s">
        <v>460</v>
      </c>
      <c r="M31" s="49">
        <v>9.6000000000000002E-2</v>
      </c>
      <c r="N31" s="49">
        <v>100</v>
      </c>
      <c r="O31" s="49">
        <f t="shared" si="1"/>
        <v>0.38400000000000001</v>
      </c>
      <c r="P31" s="64"/>
      <c r="Q31" s="64"/>
      <c r="R31" s="64"/>
      <c r="S31" s="18" t="s">
        <v>517</v>
      </c>
      <c r="T31" s="18"/>
      <c r="AA31" s="2">
        <f t="shared" si="3"/>
        <v>0.38400000000000001</v>
      </c>
    </row>
    <row r="32" spans="2:28" ht="21.95" customHeight="1" x14ac:dyDescent="0.15">
      <c r="B32" s="21" t="s">
        <v>501</v>
      </c>
      <c r="C32" s="21" t="s">
        <v>284</v>
      </c>
      <c r="D32" s="78" t="s">
        <v>285</v>
      </c>
      <c r="E32" s="78" t="s">
        <v>286</v>
      </c>
      <c r="F32" s="49" t="s">
        <v>190</v>
      </c>
      <c r="G32" s="49">
        <f>내역서!G39</f>
        <v>4</v>
      </c>
      <c r="H32" s="49">
        <f t="shared" si="0"/>
        <v>0</v>
      </c>
      <c r="I32" s="49">
        <f>내역서!J39</f>
        <v>4</v>
      </c>
      <c r="J32" s="49"/>
      <c r="K32" s="78" t="s">
        <v>479</v>
      </c>
      <c r="L32" s="49" t="s">
        <v>460</v>
      </c>
      <c r="M32" s="49">
        <v>0.08</v>
      </c>
      <c r="N32" s="49">
        <v>100</v>
      </c>
      <c r="O32" s="49">
        <f t="shared" si="1"/>
        <v>0.32</v>
      </c>
      <c r="P32" s="64"/>
      <c r="Q32" s="64"/>
      <c r="R32" s="64"/>
      <c r="S32" s="18" t="s">
        <v>517</v>
      </c>
      <c r="T32" s="18"/>
      <c r="AA32" s="2">
        <f t="shared" si="3"/>
        <v>0.32</v>
      </c>
    </row>
    <row r="33" spans="2:28" ht="21.95" customHeight="1" x14ac:dyDescent="0.15">
      <c r="B33" s="21" t="s">
        <v>501</v>
      </c>
      <c r="C33" s="21" t="s">
        <v>288</v>
      </c>
      <c r="D33" s="78" t="s">
        <v>285</v>
      </c>
      <c r="E33" s="78" t="s">
        <v>289</v>
      </c>
      <c r="F33" s="49" t="s">
        <v>190</v>
      </c>
      <c r="G33" s="49">
        <f>내역서!G40</f>
        <v>1</v>
      </c>
      <c r="H33" s="49">
        <f t="shared" si="0"/>
        <v>0</v>
      </c>
      <c r="I33" s="49">
        <f>내역서!J40</f>
        <v>1</v>
      </c>
      <c r="J33" s="49"/>
      <c r="K33" s="78" t="s">
        <v>479</v>
      </c>
      <c r="L33" s="49" t="s">
        <v>460</v>
      </c>
      <c r="M33" s="49">
        <v>0.08</v>
      </c>
      <c r="N33" s="49">
        <v>100</v>
      </c>
      <c r="O33" s="49">
        <f t="shared" si="1"/>
        <v>0.08</v>
      </c>
      <c r="P33" s="64"/>
      <c r="Q33" s="64"/>
      <c r="R33" s="64"/>
      <c r="S33" s="18" t="s">
        <v>517</v>
      </c>
      <c r="T33" s="18"/>
      <c r="AA33" s="2">
        <f t="shared" si="3"/>
        <v>0.08</v>
      </c>
    </row>
    <row r="34" spans="2:28" ht="21.95" customHeight="1" x14ac:dyDescent="0.15">
      <c r="B34" s="21" t="s">
        <v>501</v>
      </c>
      <c r="C34" s="21" t="s">
        <v>290</v>
      </c>
      <c r="D34" s="78" t="s">
        <v>291</v>
      </c>
      <c r="E34" s="78" t="s">
        <v>292</v>
      </c>
      <c r="F34" s="49" t="s">
        <v>238</v>
      </c>
      <c r="G34" s="49">
        <f>내역서!G41</f>
        <v>1</v>
      </c>
      <c r="H34" s="49">
        <f t="shared" si="0"/>
        <v>0</v>
      </c>
      <c r="I34" s="49">
        <f>내역서!J41</f>
        <v>1</v>
      </c>
      <c r="J34" s="49"/>
      <c r="K34" s="78" t="s">
        <v>479</v>
      </c>
      <c r="L34" s="49" t="s">
        <v>460</v>
      </c>
      <c r="M34" s="49">
        <v>0.77</v>
      </c>
      <c r="N34" s="49">
        <v>100</v>
      </c>
      <c r="O34" s="49">
        <f t="shared" si="1"/>
        <v>0.77</v>
      </c>
      <c r="P34" s="64"/>
      <c r="Q34" s="64"/>
      <c r="R34" s="64"/>
      <c r="S34" s="18" t="s">
        <v>518</v>
      </c>
      <c r="T34" s="18"/>
      <c r="AA34" s="2">
        <f t="shared" si="3"/>
        <v>0.77</v>
      </c>
    </row>
    <row r="35" spans="2:28" ht="21.95" customHeight="1" x14ac:dyDescent="0.15">
      <c r="B35" s="21" t="s">
        <v>501</v>
      </c>
      <c r="C35" s="21" t="s">
        <v>298</v>
      </c>
      <c r="D35" s="78" t="s">
        <v>299</v>
      </c>
      <c r="E35" s="78" t="s">
        <v>300</v>
      </c>
      <c r="F35" s="49" t="s">
        <v>238</v>
      </c>
      <c r="G35" s="49">
        <f>내역서!G44</f>
        <v>1</v>
      </c>
      <c r="H35" s="49">
        <f t="shared" si="0"/>
        <v>0</v>
      </c>
      <c r="I35" s="49">
        <f>내역서!J44</f>
        <v>1</v>
      </c>
      <c r="J35" s="49"/>
      <c r="K35" s="78" t="s">
        <v>479</v>
      </c>
      <c r="L35" s="49" t="s">
        <v>460</v>
      </c>
      <c r="M35" s="49">
        <v>0.182</v>
      </c>
      <c r="N35" s="49">
        <v>100</v>
      </c>
      <c r="O35" s="49">
        <f t="shared" si="1"/>
        <v>0.182</v>
      </c>
      <c r="P35" s="64"/>
      <c r="Q35" s="64"/>
      <c r="R35" s="64"/>
      <c r="S35" s="18" t="s">
        <v>519</v>
      </c>
      <c r="T35" s="18"/>
      <c r="AA35" s="2">
        <f t="shared" si="3"/>
        <v>0.182</v>
      </c>
    </row>
    <row r="36" spans="2:28" ht="21.95" customHeight="1" x14ac:dyDescent="0.15">
      <c r="B36" s="21" t="s">
        <v>501</v>
      </c>
      <c r="C36" s="21" t="s">
        <v>303</v>
      </c>
      <c r="D36" s="78" t="s">
        <v>304</v>
      </c>
      <c r="E36" s="78" t="s">
        <v>305</v>
      </c>
      <c r="F36" s="49" t="s">
        <v>238</v>
      </c>
      <c r="G36" s="49">
        <f>내역서!G45</f>
        <v>1</v>
      </c>
      <c r="H36" s="49">
        <f t="shared" si="0"/>
        <v>0</v>
      </c>
      <c r="I36" s="49">
        <f>내역서!J45</f>
        <v>1</v>
      </c>
      <c r="J36" s="49"/>
      <c r="K36" s="78" t="s">
        <v>479</v>
      </c>
      <c r="L36" s="49" t="s">
        <v>460</v>
      </c>
      <c r="M36" s="49">
        <v>0.252</v>
      </c>
      <c r="N36" s="49">
        <v>100</v>
      </c>
      <c r="O36" s="49">
        <f t="shared" si="1"/>
        <v>0.252</v>
      </c>
      <c r="P36" s="64"/>
      <c r="Q36" s="64"/>
      <c r="R36" s="64"/>
      <c r="S36" s="18" t="s">
        <v>519</v>
      </c>
      <c r="T36" s="18"/>
      <c r="AA36" s="2">
        <f t="shared" si="3"/>
        <v>0.252</v>
      </c>
    </row>
    <row r="37" spans="2:28" ht="21.95" customHeight="1" x14ac:dyDescent="0.15">
      <c r="B37" s="21" t="s">
        <v>501</v>
      </c>
      <c r="C37" s="21" t="s">
        <v>306</v>
      </c>
      <c r="D37" s="78" t="s">
        <v>307</v>
      </c>
      <c r="E37" s="78" t="s">
        <v>308</v>
      </c>
      <c r="F37" s="49" t="s">
        <v>238</v>
      </c>
      <c r="G37" s="49">
        <f>내역서!G46</f>
        <v>37</v>
      </c>
      <c r="H37" s="49">
        <f t="shared" ref="H37:H68" si="4">IF(I37&lt;&gt;0,G37-I37,"")</f>
        <v>0</v>
      </c>
      <c r="I37" s="49">
        <f>내역서!J46</f>
        <v>37</v>
      </c>
      <c r="J37" s="49"/>
      <c r="K37" s="78" t="s">
        <v>479</v>
      </c>
      <c r="L37" s="49" t="s">
        <v>460</v>
      </c>
      <c r="M37" s="49">
        <v>0.13300000000000001</v>
      </c>
      <c r="N37" s="49">
        <v>100</v>
      </c>
      <c r="O37" s="49">
        <f t="shared" ref="O37:O68" si="5">IF(I37*M37=0,"",I37*M37*(N37/100))</f>
        <v>4.9210000000000003</v>
      </c>
      <c r="P37" s="64"/>
      <c r="Q37" s="64"/>
      <c r="R37" s="64"/>
      <c r="S37" s="18" t="s">
        <v>519</v>
      </c>
      <c r="T37" s="18"/>
      <c r="AA37" s="2">
        <f t="shared" si="3"/>
        <v>4.9210000000000003</v>
      </c>
    </row>
    <row r="38" spans="2:28" ht="21.95" customHeight="1" x14ac:dyDescent="0.15">
      <c r="B38" s="21" t="s">
        <v>501</v>
      </c>
      <c r="C38" s="21" t="s">
        <v>316</v>
      </c>
      <c r="D38" s="78" t="s">
        <v>312</v>
      </c>
      <c r="E38" s="78" t="s">
        <v>317</v>
      </c>
      <c r="F38" s="49" t="s">
        <v>190</v>
      </c>
      <c r="G38" s="49">
        <f>내역서!G48</f>
        <v>17</v>
      </c>
      <c r="H38" s="49">
        <f t="shared" si="4"/>
        <v>0</v>
      </c>
      <c r="I38" s="49">
        <f>내역서!J48</f>
        <v>17</v>
      </c>
      <c r="J38" s="49"/>
      <c r="K38" s="78" t="s">
        <v>513</v>
      </c>
      <c r="L38" s="49" t="s">
        <v>463</v>
      </c>
      <c r="M38" s="49">
        <v>8.1000000000000003E-2</v>
      </c>
      <c r="N38" s="49">
        <v>120</v>
      </c>
      <c r="O38" s="49">
        <f t="shared" si="5"/>
        <v>1.6523999999999999</v>
      </c>
      <c r="P38" s="64"/>
      <c r="Q38" s="64"/>
      <c r="R38" s="64"/>
      <c r="S38" s="18" t="s">
        <v>520</v>
      </c>
      <c r="T38" s="18"/>
      <c r="AB38" s="2">
        <f>O38</f>
        <v>1.6523999999999999</v>
      </c>
    </row>
    <row r="39" spans="2:28" ht="21.95" customHeight="1" x14ac:dyDescent="0.15">
      <c r="B39" s="21" t="s">
        <v>501</v>
      </c>
      <c r="C39" s="21" t="s">
        <v>318</v>
      </c>
      <c r="D39" s="78" t="s">
        <v>312</v>
      </c>
      <c r="E39" s="78" t="s">
        <v>319</v>
      </c>
      <c r="F39" s="49" t="s">
        <v>190</v>
      </c>
      <c r="G39" s="49">
        <f>내역서!G49</f>
        <v>34</v>
      </c>
      <c r="H39" s="49">
        <f t="shared" si="4"/>
        <v>0</v>
      </c>
      <c r="I39" s="49">
        <f>내역서!J49</f>
        <v>34</v>
      </c>
      <c r="J39" s="49"/>
      <c r="K39" s="78" t="s">
        <v>513</v>
      </c>
      <c r="L39" s="49" t="s">
        <v>463</v>
      </c>
      <c r="M39" s="49">
        <v>9.9000000000000005E-2</v>
      </c>
      <c r="N39" s="49">
        <v>120</v>
      </c>
      <c r="O39" s="49">
        <f t="shared" si="5"/>
        <v>4.0392000000000001</v>
      </c>
      <c r="P39" s="64"/>
      <c r="Q39" s="64"/>
      <c r="R39" s="64"/>
      <c r="S39" s="18" t="s">
        <v>520</v>
      </c>
      <c r="T39" s="18"/>
      <c r="AB39" s="2">
        <f>O39</f>
        <v>4.0392000000000001</v>
      </c>
    </row>
    <row r="40" spans="2:28" ht="21.95" customHeight="1" x14ac:dyDescent="0.15">
      <c r="B40" s="21" t="s">
        <v>501</v>
      </c>
      <c r="C40" s="21" t="s">
        <v>320</v>
      </c>
      <c r="D40" s="78" t="s">
        <v>312</v>
      </c>
      <c r="E40" s="78" t="s">
        <v>321</v>
      </c>
      <c r="F40" s="49" t="s">
        <v>190</v>
      </c>
      <c r="G40" s="49">
        <f>내역서!G50</f>
        <v>4</v>
      </c>
      <c r="H40" s="49">
        <f t="shared" si="4"/>
        <v>0</v>
      </c>
      <c r="I40" s="49">
        <f>내역서!J50</f>
        <v>4</v>
      </c>
      <c r="J40" s="49"/>
      <c r="K40" s="78" t="s">
        <v>513</v>
      </c>
      <c r="L40" s="49" t="s">
        <v>463</v>
      </c>
      <c r="M40" s="49">
        <v>0.108</v>
      </c>
      <c r="N40" s="49">
        <v>120</v>
      </c>
      <c r="O40" s="49">
        <f t="shared" si="5"/>
        <v>0.51839999999999997</v>
      </c>
      <c r="P40" s="64"/>
      <c r="Q40" s="64"/>
      <c r="R40" s="64"/>
      <c r="S40" s="18" t="s">
        <v>520</v>
      </c>
      <c r="T40" s="18"/>
      <c r="AB40" s="2">
        <f>O40</f>
        <v>0.51839999999999997</v>
      </c>
    </row>
    <row r="41" spans="2:28" ht="21.95" customHeight="1" x14ac:dyDescent="0.15">
      <c r="B41" s="21" t="s">
        <v>501</v>
      </c>
      <c r="C41" s="21" t="s">
        <v>342</v>
      </c>
      <c r="D41" s="78" t="s">
        <v>343</v>
      </c>
      <c r="E41" s="78" t="s">
        <v>344</v>
      </c>
      <c r="F41" s="49" t="s">
        <v>345</v>
      </c>
      <c r="G41" s="49">
        <f>내역서!G56</f>
        <v>1</v>
      </c>
      <c r="H41" s="49">
        <f t="shared" si="4"/>
        <v>0</v>
      </c>
      <c r="I41" s="49">
        <f>내역서!J56</f>
        <v>1</v>
      </c>
      <c r="J41" s="49"/>
      <c r="K41" s="78" t="s">
        <v>479</v>
      </c>
      <c r="L41" s="49" t="s">
        <v>460</v>
      </c>
      <c r="M41" s="49">
        <v>1.23</v>
      </c>
      <c r="N41" s="49">
        <v>100</v>
      </c>
      <c r="O41" s="49">
        <f t="shared" si="5"/>
        <v>1.23</v>
      </c>
      <c r="P41" s="64"/>
      <c r="Q41" s="64"/>
      <c r="R41" s="64"/>
      <c r="S41" s="18" t="s">
        <v>507</v>
      </c>
      <c r="T41" s="18"/>
      <c r="AA41" s="2">
        <f t="shared" ref="AA41:AA76" si="6">O41</f>
        <v>1.23</v>
      </c>
    </row>
    <row r="42" spans="2:28" ht="21.95" customHeight="1" x14ac:dyDescent="0.15">
      <c r="B42" s="21" t="s">
        <v>501</v>
      </c>
      <c r="C42" s="21" t="s">
        <v>347</v>
      </c>
      <c r="D42" s="78" t="s">
        <v>348</v>
      </c>
      <c r="E42" s="78" t="s">
        <v>349</v>
      </c>
      <c r="F42" s="49" t="s">
        <v>238</v>
      </c>
      <c r="G42" s="49">
        <f>내역서!G57</f>
        <v>4</v>
      </c>
      <c r="H42" s="49">
        <f t="shared" si="4"/>
        <v>0</v>
      </c>
      <c r="I42" s="49">
        <f>내역서!J57</f>
        <v>4</v>
      </c>
      <c r="J42" s="49"/>
      <c r="K42" s="78" t="s">
        <v>479</v>
      </c>
      <c r="L42" s="49" t="s">
        <v>460</v>
      </c>
      <c r="M42" s="49">
        <v>0.48</v>
      </c>
      <c r="N42" s="49">
        <v>100</v>
      </c>
      <c r="O42" s="49">
        <f t="shared" si="5"/>
        <v>1.92</v>
      </c>
      <c r="P42" s="64"/>
      <c r="Q42" s="64"/>
      <c r="R42" s="64"/>
      <c r="S42" s="18" t="s">
        <v>521</v>
      </c>
      <c r="T42" s="18"/>
      <c r="AA42" s="2">
        <f t="shared" si="6"/>
        <v>1.92</v>
      </c>
    </row>
    <row r="43" spans="2:28" ht="21.95" customHeight="1" x14ac:dyDescent="0.15">
      <c r="B43" s="21" t="s">
        <v>501</v>
      </c>
      <c r="C43" s="21" t="s">
        <v>354</v>
      </c>
      <c r="D43" s="78" t="s">
        <v>355</v>
      </c>
      <c r="E43" s="78" t="s">
        <v>356</v>
      </c>
      <c r="F43" s="49" t="s">
        <v>172</v>
      </c>
      <c r="G43" s="49">
        <f>내역서!G59</f>
        <v>26</v>
      </c>
      <c r="H43" s="49">
        <f t="shared" si="4"/>
        <v>0</v>
      </c>
      <c r="I43" s="49">
        <f>내역서!J59</f>
        <v>26</v>
      </c>
      <c r="J43" s="49"/>
      <c r="K43" s="78" t="s">
        <v>479</v>
      </c>
      <c r="L43" s="49" t="s">
        <v>460</v>
      </c>
      <c r="M43" s="49">
        <v>1.32E-2</v>
      </c>
      <c r="N43" s="49">
        <v>100</v>
      </c>
      <c r="O43" s="49">
        <f t="shared" si="5"/>
        <v>0.34320000000000001</v>
      </c>
      <c r="P43" s="64"/>
      <c r="Q43" s="64"/>
      <c r="R43" s="64"/>
      <c r="S43" s="18" t="s">
        <v>502</v>
      </c>
      <c r="T43" s="18"/>
      <c r="AA43" s="2">
        <f t="shared" si="6"/>
        <v>0.34320000000000001</v>
      </c>
    </row>
    <row r="44" spans="2:28" ht="21.95" customHeight="1" x14ac:dyDescent="0.15">
      <c r="B44" s="21" t="s">
        <v>501</v>
      </c>
      <c r="C44" s="21" t="s">
        <v>357</v>
      </c>
      <c r="D44" s="78" t="s">
        <v>358</v>
      </c>
      <c r="E44" s="78" t="s">
        <v>1057</v>
      </c>
      <c r="F44" s="49" t="s">
        <v>345</v>
      </c>
      <c r="G44" s="49">
        <f>내역서!G60</f>
        <v>1</v>
      </c>
      <c r="H44" s="49">
        <f t="shared" si="4"/>
        <v>0</v>
      </c>
      <c r="I44" s="49">
        <f>내역서!J60</f>
        <v>1</v>
      </c>
      <c r="J44" s="49"/>
      <c r="K44" s="78" t="s">
        <v>479</v>
      </c>
      <c r="L44" s="49" t="s">
        <v>460</v>
      </c>
      <c r="M44" s="49">
        <v>1.23</v>
      </c>
      <c r="N44" s="49">
        <v>100</v>
      </c>
      <c r="O44" s="49">
        <f t="shared" si="5"/>
        <v>1.23</v>
      </c>
      <c r="P44" s="64"/>
      <c r="Q44" s="64"/>
      <c r="R44" s="64"/>
      <c r="S44" s="18" t="s">
        <v>507</v>
      </c>
      <c r="T44" s="18"/>
      <c r="AA44" s="2">
        <f t="shared" si="6"/>
        <v>1.23</v>
      </c>
    </row>
    <row r="45" spans="2:28" ht="21.95" customHeight="1" x14ac:dyDescent="0.15">
      <c r="B45" s="21" t="s">
        <v>501</v>
      </c>
      <c r="C45" s="21" t="s">
        <v>360</v>
      </c>
      <c r="D45" s="78" t="s">
        <v>361</v>
      </c>
      <c r="E45" s="78" t="s">
        <v>362</v>
      </c>
      <c r="F45" s="49" t="s">
        <v>345</v>
      </c>
      <c r="G45" s="49">
        <f>내역서!G61</f>
        <v>1</v>
      </c>
      <c r="H45" s="49">
        <f t="shared" si="4"/>
        <v>0</v>
      </c>
      <c r="I45" s="49">
        <f>내역서!J61</f>
        <v>1</v>
      </c>
      <c r="J45" s="49"/>
      <c r="K45" s="78" t="s">
        <v>479</v>
      </c>
      <c r="L45" s="49" t="s">
        <v>460</v>
      </c>
      <c r="M45" s="49">
        <v>0.95</v>
      </c>
      <c r="N45" s="49">
        <v>100</v>
      </c>
      <c r="O45" s="49">
        <f t="shared" si="5"/>
        <v>0.95</v>
      </c>
      <c r="P45" s="64"/>
      <c r="Q45" s="64"/>
      <c r="R45" s="64"/>
      <c r="S45" s="18" t="s">
        <v>507</v>
      </c>
      <c r="T45" s="18"/>
      <c r="AA45" s="2">
        <f t="shared" si="6"/>
        <v>0.95</v>
      </c>
    </row>
    <row r="46" spans="2:28" ht="21.95" customHeight="1" x14ac:dyDescent="0.15">
      <c r="B46" s="21" t="s">
        <v>501</v>
      </c>
      <c r="C46" s="21" t="s">
        <v>363</v>
      </c>
      <c r="D46" s="78" t="s">
        <v>364</v>
      </c>
      <c r="E46" s="78" t="s">
        <v>365</v>
      </c>
      <c r="F46" s="49" t="s">
        <v>345</v>
      </c>
      <c r="G46" s="49">
        <f>내역서!G62</f>
        <v>1</v>
      </c>
      <c r="H46" s="49">
        <f t="shared" si="4"/>
        <v>0</v>
      </c>
      <c r="I46" s="49">
        <f>내역서!J62</f>
        <v>1</v>
      </c>
      <c r="J46" s="49"/>
      <c r="K46" s="78" t="s">
        <v>479</v>
      </c>
      <c r="L46" s="49" t="s">
        <v>460</v>
      </c>
      <c r="M46" s="49">
        <v>1.56</v>
      </c>
      <c r="N46" s="49">
        <v>100</v>
      </c>
      <c r="O46" s="49">
        <f t="shared" si="5"/>
        <v>1.56</v>
      </c>
      <c r="P46" s="64"/>
      <c r="Q46" s="64"/>
      <c r="R46" s="64"/>
      <c r="S46" s="18" t="s">
        <v>507</v>
      </c>
      <c r="T46" s="18"/>
      <c r="AA46" s="2">
        <f t="shared" si="6"/>
        <v>1.56</v>
      </c>
    </row>
    <row r="47" spans="2:28" ht="21.95" customHeight="1" x14ac:dyDescent="0.15">
      <c r="B47" s="21" t="s">
        <v>501</v>
      </c>
      <c r="C47" s="21" t="s">
        <v>366</v>
      </c>
      <c r="D47" s="78" t="s">
        <v>367</v>
      </c>
      <c r="E47" s="78" t="s">
        <v>359</v>
      </c>
      <c r="F47" s="49" t="s">
        <v>345</v>
      </c>
      <c r="G47" s="49">
        <f>내역서!G63</f>
        <v>1</v>
      </c>
      <c r="H47" s="49">
        <f t="shared" si="4"/>
        <v>0</v>
      </c>
      <c r="I47" s="49">
        <f>내역서!J63</f>
        <v>1</v>
      </c>
      <c r="J47" s="49"/>
      <c r="K47" s="78" t="s">
        <v>479</v>
      </c>
      <c r="L47" s="49" t="s">
        <v>460</v>
      </c>
      <c r="M47" s="49">
        <v>1.23</v>
      </c>
      <c r="N47" s="49">
        <v>100</v>
      </c>
      <c r="O47" s="49">
        <f t="shared" si="5"/>
        <v>1.23</v>
      </c>
      <c r="P47" s="64"/>
      <c r="Q47" s="64"/>
      <c r="R47" s="64"/>
      <c r="S47" s="18" t="s">
        <v>507</v>
      </c>
      <c r="T47" s="18"/>
      <c r="AA47" s="2">
        <f t="shared" si="6"/>
        <v>1.23</v>
      </c>
    </row>
    <row r="48" spans="2:28" ht="21.95" customHeight="1" x14ac:dyDescent="0.15">
      <c r="B48" s="21" t="s">
        <v>501</v>
      </c>
      <c r="C48" s="21" t="s">
        <v>368</v>
      </c>
      <c r="D48" s="78" t="s">
        <v>369</v>
      </c>
      <c r="E48" s="78" t="s">
        <v>370</v>
      </c>
      <c r="F48" s="49" t="s">
        <v>345</v>
      </c>
      <c r="G48" s="49">
        <f>내역서!G64</f>
        <v>1</v>
      </c>
      <c r="H48" s="49">
        <f t="shared" si="4"/>
        <v>0</v>
      </c>
      <c r="I48" s="49">
        <f>내역서!J64</f>
        <v>1</v>
      </c>
      <c r="J48" s="49"/>
      <c r="K48" s="78" t="s">
        <v>479</v>
      </c>
      <c r="L48" s="49" t="s">
        <v>460</v>
      </c>
      <c r="M48" s="49">
        <v>1.23</v>
      </c>
      <c r="N48" s="49">
        <v>100</v>
      </c>
      <c r="O48" s="49">
        <f t="shared" si="5"/>
        <v>1.23</v>
      </c>
      <c r="P48" s="64"/>
      <c r="Q48" s="64"/>
      <c r="R48" s="64"/>
      <c r="S48" s="18" t="s">
        <v>507</v>
      </c>
      <c r="T48" s="18"/>
      <c r="AA48" s="2">
        <f t="shared" si="6"/>
        <v>1.23</v>
      </c>
    </row>
    <row r="49" spans="2:27" ht="21.95" customHeight="1" x14ac:dyDescent="0.15">
      <c r="B49" s="21" t="s">
        <v>501</v>
      </c>
      <c r="C49" s="21" t="s">
        <v>371</v>
      </c>
      <c r="D49" s="78" t="s">
        <v>372</v>
      </c>
      <c r="E49" s="78" t="s">
        <v>370</v>
      </c>
      <c r="F49" s="49" t="s">
        <v>345</v>
      </c>
      <c r="G49" s="49">
        <f>내역서!G65</f>
        <v>1</v>
      </c>
      <c r="H49" s="49">
        <f t="shared" si="4"/>
        <v>0</v>
      </c>
      <c r="I49" s="49">
        <f>내역서!J65</f>
        <v>1</v>
      </c>
      <c r="J49" s="49"/>
      <c r="K49" s="78" t="s">
        <v>479</v>
      </c>
      <c r="L49" s="49" t="s">
        <v>460</v>
      </c>
      <c r="M49" s="49">
        <v>1.23</v>
      </c>
      <c r="N49" s="49">
        <v>100</v>
      </c>
      <c r="O49" s="49">
        <f t="shared" si="5"/>
        <v>1.23</v>
      </c>
      <c r="P49" s="64"/>
      <c r="Q49" s="64"/>
      <c r="R49" s="64"/>
      <c r="S49" s="18" t="s">
        <v>507</v>
      </c>
      <c r="T49" s="18"/>
      <c r="AA49" s="2">
        <f t="shared" si="6"/>
        <v>1.23</v>
      </c>
    </row>
    <row r="50" spans="2:27" ht="21.95" customHeight="1" x14ac:dyDescent="0.15">
      <c r="B50" s="21" t="s">
        <v>501</v>
      </c>
      <c r="C50" s="21" t="s">
        <v>373</v>
      </c>
      <c r="D50" s="78" t="s">
        <v>374</v>
      </c>
      <c r="E50" s="78" t="s">
        <v>375</v>
      </c>
      <c r="F50" s="49" t="s">
        <v>345</v>
      </c>
      <c r="G50" s="49">
        <f>내역서!G66</f>
        <v>1</v>
      </c>
      <c r="H50" s="49">
        <f t="shared" si="4"/>
        <v>0</v>
      </c>
      <c r="I50" s="49">
        <f>내역서!J66</f>
        <v>1</v>
      </c>
      <c r="J50" s="49"/>
      <c r="K50" s="78" t="s">
        <v>479</v>
      </c>
      <c r="L50" s="49" t="s">
        <v>460</v>
      </c>
      <c r="M50" s="49">
        <v>1.23</v>
      </c>
      <c r="N50" s="49">
        <v>100</v>
      </c>
      <c r="O50" s="49">
        <f t="shared" si="5"/>
        <v>1.23</v>
      </c>
      <c r="P50" s="64"/>
      <c r="Q50" s="64"/>
      <c r="R50" s="64"/>
      <c r="S50" s="18" t="s">
        <v>507</v>
      </c>
      <c r="T50" s="18"/>
      <c r="AA50" s="2">
        <f t="shared" si="6"/>
        <v>1.23</v>
      </c>
    </row>
    <row r="51" spans="2:27" ht="21.95" customHeight="1" x14ac:dyDescent="0.15">
      <c r="B51" s="21" t="s">
        <v>501</v>
      </c>
      <c r="C51" s="21" t="s">
        <v>376</v>
      </c>
      <c r="D51" s="78" t="s">
        <v>377</v>
      </c>
      <c r="E51" s="78" t="s">
        <v>378</v>
      </c>
      <c r="F51" s="49" t="s">
        <v>345</v>
      </c>
      <c r="G51" s="49">
        <f>내역서!G67</f>
        <v>4</v>
      </c>
      <c r="H51" s="49">
        <f t="shared" si="4"/>
        <v>0</v>
      </c>
      <c r="I51" s="49">
        <f>내역서!J67</f>
        <v>4</v>
      </c>
      <c r="J51" s="49"/>
      <c r="K51" s="78" t="s">
        <v>479</v>
      </c>
      <c r="L51" s="49" t="s">
        <v>460</v>
      </c>
      <c r="M51" s="49">
        <v>0.06</v>
      </c>
      <c r="N51" s="49">
        <v>100</v>
      </c>
      <c r="O51" s="49">
        <f t="shared" si="5"/>
        <v>0.24</v>
      </c>
      <c r="P51" s="64"/>
      <c r="Q51" s="64"/>
      <c r="R51" s="64"/>
      <c r="S51" s="18" t="s">
        <v>522</v>
      </c>
      <c r="T51" s="18"/>
      <c r="AA51" s="2">
        <f t="shared" si="6"/>
        <v>0.24</v>
      </c>
    </row>
    <row r="52" spans="2:27" ht="21.95" customHeight="1" x14ac:dyDescent="0.15">
      <c r="B52" s="21" t="s">
        <v>501</v>
      </c>
      <c r="C52" s="21" t="s">
        <v>380</v>
      </c>
      <c r="D52" s="78" t="s">
        <v>381</v>
      </c>
      <c r="E52" s="78" t="s">
        <v>343</v>
      </c>
      <c r="F52" s="49" t="s">
        <v>345</v>
      </c>
      <c r="G52" s="49">
        <f>내역서!G68</f>
        <v>1</v>
      </c>
      <c r="H52" s="49">
        <f t="shared" si="4"/>
        <v>0</v>
      </c>
      <c r="I52" s="49">
        <f>내역서!J68</f>
        <v>1</v>
      </c>
      <c r="J52" s="49"/>
      <c r="K52" s="78" t="s">
        <v>479</v>
      </c>
      <c r="L52" s="49" t="s">
        <v>460</v>
      </c>
      <c r="M52" s="49">
        <v>0.4</v>
      </c>
      <c r="N52" s="49">
        <v>100</v>
      </c>
      <c r="O52" s="49">
        <f t="shared" si="5"/>
        <v>0.4</v>
      </c>
      <c r="P52" s="64"/>
      <c r="Q52" s="64"/>
      <c r="R52" s="64"/>
      <c r="S52" s="18" t="s">
        <v>507</v>
      </c>
      <c r="T52" s="18"/>
      <c r="AA52" s="2">
        <f t="shared" si="6"/>
        <v>0.4</v>
      </c>
    </row>
    <row r="53" spans="2:27" ht="21.95" customHeight="1" x14ac:dyDescent="0.15">
      <c r="B53" s="21" t="s">
        <v>501</v>
      </c>
      <c r="C53" s="21" t="s">
        <v>382</v>
      </c>
      <c r="D53" s="78" t="s">
        <v>381</v>
      </c>
      <c r="E53" s="78" t="s">
        <v>1058</v>
      </c>
      <c r="F53" s="49" t="s">
        <v>345</v>
      </c>
      <c r="G53" s="49">
        <f>내역서!G69</f>
        <v>1</v>
      </c>
      <c r="H53" s="49">
        <f t="shared" si="4"/>
        <v>0</v>
      </c>
      <c r="I53" s="49">
        <f>내역서!J69</f>
        <v>1</v>
      </c>
      <c r="J53" s="49"/>
      <c r="K53" s="78" t="s">
        <v>479</v>
      </c>
      <c r="L53" s="49" t="s">
        <v>460</v>
      </c>
      <c r="M53" s="49">
        <v>0.315</v>
      </c>
      <c r="N53" s="49">
        <v>100</v>
      </c>
      <c r="O53" s="49">
        <f t="shared" si="5"/>
        <v>0.315</v>
      </c>
      <c r="P53" s="64"/>
      <c r="Q53" s="64"/>
      <c r="R53" s="64"/>
      <c r="S53" s="18" t="s">
        <v>507</v>
      </c>
      <c r="T53" s="18"/>
      <c r="AA53" s="2">
        <f t="shared" si="6"/>
        <v>0.315</v>
      </c>
    </row>
    <row r="54" spans="2:27" ht="21.95" customHeight="1" x14ac:dyDescent="0.15">
      <c r="B54" s="21" t="s">
        <v>501</v>
      </c>
      <c r="C54" s="21" t="s">
        <v>384</v>
      </c>
      <c r="D54" s="78" t="s">
        <v>381</v>
      </c>
      <c r="E54" s="78" t="s">
        <v>385</v>
      </c>
      <c r="F54" s="49" t="s">
        <v>345</v>
      </c>
      <c r="G54" s="49">
        <f>내역서!G70</f>
        <v>1</v>
      </c>
      <c r="H54" s="49">
        <f t="shared" si="4"/>
        <v>0</v>
      </c>
      <c r="I54" s="49">
        <f>내역서!J70</f>
        <v>1</v>
      </c>
      <c r="J54" s="49"/>
      <c r="K54" s="78" t="s">
        <v>479</v>
      </c>
      <c r="L54" s="49" t="s">
        <v>460</v>
      </c>
      <c r="M54" s="49">
        <v>0.46800000000000003</v>
      </c>
      <c r="N54" s="49">
        <v>100</v>
      </c>
      <c r="O54" s="49">
        <f t="shared" si="5"/>
        <v>0.46800000000000003</v>
      </c>
      <c r="P54" s="64"/>
      <c r="Q54" s="64"/>
      <c r="R54" s="64"/>
      <c r="S54" s="18" t="s">
        <v>507</v>
      </c>
      <c r="T54" s="18"/>
      <c r="AA54" s="2">
        <f t="shared" si="6"/>
        <v>0.46800000000000003</v>
      </c>
    </row>
    <row r="55" spans="2:27" ht="21.95" customHeight="1" x14ac:dyDescent="0.15">
      <c r="B55" s="21" t="s">
        <v>501</v>
      </c>
      <c r="C55" s="21" t="s">
        <v>386</v>
      </c>
      <c r="D55" s="78" t="s">
        <v>381</v>
      </c>
      <c r="E55" s="78" t="s">
        <v>387</v>
      </c>
      <c r="F55" s="49" t="s">
        <v>345</v>
      </c>
      <c r="G55" s="49">
        <f>내역서!G71</f>
        <v>1</v>
      </c>
      <c r="H55" s="49">
        <f t="shared" si="4"/>
        <v>0</v>
      </c>
      <c r="I55" s="49">
        <f>내역서!J71</f>
        <v>1</v>
      </c>
      <c r="J55" s="49"/>
      <c r="K55" s="78" t="s">
        <v>479</v>
      </c>
      <c r="L55" s="49" t="s">
        <v>460</v>
      </c>
      <c r="M55" s="49">
        <v>0.315</v>
      </c>
      <c r="N55" s="49">
        <v>100</v>
      </c>
      <c r="O55" s="49">
        <f t="shared" si="5"/>
        <v>0.315</v>
      </c>
      <c r="P55" s="64"/>
      <c r="Q55" s="64"/>
      <c r="R55" s="64"/>
      <c r="S55" s="18" t="s">
        <v>507</v>
      </c>
      <c r="T55" s="18"/>
      <c r="AA55" s="2">
        <f t="shared" si="6"/>
        <v>0.315</v>
      </c>
    </row>
    <row r="56" spans="2:27" ht="21.95" customHeight="1" x14ac:dyDescent="0.15">
      <c r="B56" s="21" t="s">
        <v>501</v>
      </c>
      <c r="C56" s="21" t="s">
        <v>388</v>
      </c>
      <c r="D56" s="78" t="s">
        <v>381</v>
      </c>
      <c r="E56" s="78" t="s">
        <v>389</v>
      </c>
      <c r="F56" s="49" t="s">
        <v>345</v>
      </c>
      <c r="G56" s="49">
        <f>내역서!G72</f>
        <v>1</v>
      </c>
      <c r="H56" s="49">
        <f t="shared" si="4"/>
        <v>0</v>
      </c>
      <c r="I56" s="49">
        <f>내역서!J72</f>
        <v>1</v>
      </c>
      <c r="J56" s="49"/>
      <c r="K56" s="78" t="s">
        <v>479</v>
      </c>
      <c r="L56" s="49" t="s">
        <v>460</v>
      </c>
      <c r="M56" s="49">
        <v>0.315</v>
      </c>
      <c r="N56" s="49">
        <v>100</v>
      </c>
      <c r="O56" s="49">
        <f t="shared" si="5"/>
        <v>0.315</v>
      </c>
      <c r="P56" s="64"/>
      <c r="Q56" s="64"/>
      <c r="R56" s="64"/>
      <c r="S56" s="18" t="s">
        <v>507</v>
      </c>
      <c r="T56" s="18"/>
      <c r="AA56" s="2">
        <f t="shared" si="6"/>
        <v>0.315</v>
      </c>
    </row>
    <row r="57" spans="2:27" ht="21.95" customHeight="1" x14ac:dyDescent="0.15">
      <c r="B57" s="21" t="s">
        <v>501</v>
      </c>
      <c r="C57" s="21" t="s">
        <v>390</v>
      </c>
      <c r="D57" s="78" t="s">
        <v>381</v>
      </c>
      <c r="E57" s="78" t="s">
        <v>391</v>
      </c>
      <c r="F57" s="49" t="s">
        <v>345</v>
      </c>
      <c r="G57" s="49">
        <f>내역서!G73</f>
        <v>1</v>
      </c>
      <c r="H57" s="49">
        <f t="shared" si="4"/>
        <v>0</v>
      </c>
      <c r="I57" s="49">
        <f>내역서!J73</f>
        <v>1</v>
      </c>
      <c r="J57" s="49"/>
      <c r="K57" s="78" t="s">
        <v>479</v>
      </c>
      <c r="L57" s="49" t="s">
        <v>460</v>
      </c>
      <c r="M57" s="49">
        <v>0.315</v>
      </c>
      <c r="N57" s="49">
        <v>100</v>
      </c>
      <c r="O57" s="49">
        <f t="shared" si="5"/>
        <v>0.315</v>
      </c>
      <c r="P57" s="64"/>
      <c r="Q57" s="64"/>
      <c r="R57" s="64"/>
      <c r="S57" s="18" t="s">
        <v>507</v>
      </c>
      <c r="T57" s="18"/>
      <c r="AA57" s="2">
        <f t="shared" si="6"/>
        <v>0.315</v>
      </c>
    </row>
    <row r="58" spans="2:27" ht="21.95" customHeight="1" x14ac:dyDescent="0.15">
      <c r="B58" s="21" t="s">
        <v>501</v>
      </c>
      <c r="C58" s="21" t="s">
        <v>392</v>
      </c>
      <c r="D58" s="78" t="s">
        <v>381</v>
      </c>
      <c r="E58" s="78" t="s">
        <v>393</v>
      </c>
      <c r="F58" s="49" t="s">
        <v>345</v>
      </c>
      <c r="G58" s="49">
        <f>내역서!G74</f>
        <v>1</v>
      </c>
      <c r="H58" s="49">
        <f t="shared" si="4"/>
        <v>0</v>
      </c>
      <c r="I58" s="49">
        <f>내역서!J74</f>
        <v>1</v>
      </c>
      <c r="J58" s="49"/>
      <c r="K58" s="78" t="s">
        <v>479</v>
      </c>
      <c r="L58" s="49" t="s">
        <v>460</v>
      </c>
      <c r="M58" s="49">
        <v>0.315</v>
      </c>
      <c r="N58" s="49">
        <v>100</v>
      </c>
      <c r="O58" s="49">
        <f t="shared" si="5"/>
        <v>0.315</v>
      </c>
      <c r="P58" s="64"/>
      <c r="Q58" s="64"/>
      <c r="R58" s="64"/>
      <c r="S58" s="18" t="s">
        <v>507</v>
      </c>
      <c r="T58" s="18"/>
      <c r="AA58" s="2">
        <f t="shared" si="6"/>
        <v>0.315</v>
      </c>
    </row>
    <row r="59" spans="2:27" ht="21.95" customHeight="1" x14ac:dyDescent="0.15">
      <c r="B59" s="21" t="s">
        <v>501</v>
      </c>
      <c r="C59" s="21" t="s">
        <v>394</v>
      </c>
      <c r="D59" s="78" t="s">
        <v>381</v>
      </c>
      <c r="E59" s="78" t="s">
        <v>395</v>
      </c>
      <c r="F59" s="49" t="s">
        <v>345</v>
      </c>
      <c r="G59" s="49">
        <f>내역서!G75</f>
        <v>1</v>
      </c>
      <c r="H59" s="49">
        <f t="shared" si="4"/>
        <v>0</v>
      </c>
      <c r="I59" s="49">
        <f>내역서!J75</f>
        <v>1</v>
      </c>
      <c r="J59" s="49"/>
      <c r="K59" s="78" t="s">
        <v>479</v>
      </c>
      <c r="L59" s="49" t="s">
        <v>460</v>
      </c>
      <c r="M59" s="49">
        <v>0.36899999999999999</v>
      </c>
      <c r="N59" s="49">
        <v>100</v>
      </c>
      <c r="O59" s="49">
        <f t="shared" si="5"/>
        <v>0.36899999999999999</v>
      </c>
      <c r="P59" s="64"/>
      <c r="Q59" s="64"/>
      <c r="R59" s="64"/>
      <c r="S59" s="18" t="s">
        <v>507</v>
      </c>
      <c r="T59" s="18"/>
      <c r="AA59" s="2">
        <f t="shared" si="6"/>
        <v>0.36899999999999999</v>
      </c>
    </row>
    <row r="60" spans="2:27" ht="21.95" customHeight="1" x14ac:dyDescent="0.15">
      <c r="B60" s="21" t="s">
        <v>501</v>
      </c>
      <c r="C60" s="21" t="s">
        <v>396</v>
      </c>
      <c r="D60" s="78" t="s">
        <v>381</v>
      </c>
      <c r="E60" s="78" t="s">
        <v>397</v>
      </c>
      <c r="F60" s="49" t="s">
        <v>345</v>
      </c>
      <c r="G60" s="49">
        <f>내역서!G76</f>
        <v>1</v>
      </c>
      <c r="H60" s="49">
        <f t="shared" si="4"/>
        <v>0</v>
      </c>
      <c r="I60" s="49">
        <f>내역서!J76</f>
        <v>1</v>
      </c>
      <c r="J60" s="49"/>
      <c r="K60" s="78" t="s">
        <v>479</v>
      </c>
      <c r="L60" s="49" t="s">
        <v>460</v>
      </c>
      <c r="M60" s="49">
        <v>0.46800000000000003</v>
      </c>
      <c r="N60" s="49">
        <v>100</v>
      </c>
      <c r="O60" s="49">
        <f t="shared" si="5"/>
        <v>0.46800000000000003</v>
      </c>
      <c r="P60" s="64"/>
      <c r="Q60" s="64"/>
      <c r="R60" s="64"/>
      <c r="S60" s="18" t="s">
        <v>507</v>
      </c>
      <c r="T60" s="18"/>
      <c r="AA60" s="2">
        <f t="shared" si="6"/>
        <v>0.46800000000000003</v>
      </c>
    </row>
    <row r="61" spans="2:27" ht="21.95" customHeight="1" x14ac:dyDescent="0.15">
      <c r="B61" s="21" t="s">
        <v>501</v>
      </c>
      <c r="C61" s="21" t="s">
        <v>398</v>
      </c>
      <c r="D61" s="78" t="s">
        <v>381</v>
      </c>
      <c r="E61" s="78" t="s">
        <v>399</v>
      </c>
      <c r="F61" s="49" t="s">
        <v>345</v>
      </c>
      <c r="G61" s="49">
        <f>내역서!G77</f>
        <v>1</v>
      </c>
      <c r="H61" s="49">
        <f t="shared" si="4"/>
        <v>0</v>
      </c>
      <c r="I61" s="49">
        <f>내역서!J77</f>
        <v>1</v>
      </c>
      <c r="J61" s="49"/>
      <c r="K61" s="78" t="s">
        <v>479</v>
      </c>
      <c r="L61" s="49" t="s">
        <v>460</v>
      </c>
      <c r="M61" s="49">
        <v>0.28499999999999998</v>
      </c>
      <c r="N61" s="49">
        <v>100</v>
      </c>
      <c r="O61" s="49">
        <f t="shared" si="5"/>
        <v>0.28499999999999998</v>
      </c>
      <c r="P61" s="64"/>
      <c r="Q61" s="64"/>
      <c r="R61" s="64"/>
      <c r="S61" s="18" t="s">
        <v>507</v>
      </c>
      <c r="T61" s="18"/>
      <c r="AA61" s="2">
        <f t="shared" si="6"/>
        <v>0.28499999999999998</v>
      </c>
    </row>
    <row r="62" spans="2:27" ht="21.95" customHeight="1" x14ac:dyDescent="0.15">
      <c r="B62" s="21" t="s">
        <v>501</v>
      </c>
      <c r="C62" s="21" t="s">
        <v>400</v>
      </c>
      <c r="D62" s="78" t="s">
        <v>395</v>
      </c>
      <c r="E62" s="78" t="s">
        <v>401</v>
      </c>
      <c r="F62" s="49" t="s">
        <v>345</v>
      </c>
      <c r="G62" s="49">
        <f>내역서!G78</f>
        <v>1</v>
      </c>
      <c r="H62" s="49">
        <f t="shared" si="4"/>
        <v>0</v>
      </c>
      <c r="I62" s="49">
        <f>내역서!J78</f>
        <v>1</v>
      </c>
      <c r="J62" s="49"/>
      <c r="K62" s="78" t="s">
        <v>479</v>
      </c>
      <c r="L62" s="49" t="s">
        <v>460</v>
      </c>
      <c r="M62" s="49">
        <v>1.23</v>
      </c>
      <c r="N62" s="49">
        <v>100</v>
      </c>
      <c r="O62" s="49">
        <f t="shared" si="5"/>
        <v>1.23</v>
      </c>
      <c r="P62" s="64"/>
      <c r="Q62" s="64"/>
      <c r="R62" s="64"/>
      <c r="S62" s="18" t="s">
        <v>507</v>
      </c>
      <c r="T62" s="18"/>
      <c r="AA62" s="2">
        <f t="shared" si="6"/>
        <v>1.23</v>
      </c>
    </row>
    <row r="63" spans="2:27" ht="21.95" customHeight="1" x14ac:dyDescent="0.15">
      <c r="B63" s="21" t="s">
        <v>501</v>
      </c>
      <c r="C63" s="21" t="s">
        <v>402</v>
      </c>
      <c r="D63" s="78" t="s">
        <v>397</v>
      </c>
      <c r="E63" s="78" t="s">
        <v>403</v>
      </c>
      <c r="F63" s="49" t="s">
        <v>345</v>
      </c>
      <c r="G63" s="49">
        <f>내역서!G79</f>
        <v>1</v>
      </c>
      <c r="H63" s="49">
        <f t="shared" si="4"/>
        <v>0</v>
      </c>
      <c r="I63" s="49">
        <f>내역서!J79</f>
        <v>1</v>
      </c>
      <c r="J63" s="49"/>
      <c r="K63" s="78" t="s">
        <v>479</v>
      </c>
      <c r="L63" s="49" t="s">
        <v>460</v>
      </c>
      <c r="M63" s="49">
        <v>1.56</v>
      </c>
      <c r="N63" s="49">
        <v>100</v>
      </c>
      <c r="O63" s="49">
        <f t="shared" si="5"/>
        <v>1.56</v>
      </c>
      <c r="P63" s="64"/>
      <c r="Q63" s="64"/>
      <c r="R63" s="64"/>
      <c r="S63" s="18" t="s">
        <v>507</v>
      </c>
      <c r="T63" s="18"/>
      <c r="AA63" s="2">
        <f t="shared" si="6"/>
        <v>1.56</v>
      </c>
    </row>
    <row r="64" spans="2:27" ht="21.95" customHeight="1" x14ac:dyDescent="0.15">
      <c r="B64" s="21" t="s">
        <v>501</v>
      </c>
      <c r="C64" s="21" t="s">
        <v>404</v>
      </c>
      <c r="D64" s="78" t="s">
        <v>405</v>
      </c>
      <c r="E64" s="78" t="s">
        <v>406</v>
      </c>
      <c r="F64" s="49" t="s">
        <v>238</v>
      </c>
      <c r="G64" s="49">
        <f>내역서!G81</f>
        <v>2</v>
      </c>
      <c r="H64" s="49">
        <f t="shared" si="4"/>
        <v>0</v>
      </c>
      <c r="I64" s="49">
        <f>내역서!J81</f>
        <v>2</v>
      </c>
      <c r="J64" s="49"/>
      <c r="K64" s="78" t="s">
        <v>479</v>
      </c>
      <c r="L64" s="49" t="s">
        <v>460</v>
      </c>
      <c r="M64" s="49">
        <v>2.5499999999999998E-2</v>
      </c>
      <c r="N64" s="49">
        <v>100</v>
      </c>
      <c r="O64" s="49">
        <f t="shared" si="5"/>
        <v>5.0999999999999997E-2</v>
      </c>
      <c r="P64" s="64"/>
      <c r="Q64" s="64"/>
      <c r="R64" s="64"/>
      <c r="S64" s="18" t="s">
        <v>523</v>
      </c>
      <c r="T64" s="18"/>
      <c r="AA64" s="2">
        <f t="shared" si="6"/>
        <v>5.0999999999999997E-2</v>
      </c>
    </row>
    <row r="65" spans="2:28" ht="21.95" customHeight="1" x14ac:dyDescent="0.15">
      <c r="B65" s="21" t="s">
        <v>501</v>
      </c>
      <c r="C65" s="21" t="s">
        <v>407</v>
      </c>
      <c r="D65" s="78" t="s">
        <v>405</v>
      </c>
      <c r="E65" s="78" t="s">
        <v>408</v>
      </c>
      <c r="F65" s="49" t="s">
        <v>238</v>
      </c>
      <c r="G65" s="49">
        <f>내역서!G82</f>
        <v>1</v>
      </c>
      <c r="H65" s="49">
        <f t="shared" si="4"/>
        <v>0</v>
      </c>
      <c r="I65" s="49">
        <f>내역서!J82</f>
        <v>1</v>
      </c>
      <c r="J65" s="49"/>
      <c r="K65" s="78" t="s">
        <v>479</v>
      </c>
      <c r="L65" s="49" t="s">
        <v>460</v>
      </c>
      <c r="M65" s="49">
        <v>2.5499999999999998E-2</v>
      </c>
      <c r="N65" s="49">
        <v>100</v>
      </c>
      <c r="O65" s="49">
        <f t="shared" si="5"/>
        <v>2.5499999999999998E-2</v>
      </c>
      <c r="P65" s="64"/>
      <c r="Q65" s="64"/>
      <c r="R65" s="64"/>
      <c r="S65" s="18" t="s">
        <v>523</v>
      </c>
      <c r="T65" s="18"/>
      <c r="AA65" s="2">
        <f t="shared" si="6"/>
        <v>2.5499999999999998E-2</v>
      </c>
    </row>
    <row r="66" spans="2:28" ht="21.95" customHeight="1" x14ac:dyDescent="0.15">
      <c r="B66" s="21" t="s">
        <v>501</v>
      </c>
      <c r="C66" s="21" t="s">
        <v>412</v>
      </c>
      <c r="D66" s="78" t="s">
        <v>413</v>
      </c>
      <c r="E66" s="78" t="s">
        <v>414</v>
      </c>
      <c r="F66" s="49" t="s">
        <v>172</v>
      </c>
      <c r="G66" s="49">
        <f>내역서!G84</f>
        <v>145</v>
      </c>
      <c r="H66" s="49">
        <f t="shared" si="4"/>
        <v>0</v>
      </c>
      <c r="I66" s="49">
        <f>내역서!J84</f>
        <v>145</v>
      </c>
      <c r="J66" s="49"/>
      <c r="K66" s="78" t="s">
        <v>479</v>
      </c>
      <c r="L66" s="49" t="s">
        <v>460</v>
      </c>
      <c r="M66" s="49">
        <v>3.0000000000000001E-3</v>
      </c>
      <c r="N66" s="49">
        <v>100</v>
      </c>
      <c r="O66" s="49">
        <f t="shared" si="5"/>
        <v>0.435</v>
      </c>
      <c r="P66" s="64"/>
      <c r="Q66" s="64"/>
      <c r="R66" s="64"/>
      <c r="S66" s="18" t="s">
        <v>511</v>
      </c>
      <c r="T66" s="18"/>
      <c r="AA66" s="2">
        <f t="shared" si="6"/>
        <v>0.435</v>
      </c>
    </row>
    <row r="67" spans="2:28" ht="21.95" customHeight="1" x14ac:dyDescent="0.15">
      <c r="B67" s="21" t="s">
        <v>501</v>
      </c>
      <c r="C67" s="21" t="s">
        <v>415</v>
      </c>
      <c r="D67" s="78" t="s">
        <v>413</v>
      </c>
      <c r="E67" s="78" t="s">
        <v>416</v>
      </c>
      <c r="F67" s="49" t="s">
        <v>190</v>
      </c>
      <c r="G67" s="49">
        <f>내역서!G85</f>
        <v>275</v>
      </c>
      <c r="H67" s="49">
        <f t="shared" si="4"/>
        <v>0</v>
      </c>
      <c r="I67" s="49">
        <f>내역서!J85</f>
        <v>275</v>
      </c>
      <c r="J67" s="49"/>
      <c r="K67" s="78" t="s">
        <v>479</v>
      </c>
      <c r="L67" s="49" t="s">
        <v>460</v>
      </c>
      <c r="M67" s="49">
        <v>3.0000000000000001E-3</v>
      </c>
      <c r="N67" s="49">
        <v>100</v>
      </c>
      <c r="O67" s="49">
        <f t="shared" si="5"/>
        <v>0.82500000000000007</v>
      </c>
      <c r="P67" s="64"/>
      <c r="Q67" s="64"/>
      <c r="R67" s="64"/>
      <c r="S67" s="18" t="s">
        <v>511</v>
      </c>
      <c r="T67" s="18"/>
      <c r="AA67" s="2">
        <f t="shared" si="6"/>
        <v>0.82500000000000007</v>
      </c>
    </row>
    <row r="68" spans="2:28" ht="21.95" customHeight="1" x14ac:dyDescent="0.15">
      <c r="B68" s="21" t="s">
        <v>501</v>
      </c>
      <c r="C68" s="21" t="s">
        <v>417</v>
      </c>
      <c r="D68" s="78" t="s">
        <v>418</v>
      </c>
      <c r="E68" s="78" t="s">
        <v>419</v>
      </c>
      <c r="F68" s="49" t="s">
        <v>420</v>
      </c>
      <c r="G68" s="49">
        <f>내역서!G86</f>
        <v>12</v>
      </c>
      <c r="H68" s="49">
        <f t="shared" si="4"/>
        <v>0</v>
      </c>
      <c r="I68" s="49">
        <f>내역서!J86</f>
        <v>12</v>
      </c>
      <c r="J68" s="49"/>
      <c r="K68" s="78" t="s">
        <v>479</v>
      </c>
      <c r="L68" s="49" t="s">
        <v>460</v>
      </c>
      <c r="M68" s="49">
        <v>4.65E-2</v>
      </c>
      <c r="N68" s="49">
        <v>100</v>
      </c>
      <c r="O68" s="49">
        <f t="shared" si="5"/>
        <v>0.55800000000000005</v>
      </c>
      <c r="P68" s="64"/>
      <c r="Q68" s="64"/>
      <c r="R68" s="64"/>
      <c r="S68" s="18" t="s">
        <v>524</v>
      </c>
      <c r="T68" s="18"/>
      <c r="AA68" s="2">
        <f t="shared" si="6"/>
        <v>0.55800000000000005</v>
      </c>
    </row>
    <row r="69" spans="2:28" ht="21.95" customHeight="1" x14ac:dyDescent="0.15">
      <c r="B69" s="21" t="s">
        <v>501</v>
      </c>
      <c r="C69" s="21" t="s">
        <v>421</v>
      </c>
      <c r="D69" s="78" t="s">
        <v>418</v>
      </c>
      <c r="E69" s="78" t="s">
        <v>422</v>
      </c>
      <c r="F69" s="49" t="s">
        <v>420</v>
      </c>
      <c r="G69" s="49">
        <f>내역서!G87</f>
        <v>1</v>
      </c>
      <c r="H69" s="49">
        <f t="shared" ref="H69:H83" si="7">IF(I69&lt;&gt;0,G69-I69,"")</f>
        <v>0</v>
      </c>
      <c r="I69" s="49">
        <f>내역서!J87</f>
        <v>1</v>
      </c>
      <c r="J69" s="49"/>
      <c r="K69" s="78" t="s">
        <v>479</v>
      </c>
      <c r="L69" s="49" t="s">
        <v>460</v>
      </c>
      <c r="M69" s="49">
        <v>9.1800000000000007E-2</v>
      </c>
      <c r="N69" s="49">
        <v>100</v>
      </c>
      <c r="O69" s="49">
        <f t="shared" ref="O69:O87" si="8">IF(I69*M69=0,"",I69*M69*(N69/100))</f>
        <v>9.1800000000000007E-2</v>
      </c>
      <c r="P69" s="64"/>
      <c r="Q69" s="64"/>
      <c r="R69" s="64"/>
      <c r="S69" s="18" t="s">
        <v>524</v>
      </c>
      <c r="T69" s="18"/>
      <c r="AA69" s="2">
        <f t="shared" si="6"/>
        <v>9.1800000000000007E-2</v>
      </c>
    </row>
    <row r="70" spans="2:28" ht="21.95" customHeight="1" x14ac:dyDescent="0.15">
      <c r="B70" s="21" t="s">
        <v>501</v>
      </c>
      <c r="C70" s="21" t="s">
        <v>423</v>
      </c>
      <c r="D70" s="78" t="s">
        <v>424</v>
      </c>
      <c r="E70" s="78" t="s">
        <v>425</v>
      </c>
      <c r="F70" s="49" t="s">
        <v>420</v>
      </c>
      <c r="G70" s="49">
        <f>내역서!G88</f>
        <v>1</v>
      </c>
      <c r="H70" s="49">
        <f t="shared" si="7"/>
        <v>0</v>
      </c>
      <c r="I70" s="49">
        <f>내역서!J88</f>
        <v>1</v>
      </c>
      <c r="J70" s="49"/>
      <c r="K70" s="78" t="s">
        <v>479</v>
      </c>
      <c r="L70" s="49" t="s">
        <v>460</v>
      </c>
      <c r="M70" s="49">
        <v>0.254</v>
      </c>
      <c r="N70" s="49">
        <v>100</v>
      </c>
      <c r="O70" s="49">
        <f t="shared" si="8"/>
        <v>0.254</v>
      </c>
      <c r="P70" s="64"/>
      <c r="Q70" s="64"/>
      <c r="R70" s="64"/>
      <c r="S70" s="18" t="s">
        <v>524</v>
      </c>
      <c r="T70" s="18"/>
      <c r="AA70" s="2">
        <f t="shared" si="6"/>
        <v>0.254</v>
      </c>
    </row>
    <row r="71" spans="2:28" ht="21.95" customHeight="1" x14ac:dyDescent="0.15">
      <c r="B71" s="21" t="s">
        <v>501</v>
      </c>
      <c r="C71" s="21" t="s">
        <v>426</v>
      </c>
      <c r="D71" s="78" t="s">
        <v>427</v>
      </c>
      <c r="E71" s="78" t="s">
        <v>428</v>
      </c>
      <c r="F71" s="49" t="s">
        <v>420</v>
      </c>
      <c r="G71" s="49">
        <f>내역서!G89</f>
        <v>12</v>
      </c>
      <c r="H71" s="49">
        <f t="shared" si="7"/>
        <v>0</v>
      </c>
      <c r="I71" s="49">
        <f>내역서!J89</f>
        <v>12</v>
      </c>
      <c r="J71" s="49"/>
      <c r="K71" s="78" t="s">
        <v>479</v>
      </c>
      <c r="L71" s="49" t="s">
        <v>460</v>
      </c>
      <c r="M71" s="49">
        <v>0.155</v>
      </c>
      <c r="N71" s="49">
        <v>100</v>
      </c>
      <c r="O71" s="49">
        <f t="shared" si="8"/>
        <v>1.8599999999999999</v>
      </c>
      <c r="P71" s="64"/>
      <c r="Q71" s="64"/>
      <c r="R71" s="64"/>
      <c r="S71" s="18" t="s">
        <v>524</v>
      </c>
      <c r="T71" s="18"/>
      <c r="AA71" s="2">
        <f t="shared" si="6"/>
        <v>1.8599999999999999</v>
      </c>
    </row>
    <row r="72" spans="2:28" ht="21.95" customHeight="1" x14ac:dyDescent="0.15">
      <c r="B72" s="21" t="s">
        <v>501</v>
      </c>
      <c r="C72" s="21" t="s">
        <v>429</v>
      </c>
      <c r="D72" s="78" t="s">
        <v>430</v>
      </c>
      <c r="E72" s="78" t="s">
        <v>431</v>
      </c>
      <c r="F72" s="49" t="s">
        <v>238</v>
      </c>
      <c r="G72" s="49">
        <f>내역서!G90</f>
        <v>3</v>
      </c>
      <c r="H72" s="49">
        <f t="shared" si="7"/>
        <v>0</v>
      </c>
      <c r="I72" s="49">
        <f>내역서!J90</f>
        <v>3</v>
      </c>
      <c r="J72" s="49"/>
      <c r="K72" s="78" t="s">
        <v>479</v>
      </c>
      <c r="L72" s="49" t="s">
        <v>460</v>
      </c>
      <c r="M72" s="49">
        <v>0.3</v>
      </c>
      <c r="N72" s="49">
        <v>100</v>
      </c>
      <c r="O72" s="49">
        <f t="shared" si="8"/>
        <v>0.89999999999999991</v>
      </c>
      <c r="P72" s="64"/>
      <c r="Q72" s="64"/>
      <c r="R72" s="64"/>
      <c r="S72" s="18" t="s">
        <v>522</v>
      </c>
      <c r="T72" s="18"/>
      <c r="AA72" s="2">
        <f t="shared" si="6"/>
        <v>0.89999999999999991</v>
      </c>
    </row>
    <row r="73" spans="2:28" ht="21.95" customHeight="1" x14ac:dyDescent="0.15">
      <c r="B73" s="21" t="s">
        <v>501</v>
      </c>
      <c r="C73" s="21" t="s">
        <v>432</v>
      </c>
      <c r="D73" s="78" t="s">
        <v>433</v>
      </c>
      <c r="E73" s="78" t="s">
        <v>434</v>
      </c>
      <c r="F73" s="49" t="s">
        <v>238</v>
      </c>
      <c r="G73" s="49">
        <f>내역서!G91</f>
        <v>47</v>
      </c>
      <c r="H73" s="49">
        <f t="shared" si="7"/>
        <v>0</v>
      </c>
      <c r="I73" s="49">
        <f>내역서!J91</f>
        <v>47</v>
      </c>
      <c r="J73" s="49"/>
      <c r="K73" s="78" t="s">
        <v>479</v>
      </c>
      <c r="L73" s="49" t="s">
        <v>460</v>
      </c>
      <c r="M73" s="49">
        <v>0.04</v>
      </c>
      <c r="N73" s="49">
        <v>100</v>
      </c>
      <c r="O73" s="49">
        <f t="shared" si="8"/>
        <v>1.8800000000000001</v>
      </c>
      <c r="P73" s="64"/>
      <c r="Q73" s="64"/>
      <c r="R73" s="64"/>
      <c r="S73" s="18" t="s">
        <v>523</v>
      </c>
      <c r="T73" s="18"/>
      <c r="AA73" s="2">
        <f t="shared" si="6"/>
        <v>1.8800000000000001</v>
      </c>
    </row>
    <row r="74" spans="2:28" ht="21.95" customHeight="1" x14ac:dyDescent="0.15">
      <c r="B74" s="21" t="s">
        <v>501</v>
      </c>
      <c r="C74" s="21" t="s">
        <v>435</v>
      </c>
      <c r="D74" s="78" t="s">
        <v>433</v>
      </c>
      <c r="E74" s="78" t="s">
        <v>436</v>
      </c>
      <c r="F74" s="49" t="s">
        <v>238</v>
      </c>
      <c r="G74" s="49">
        <f>내역서!G92</f>
        <v>6</v>
      </c>
      <c r="H74" s="49">
        <f t="shared" si="7"/>
        <v>0</v>
      </c>
      <c r="I74" s="49">
        <f>내역서!J92</f>
        <v>6</v>
      </c>
      <c r="J74" s="49"/>
      <c r="K74" s="78" t="s">
        <v>479</v>
      </c>
      <c r="L74" s="49" t="s">
        <v>460</v>
      </c>
      <c r="M74" s="49">
        <v>0.04</v>
      </c>
      <c r="N74" s="49">
        <v>100</v>
      </c>
      <c r="O74" s="49">
        <f t="shared" si="8"/>
        <v>0.24</v>
      </c>
      <c r="P74" s="64"/>
      <c r="Q74" s="64"/>
      <c r="R74" s="64"/>
      <c r="S74" s="18" t="s">
        <v>523</v>
      </c>
      <c r="T74" s="18"/>
      <c r="AA74" s="2">
        <f t="shared" si="6"/>
        <v>0.24</v>
      </c>
    </row>
    <row r="75" spans="2:28" ht="21.95" customHeight="1" x14ac:dyDescent="0.15">
      <c r="B75" s="21" t="s">
        <v>501</v>
      </c>
      <c r="C75" s="21" t="s">
        <v>437</v>
      </c>
      <c r="D75" s="78" t="s">
        <v>438</v>
      </c>
      <c r="E75" s="78" t="s">
        <v>439</v>
      </c>
      <c r="F75" s="49" t="s">
        <v>238</v>
      </c>
      <c r="G75" s="49">
        <f>내역서!G93</f>
        <v>1</v>
      </c>
      <c r="H75" s="49">
        <f t="shared" si="7"/>
        <v>0</v>
      </c>
      <c r="I75" s="49">
        <f>내역서!J93</f>
        <v>1</v>
      </c>
      <c r="J75" s="49"/>
      <c r="K75" s="78" t="s">
        <v>479</v>
      </c>
      <c r="L75" s="49" t="s">
        <v>460</v>
      </c>
      <c r="M75" s="49">
        <v>0.126</v>
      </c>
      <c r="N75" s="49">
        <v>100</v>
      </c>
      <c r="O75" s="49">
        <f t="shared" si="8"/>
        <v>0.126</v>
      </c>
      <c r="P75" s="64"/>
      <c r="Q75" s="64"/>
      <c r="R75" s="64"/>
      <c r="S75" s="18" t="s">
        <v>519</v>
      </c>
      <c r="T75" s="18"/>
      <c r="AA75" s="2">
        <f t="shared" si="6"/>
        <v>0.126</v>
      </c>
    </row>
    <row r="76" spans="2:28" ht="21.95" customHeight="1" x14ac:dyDescent="0.15">
      <c r="B76" s="21" t="s">
        <v>501</v>
      </c>
      <c r="C76" s="21" t="s">
        <v>440</v>
      </c>
      <c r="D76" s="78" t="s">
        <v>438</v>
      </c>
      <c r="E76" s="78" t="s">
        <v>441</v>
      </c>
      <c r="F76" s="49" t="s">
        <v>238</v>
      </c>
      <c r="G76" s="49">
        <f>내역서!G94</f>
        <v>35</v>
      </c>
      <c r="H76" s="49">
        <f t="shared" si="7"/>
        <v>0</v>
      </c>
      <c r="I76" s="49">
        <f>내역서!J94</f>
        <v>35</v>
      </c>
      <c r="J76" s="49"/>
      <c r="K76" s="78" t="s">
        <v>479</v>
      </c>
      <c r="L76" s="49" t="s">
        <v>460</v>
      </c>
      <c r="M76" s="49">
        <v>6.6500000000000004E-2</v>
      </c>
      <c r="N76" s="49">
        <v>100</v>
      </c>
      <c r="O76" s="49">
        <f t="shared" si="8"/>
        <v>2.3275000000000001</v>
      </c>
      <c r="P76" s="64"/>
      <c r="Q76" s="64"/>
      <c r="R76" s="64"/>
      <c r="S76" s="18" t="s">
        <v>519</v>
      </c>
      <c r="T76" s="18"/>
      <c r="AA76" s="2">
        <f t="shared" si="6"/>
        <v>2.3275000000000001</v>
      </c>
    </row>
    <row r="77" spans="2:28" ht="21.95" customHeight="1" x14ac:dyDescent="0.15">
      <c r="B77" s="21" t="s">
        <v>501</v>
      </c>
      <c r="C77" s="21" t="s">
        <v>442</v>
      </c>
      <c r="D77" s="78" t="s">
        <v>443</v>
      </c>
      <c r="E77" s="78" t="s">
        <v>444</v>
      </c>
      <c r="F77" s="49" t="s">
        <v>172</v>
      </c>
      <c r="G77" s="49">
        <f>내역서!G95</f>
        <v>3</v>
      </c>
      <c r="H77" s="49">
        <f t="shared" si="7"/>
        <v>0</v>
      </c>
      <c r="I77" s="49">
        <f>내역서!J95</f>
        <v>3</v>
      </c>
      <c r="J77" s="49"/>
      <c r="K77" s="78" t="s">
        <v>513</v>
      </c>
      <c r="L77" s="49" t="s">
        <v>463</v>
      </c>
      <c r="M77" s="49">
        <v>0.11360000000000001</v>
      </c>
      <c r="N77" s="49">
        <v>100</v>
      </c>
      <c r="O77" s="49">
        <f t="shared" si="8"/>
        <v>0.34079999999999999</v>
      </c>
      <c r="P77" s="64"/>
      <c r="Q77" s="64"/>
      <c r="R77" s="64"/>
      <c r="S77" s="18" t="s">
        <v>514</v>
      </c>
      <c r="T77" s="18"/>
      <c r="AB77" s="2">
        <f>O77</f>
        <v>0.34079999999999999</v>
      </c>
    </row>
    <row r="78" spans="2:28" ht="21.95" customHeight="1" x14ac:dyDescent="0.15">
      <c r="B78" s="21" t="s">
        <v>501</v>
      </c>
      <c r="C78" s="21" t="s">
        <v>445</v>
      </c>
      <c r="D78" s="78" t="s">
        <v>443</v>
      </c>
      <c r="E78" s="78" t="s">
        <v>446</v>
      </c>
      <c r="F78" s="49" t="s">
        <v>172</v>
      </c>
      <c r="G78" s="49">
        <f>내역서!G96</f>
        <v>16</v>
      </c>
      <c r="H78" s="49">
        <f t="shared" si="7"/>
        <v>0</v>
      </c>
      <c r="I78" s="49">
        <f>내역서!J96</f>
        <v>16</v>
      </c>
      <c r="J78" s="49"/>
      <c r="K78" s="78" t="s">
        <v>479</v>
      </c>
      <c r="L78" s="49" t="s">
        <v>460</v>
      </c>
      <c r="M78" s="49">
        <v>8.1699999999999995E-2</v>
      </c>
      <c r="N78" s="49">
        <v>100</v>
      </c>
      <c r="O78" s="49">
        <f t="shared" si="8"/>
        <v>1.3071999999999999</v>
      </c>
      <c r="P78" s="64"/>
      <c r="Q78" s="64"/>
      <c r="R78" s="64"/>
      <c r="S78" s="18"/>
      <c r="T78" s="18"/>
      <c r="AA78" s="2">
        <f>O78</f>
        <v>1.3071999999999999</v>
      </c>
    </row>
    <row r="79" spans="2:28" ht="21.95" customHeight="1" x14ac:dyDescent="0.15">
      <c r="B79" s="21" t="s">
        <v>501</v>
      </c>
      <c r="C79" s="21" t="s">
        <v>447</v>
      </c>
      <c r="D79" s="78" t="s">
        <v>443</v>
      </c>
      <c r="E79" s="78" t="s">
        <v>448</v>
      </c>
      <c r="F79" s="49" t="s">
        <v>172</v>
      </c>
      <c r="G79" s="49">
        <f>내역서!G97</f>
        <v>22</v>
      </c>
      <c r="H79" s="49">
        <f t="shared" si="7"/>
        <v>0</v>
      </c>
      <c r="I79" s="49">
        <f>내역서!J97</f>
        <v>22</v>
      </c>
      <c r="J79" s="49"/>
      <c r="K79" s="78" t="s">
        <v>513</v>
      </c>
      <c r="L79" s="49" t="s">
        <v>463</v>
      </c>
      <c r="M79" s="49">
        <v>4.3700000000000003E-2</v>
      </c>
      <c r="N79" s="49">
        <v>100</v>
      </c>
      <c r="O79" s="49">
        <f t="shared" si="8"/>
        <v>0.96140000000000003</v>
      </c>
      <c r="P79" s="64"/>
      <c r="Q79" s="64"/>
      <c r="R79" s="64"/>
      <c r="S79" s="18" t="s">
        <v>514</v>
      </c>
      <c r="T79" s="18"/>
      <c r="AB79" s="2">
        <f>O79</f>
        <v>0.96140000000000003</v>
      </c>
    </row>
    <row r="80" spans="2:28" ht="21.95" customHeight="1" x14ac:dyDescent="0.15">
      <c r="B80" s="21" t="s">
        <v>501</v>
      </c>
      <c r="C80" s="21" t="s">
        <v>449</v>
      </c>
      <c r="D80" s="78" t="s">
        <v>443</v>
      </c>
      <c r="E80" s="78" t="s">
        <v>450</v>
      </c>
      <c r="F80" s="49" t="s">
        <v>172</v>
      </c>
      <c r="G80" s="49">
        <f>내역서!G98</f>
        <v>30</v>
      </c>
      <c r="H80" s="49">
        <f t="shared" si="7"/>
        <v>0</v>
      </c>
      <c r="I80" s="49">
        <f>내역서!J98</f>
        <v>30</v>
      </c>
      <c r="J80" s="49"/>
      <c r="K80" s="78" t="s">
        <v>513</v>
      </c>
      <c r="L80" s="49" t="s">
        <v>463</v>
      </c>
      <c r="M80" s="49">
        <v>4.3700000000000003E-2</v>
      </c>
      <c r="N80" s="49">
        <v>100</v>
      </c>
      <c r="O80" s="49">
        <f t="shared" si="8"/>
        <v>1.3110000000000002</v>
      </c>
      <c r="P80" s="64"/>
      <c r="Q80" s="64"/>
      <c r="R80" s="64"/>
      <c r="S80" s="18" t="s">
        <v>514</v>
      </c>
      <c r="T80" s="18"/>
      <c r="AB80" s="2">
        <f>O80</f>
        <v>1.3110000000000002</v>
      </c>
    </row>
    <row r="81" spans="2:30" ht="21.95" customHeight="1" x14ac:dyDescent="0.15">
      <c r="B81" s="21" t="s">
        <v>501</v>
      </c>
      <c r="C81" s="21" t="s">
        <v>451</v>
      </c>
      <c r="D81" s="78" t="s">
        <v>443</v>
      </c>
      <c r="E81" s="78" t="s">
        <v>452</v>
      </c>
      <c r="F81" s="49" t="s">
        <v>172</v>
      </c>
      <c r="G81" s="49">
        <f>내역서!G99</f>
        <v>168</v>
      </c>
      <c r="H81" s="49">
        <f t="shared" si="7"/>
        <v>0</v>
      </c>
      <c r="I81" s="49">
        <f>내역서!J99</f>
        <v>168</v>
      </c>
      <c r="J81" s="49"/>
      <c r="K81" s="78" t="s">
        <v>513</v>
      </c>
      <c r="L81" s="49" t="s">
        <v>463</v>
      </c>
      <c r="M81" s="49">
        <v>5.7000000000000002E-2</v>
      </c>
      <c r="N81" s="49">
        <v>100</v>
      </c>
      <c r="O81" s="49">
        <f t="shared" si="8"/>
        <v>9.5760000000000005</v>
      </c>
      <c r="P81" s="64"/>
      <c r="Q81" s="64"/>
      <c r="R81" s="64"/>
      <c r="S81" s="18" t="s">
        <v>514</v>
      </c>
      <c r="T81" s="18"/>
      <c r="AB81" s="2">
        <f>O81</f>
        <v>9.5760000000000005</v>
      </c>
    </row>
    <row r="82" spans="2:30" ht="21.95" customHeight="1" x14ac:dyDescent="0.15">
      <c r="B82" s="21" t="s">
        <v>501</v>
      </c>
      <c r="C82" s="21" t="s">
        <v>453</v>
      </c>
      <c r="D82" s="78" t="s">
        <v>454</v>
      </c>
      <c r="E82" s="78" t="s">
        <v>455</v>
      </c>
      <c r="F82" s="49" t="s">
        <v>238</v>
      </c>
      <c r="G82" s="49">
        <f>내역서!G100</f>
        <v>6</v>
      </c>
      <c r="H82" s="49">
        <f t="shared" si="7"/>
        <v>0</v>
      </c>
      <c r="I82" s="49">
        <f>내역서!J100</f>
        <v>6</v>
      </c>
      <c r="J82" s="49"/>
      <c r="K82" s="78" t="s">
        <v>479</v>
      </c>
      <c r="L82" s="49" t="s">
        <v>460</v>
      </c>
      <c r="M82" s="49">
        <v>2.3999999999999998E-3</v>
      </c>
      <c r="N82" s="49">
        <v>100</v>
      </c>
      <c r="O82" s="49">
        <f t="shared" si="8"/>
        <v>1.44E-2</v>
      </c>
      <c r="P82" s="64"/>
      <c r="Q82" s="64"/>
      <c r="R82" s="64"/>
      <c r="S82" s="18" t="s">
        <v>523</v>
      </c>
      <c r="T82" s="18"/>
      <c r="AA82" s="2">
        <f>O82</f>
        <v>1.44E-2</v>
      </c>
    </row>
    <row r="83" spans="2:30" ht="21.95" customHeight="1" x14ac:dyDescent="0.15">
      <c r="B83" s="21" t="s">
        <v>501</v>
      </c>
      <c r="C83" s="21" t="s">
        <v>456</v>
      </c>
      <c r="D83" s="78" t="s">
        <v>454</v>
      </c>
      <c r="E83" s="78" t="s">
        <v>457</v>
      </c>
      <c r="F83" s="49" t="s">
        <v>238</v>
      </c>
      <c r="G83" s="49">
        <f>내역서!G101</f>
        <v>6</v>
      </c>
      <c r="H83" s="49">
        <f t="shared" si="7"/>
        <v>0</v>
      </c>
      <c r="I83" s="49">
        <f>내역서!J101</f>
        <v>6</v>
      </c>
      <c r="J83" s="49"/>
      <c r="K83" s="78" t="s">
        <v>479</v>
      </c>
      <c r="L83" s="49" t="s">
        <v>460</v>
      </c>
      <c r="M83" s="49">
        <v>2.4E-2</v>
      </c>
      <c r="N83" s="49">
        <v>100</v>
      </c>
      <c r="O83" s="49">
        <f t="shared" si="8"/>
        <v>0.14400000000000002</v>
      </c>
      <c r="P83" s="64"/>
      <c r="Q83" s="64"/>
      <c r="R83" s="64"/>
      <c r="S83" s="18" t="s">
        <v>523</v>
      </c>
      <c r="T83" s="18"/>
      <c r="AA83" s="2">
        <f>O83</f>
        <v>0.14400000000000002</v>
      </c>
    </row>
    <row r="84" spans="2:30" ht="21.95" customHeight="1" x14ac:dyDescent="0.15">
      <c r="B84" s="21" t="s">
        <v>501</v>
      </c>
      <c r="C84" s="21" t="s">
        <v>458</v>
      </c>
      <c r="D84" s="78" t="s">
        <v>459</v>
      </c>
      <c r="E84" s="78" t="s">
        <v>460</v>
      </c>
      <c r="F84" s="49" t="s">
        <v>461</v>
      </c>
      <c r="G84" s="49">
        <f>IF(H84*I84/100+0.0005 &lt;1, TRUNC(H84*I84/100, 3), TRUNC(H84*I84/100+0.0005, J84))</f>
        <v>62.109000000000002</v>
      </c>
      <c r="H84" s="49">
        <f>(옵션!$B$12*옵션!$B$41)/100</f>
        <v>100</v>
      </c>
      <c r="I84" s="49">
        <f>SUM(AA5:AA83)</f>
        <v>62.108599999999996</v>
      </c>
      <c r="J84" s="49">
        <f>옵션!$C$41</f>
        <v>3</v>
      </c>
      <c r="K84" s="78"/>
      <c r="L84" s="49"/>
      <c r="M84" s="49"/>
      <c r="N84" s="49"/>
      <c r="O84" s="49" t="str">
        <f t="shared" si="8"/>
        <v/>
      </c>
      <c r="P84" s="64"/>
      <c r="Q84" s="64"/>
      <c r="R84" s="64"/>
      <c r="S84" s="18"/>
      <c r="T84" s="18"/>
      <c r="AA84" s="2">
        <f>SUM(AA5:AA83)</f>
        <v>62.108599999999996</v>
      </c>
      <c r="AB84" s="2">
        <f>SUM(AB5:AB83)</f>
        <v>19.886200000000002</v>
      </c>
      <c r="AC84" s="2">
        <f>SUM(AC5:AC83)</f>
        <v>7.0000000000000007E-2</v>
      </c>
      <c r="AD84" s="2">
        <f>SUM(AD5:AD83)</f>
        <v>0.18</v>
      </c>
    </row>
    <row r="85" spans="2:30" ht="21.95" customHeight="1" x14ac:dyDescent="0.15">
      <c r="B85" s="21" t="s">
        <v>501</v>
      </c>
      <c r="C85" s="21" t="s">
        <v>462</v>
      </c>
      <c r="D85" s="78" t="s">
        <v>459</v>
      </c>
      <c r="E85" s="78" t="s">
        <v>463</v>
      </c>
      <c r="F85" s="49" t="s">
        <v>461</v>
      </c>
      <c r="G85" s="49">
        <f>IF(H85*I85/100+0.0005 &lt;1, TRUNC(H85*I85/100, 3), TRUNC(H85*I85/100+0.0005, J85))</f>
        <v>19.885999999999999</v>
      </c>
      <c r="H85" s="49">
        <f>(옵션!$B$12*옵션!$B$41)/100</f>
        <v>100</v>
      </c>
      <c r="I85" s="49">
        <f>SUM(AB5:AB83)</f>
        <v>19.886200000000002</v>
      </c>
      <c r="J85" s="49">
        <f>옵션!$C$41</f>
        <v>3</v>
      </c>
      <c r="K85" s="78"/>
      <c r="L85" s="49"/>
      <c r="M85" s="49"/>
      <c r="N85" s="49"/>
      <c r="O85" s="49" t="str">
        <f t="shared" si="8"/>
        <v/>
      </c>
      <c r="P85" s="64"/>
      <c r="Q85" s="64"/>
      <c r="R85" s="64"/>
      <c r="S85" s="18"/>
      <c r="T85" s="18"/>
    </row>
    <row r="86" spans="2:30" ht="21.95" customHeight="1" x14ac:dyDescent="0.15">
      <c r="B86" s="21" t="s">
        <v>501</v>
      </c>
      <c r="C86" s="21" t="s">
        <v>464</v>
      </c>
      <c r="D86" s="78" t="s">
        <v>459</v>
      </c>
      <c r="E86" s="78" t="s">
        <v>465</v>
      </c>
      <c r="F86" s="49" t="s">
        <v>461</v>
      </c>
      <c r="G86" s="49">
        <f>IF(H86*I86/100+0.0005 &lt;1, TRUNC(H86*I86/100, 3), TRUNC(H86*I86/100+0.0005, J86))</f>
        <v>7.0000000000000007E-2</v>
      </c>
      <c r="H86" s="49">
        <f>(옵션!$B$12*옵션!$B$41)/100</f>
        <v>100</v>
      </c>
      <c r="I86" s="49">
        <f>SUM(AC5:AC83)</f>
        <v>7.0000000000000007E-2</v>
      </c>
      <c r="J86" s="49">
        <f>옵션!$C$41</f>
        <v>3</v>
      </c>
      <c r="K86" s="78"/>
      <c r="L86" s="49"/>
      <c r="M86" s="49"/>
      <c r="N86" s="49"/>
      <c r="O86" s="49" t="str">
        <f t="shared" si="8"/>
        <v/>
      </c>
      <c r="P86" s="64"/>
      <c r="Q86" s="64"/>
      <c r="R86" s="64"/>
      <c r="S86" s="18"/>
      <c r="T86" s="18"/>
    </row>
    <row r="87" spans="2:30" ht="21.95" customHeight="1" x14ac:dyDescent="0.15">
      <c r="B87" s="21" t="s">
        <v>501</v>
      </c>
      <c r="C87" s="21" t="s">
        <v>466</v>
      </c>
      <c r="D87" s="78" t="s">
        <v>459</v>
      </c>
      <c r="E87" s="78" t="s">
        <v>467</v>
      </c>
      <c r="F87" s="49" t="s">
        <v>461</v>
      </c>
      <c r="G87" s="49">
        <f>IF(H87*I87/100+0.0005 &lt;1, TRUNC(H87*I87/100, 3), TRUNC(H87*I87/100+0.0005, J87))</f>
        <v>0.18</v>
      </c>
      <c r="H87" s="49">
        <f>(옵션!$B$12*옵션!$B$41)/100</f>
        <v>100</v>
      </c>
      <c r="I87" s="49">
        <f>SUM(AD5:AD83)</f>
        <v>0.18</v>
      </c>
      <c r="J87" s="49">
        <f>옵션!$C$41</f>
        <v>3</v>
      </c>
      <c r="K87" s="78"/>
      <c r="L87" s="49"/>
      <c r="M87" s="49"/>
      <c r="N87" s="49"/>
      <c r="O87" s="49" t="str">
        <f t="shared" si="8"/>
        <v/>
      </c>
      <c r="P87" s="64"/>
      <c r="Q87" s="64"/>
      <c r="R87" s="64"/>
      <c r="S87" s="18"/>
      <c r="T87" s="18"/>
    </row>
    <row r="88" spans="2:30" ht="21.95" customHeight="1" x14ac:dyDescent="0.15">
      <c r="D88" s="78"/>
      <c r="E88" s="78"/>
      <c r="F88" s="49"/>
      <c r="G88" s="49"/>
      <c r="H88" s="49"/>
      <c r="I88" s="49"/>
      <c r="J88" s="49"/>
      <c r="K88" s="78"/>
      <c r="L88" s="49"/>
      <c r="M88" s="49"/>
      <c r="N88" s="49"/>
      <c r="O88" s="49"/>
      <c r="P88" s="64"/>
      <c r="Q88" s="64"/>
      <c r="R88" s="64"/>
      <c r="S88" s="18"/>
      <c r="T88" s="18"/>
    </row>
    <row r="89" spans="2:30" ht="21.95" customHeight="1" x14ac:dyDescent="0.15">
      <c r="D89" s="78"/>
      <c r="E89" s="78"/>
      <c r="F89" s="49"/>
      <c r="G89" s="49"/>
      <c r="H89" s="49"/>
      <c r="I89" s="49"/>
      <c r="J89" s="49"/>
      <c r="K89" s="78"/>
      <c r="L89" s="49"/>
      <c r="M89" s="49"/>
      <c r="N89" s="49"/>
      <c r="O89" s="49"/>
      <c r="P89" s="64"/>
      <c r="Q89" s="64"/>
      <c r="R89" s="64"/>
      <c r="S89" s="18"/>
      <c r="T89" s="18"/>
    </row>
    <row r="90" spans="2:30" ht="21.95" customHeight="1" x14ac:dyDescent="0.15">
      <c r="D90" s="78"/>
      <c r="E90" s="78"/>
      <c r="F90" s="49"/>
      <c r="G90" s="49"/>
      <c r="H90" s="49"/>
      <c r="I90" s="49"/>
      <c r="J90" s="49"/>
      <c r="K90" s="78"/>
      <c r="L90" s="49"/>
      <c r="M90" s="49"/>
      <c r="N90" s="49"/>
      <c r="O90" s="49"/>
      <c r="P90" s="64"/>
      <c r="Q90" s="64"/>
      <c r="R90" s="64"/>
      <c r="S90" s="18"/>
      <c r="T90" s="18"/>
    </row>
    <row r="91" spans="2:30" ht="21.95" customHeight="1" x14ac:dyDescent="0.15">
      <c r="D91" s="78"/>
      <c r="E91" s="78"/>
      <c r="F91" s="49"/>
      <c r="G91" s="49"/>
      <c r="H91" s="49"/>
      <c r="I91" s="49"/>
      <c r="J91" s="49"/>
      <c r="K91" s="78"/>
      <c r="L91" s="49"/>
      <c r="M91" s="49"/>
      <c r="N91" s="49"/>
      <c r="O91" s="49"/>
      <c r="P91" s="64"/>
      <c r="Q91" s="64"/>
      <c r="R91" s="64"/>
      <c r="S91" s="18"/>
      <c r="T91" s="18"/>
    </row>
    <row r="92" spans="2:30" ht="21.95" customHeight="1" x14ac:dyDescent="0.15">
      <c r="D92" s="78"/>
      <c r="E92" s="78"/>
      <c r="F92" s="49"/>
      <c r="G92" s="49"/>
      <c r="H92" s="49"/>
      <c r="I92" s="49"/>
      <c r="J92" s="49"/>
      <c r="K92" s="78"/>
      <c r="L92" s="49"/>
      <c r="M92" s="49"/>
      <c r="N92" s="49"/>
      <c r="O92" s="49"/>
      <c r="P92" s="64"/>
      <c r="Q92" s="64"/>
      <c r="R92" s="64"/>
      <c r="S92" s="18"/>
      <c r="T92" s="18"/>
    </row>
    <row r="93" spans="2:30" ht="21.95" customHeight="1" x14ac:dyDescent="0.15">
      <c r="D93" s="78"/>
      <c r="E93" s="78"/>
      <c r="F93" s="49"/>
      <c r="G93" s="49"/>
      <c r="H93" s="49"/>
      <c r="I93" s="49"/>
      <c r="J93" s="49"/>
      <c r="K93" s="78"/>
      <c r="L93" s="49"/>
      <c r="M93" s="49"/>
      <c r="N93" s="49"/>
      <c r="O93" s="49"/>
      <c r="P93" s="64"/>
      <c r="Q93" s="64"/>
      <c r="R93" s="64"/>
      <c r="S93" s="18"/>
      <c r="T93" s="18"/>
    </row>
    <row r="94" spans="2:30" ht="21.95" customHeight="1" x14ac:dyDescent="0.15">
      <c r="D94" s="78"/>
      <c r="E94" s="78"/>
      <c r="F94" s="49"/>
      <c r="G94" s="49"/>
      <c r="H94" s="49"/>
      <c r="I94" s="49"/>
      <c r="J94" s="49"/>
      <c r="K94" s="78"/>
      <c r="L94" s="49"/>
      <c r="M94" s="49"/>
      <c r="N94" s="49"/>
      <c r="O94" s="49"/>
      <c r="P94" s="64"/>
      <c r="Q94" s="64"/>
      <c r="R94" s="64"/>
      <c r="S94" s="18"/>
      <c r="T94" s="18"/>
    </row>
    <row r="95" spans="2:30" ht="21.95" customHeight="1" x14ac:dyDescent="0.15">
      <c r="D95" s="78"/>
      <c r="E95" s="78"/>
      <c r="F95" s="49"/>
      <c r="G95" s="49"/>
      <c r="H95" s="49"/>
      <c r="I95" s="49"/>
      <c r="J95" s="49"/>
      <c r="K95" s="78"/>
      <c r="L95" s="49"/>
      <c r="M95" s="49"/>
      <c r="N95" s="49"/>
      <c r="O95" s="49"/>
      <c r="P95" s="64"/>
      <c r="Q95" s="64"/>
      <c r="R95" s="64"/>
      <c r="S95" s="18"/>
      <c r="T95" s="18"/>
    </row>
    <row r="96" spans="2:30" ht="21.95" customHeight="1" x14ac:dyDescent="0.15">
      <c r="D96" s="78"/>
      <c r="E96" s="78"/>
      <c r="F96" s="49"/>
      <c r="G96" s="49"/>
      <c r="H96" s="49"/>
      <c r="I96" s="49"/>
      <c r="J96" s="49"/>
      <c r="K96" s="78"/>
      <c r="L96" s="49"/>
      <c r="M96" s="49"/>
      <c r="N96" s="49"/>
      <c r="O96" s="49"/>
      <c r="P96" s="64"/>
      <c r="Q96" s="64"/>
      <c r="R96" s="64"/>
      <c r="S96" s="18"/>
      <c r="T96" s="18"/>
    </row>
    <row r="97" spans="4:20" ht="21.95" customHeight="1" x14ac:dyDescent="0.15">
      <c r="D97" s="78"/>
      <c r="E97" s="78"/>
      <c r="F97" s="49"/>
      <c r="G97" s="49"/>
      <c r="H97" s="49"/>
      <c r="I97" s="49"/>
      <c r="J97" s="49"/>
      <c r="K97" s="78"/>
      <c r="L97" s="49"/>
      <c r="M97" s="49"/>
      <c r="N97" s="49"/>
      <c r="O97" s="49"/>
      <c r="P97" s="64"/>
      <c r="Q97" s="64"/>
      <c r="R97" s="64"/>
      <c r="S97" s="18"/>
      <c r="T97" s="18"/>
    </row>
    <row r="98" spans="4:20" ht="21.95" customHeight="1" x14ac:dyDescent="0.15">
      <c r="D98" s="78"/>
      <c r="E98" s="78"/>
      <c r="F98" s="49"/>
      <c r="G98" s="49"/>
      <c r="H98" s="49"/>
      <c r="I98" s="49"/>
      <c r="J98" s="49"/>
      <c r="K98" s="78"/>
      <c r="L98" s="49"/>
      <c r="M98" s="49"/>
      <c r="N98" s="49"/>
      <c r="O98" s="49"/>
      <c r="P98" s="64"/>
      <c r="Q98" s="64"/>
      <c r="R98" s="64"/>
      <c r="S98" s="18"/>
      <c r="T98" s="18"/>
    </row>
    <row r="99" spans="4:20" ht="21.95" customHeight="1" x14ac:dyDescent="0.15">
      <c r="D99" s="78"/>
      <c r="E99" s="78"/>
      <c r="F99" s="49"/>
      <c r="G99" s="49"/>
      <c r="H99" s="49"/>
      <c r="I99" s="49"/>
      <c r="J99" s="49"/>
      <c r="K99" s="78"/>
      <c r="L99" s="49"/>
      <c r="M99" s="49"/>
      <c r="N99" s="49"/>
      <c r="O99" s="49"/>
      <c r="P99" s="64"/>
      <c r="Q99" s="64"/>
      <c r="R99" s="64"/>
      <c r="S99" s="18"/>
      <c r="T99" s="18"/>
    </row>
    <row r="100" spans="4:20" ht="21.95" customHeight="1" x14ac:dyDescent="0.15">
      <c r="D100" s="78"/>
      <c r="E100" s="78"/>
      <c r="F100" s="49"/>
      <c r="G100" s="49"/>
      <c r="H100" s="49"/>
      <c r="I100" s="49"/>
      <c r="J100" s="49"/>
      <c r="K100" s="78"/>
      <c r="L100" s="49"/>
      <c r="M100" s="49"/>
      <c r="N100" s="49"/>
      <c r="O100" s="49"/>
      <c r="P100" s="64"/>
      <c r="Q100" s="64"/>
      <c r="R100" s="64"/>
      <c r="S100" s="18"/>
      <c r="T100" s="18"/>
    </row>
    <row r="101" spans="4:20" ht="21.95" customHeight="1" x14ac:dyDescent="0.15">
      <c r="D101" s="78"/>
      <c r="E101" s="78"/>
      <c r="F101" s="49"/>
      <c r="G101" s="49"/>
      <c r="H101" s="49"/>
      <c r="I101" s="49"/>
      <c r="J101" s="49"/>
      <c r="K101" s="78"/>
      <c r="L101" s="49"/>
      <c r="M101" s="49"/>
      <c r="N101" s="49"/>
      <c r="O101" s="49"/>
      <c r="P101" s="64"/>
      <c r="Q101" s="64"/>
      <c r="R101" s="64"/>
      <c r="S101" s="18"/>
      <c r="T101" s="18"/>
    </row>
    <row r="102" spans="4:20" ht="21.95" customHeight="1" x14ac:dyDescent="0.15">
      <c r="D102" s="78"/>
      <c r="E102" s="78"/>
      <c r="F102" s="49"/>
      <c r="G102" s="49"/>
      <c r="H102" s="49"/>
      <c r="I102" s="49"/>
      <c r="J102" s="49"/>
      <c r="K102" s="78"/>
      <c r="L102" s="49"/>
      <c r="M102" s="49"/>
      <c r="N102" s="49"/>
      <c r="O102" s="49"/>
      <c r="P102" s="64"/>
      <c r="Q102" s="64"/>
      <c r="R102" s="64"/>
      <c r="S102" s="18"/>
      <c r="T102" s="18"/>
    </row>
    <row r="103" spans="4:20" ht="21.95" customHeight="1" x14ac:dyDescent="0.15">
      <c r="D103" s="78"/>
      <c r="E103" s="78"/>
      <c r="F103" s="49"/>
      <c r="G103" s="49"/>
      <c r="H103" s="49"/>
      <c r="I103" s="49"/>
      <c r="J103" s="49"/>
      <c r="K103" s="78"/>
      <c r="L103" s="49"/>
      <c r="M103" s="49"/>
      <c r="N103" s="49"/>
      <c r="O103" s="49"/>
      <c r="P103" s="64"/>
      <c r="Q103" s="64"/>
      <c r="R103" s="64"/>
      <c r="S103" s="18"/>
      <c r="T103" s="18"/>
    </row>
    <row r="104" spans="4:20" ht="21.95" customHeight="1" x14ac:dyDescent="0.15">
      <c r="D104" s="78"/>
      <c r="E104" s="78"/>
      <c r="F104" s="49"/>
      <c r="G104" s="49"/>
      <c r="H104" s="49"/>
      <c r="I104" s="49"/>
      <c r="J104" s="49"/>
      <c r="K104" s="78"/>
      <c r="L104" s="49"/>
      <c r="M104" s="49"/>
      <c r="N104" s="49"/>
      <c r="O104" s="49"/>
      <c r="P104" s="64"/>
      <c r="Q104" s="64"/>
      <c r="R104" s="64"/>
      <c r="S104" s="18"/>
      <c r="T104" s="18"/>
    </row>
    <row r="105" spans="4:20" ht="21.95" customHeight="1" x14ac:dyDescent="0.15">
      <c r="D105" s="78"/>
      <c r="E105" s="78"/>
      <c r="F105" s="49"/>
      <c r="G105" s="49"/>
      <c r="H105" s="49"/>
      <c r="I105" s="49"/>
      <c r="J105" s="49"/>
      <c r="K105" s="78"/>
      <c r="L105" s="49"/>
      <c r="M105" s="49"/>
      <c r="N105" s="49"/>
      <c r="O105" s="49"/>
      <c r="P105" s="64"/>
      <c r="Q105" s="64"/>
      <c r="R105" s="64"/>
      <c r="S105" s="18"/>
      <c r="T105" s="18"/>
    </row>
    <row r="106" spans="4:20" ht="21.95" customHeight="1" x14ac:dyDescent="0.15">
      <c r="D106" s="78"/>
      <c r="E106" s="78"/>
      <c r="F106" s="49"/>
      <c r="G106" s="49"/>
      <c r="H106" s="49"/>
      <c r="I106" s="49"/>
      <c r="J106" s="49"/>
      <c r="K106" s="78"/>
      <c r="L106" s="49"/>
      <c r="M106" s="49"/>
      <c r="N106" s="49"/>
      <c r="O106" s="49"/>
      <c r="P106" s="64"/>
      <c r="Q106" s="64"/>
      <c r="R106" s="64"/>
      <c r="S106" s="18"/>
      <c r="T106" s="18"/>
    </row>
    <row r="107" spans="4:20" ht="21.95" customHeight="1" x14ac:dyDescent="0.15">
      <c r="D107" s="78"/>
      <c r="E107" s="78"/>
      <c r="F107" s="49"/>
      <c r="G107" s="49"/>
      <c r="H107" s="49"/>
      <c r="I107" s="49"/>
      <c r="J107" s="49"/>
      <c r="K107" s="78"/>
      <c r="L107" s="49"/>
      <c r="M107" s="49"/>
      <c r="N107" s="49"/>
      <c r="O107" s="49"/>
      <c r="P107" s="64"/>
      <c r="Q107" s="64"/>
      <c r="R107" s="64"/>
      <c r="S107" s="18"/>
      <c r="T107" s="18"/>
    </row>
  </sheetData>
  <mergeCells count="14">
    <mergeCell ref="D4:T4"/>
    <mergeCell ref="G2:J2"/>
    <mergeCell ref="D1:T1"/>
    <mergeCell ref="A2:A3"/>
    <mergeCell ref="B2:B3"/>
    <mergeCell ref="E2:E3"/>
    <mergeCell ref="F2:F3"/>
    <mergeCell ref="C2:C3"/>
    <mergeCell ref="D2:D3"/>
    <mergeCell ref="S2:S3"/>
    <mergeCell ref="K2:K3"/>
    <mergeCell ref="P2:R2"/>
    <mergeCell ref="T2:T3"/>
    <mergeCell ref="L2:O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Q29"/>
  <sheetViews>
    <sheetView view="pageBreakPreview" zoomScale="85" zoomScaleNormal="100" zoomScaleSheetLayoutView="85" workbookViewId="0">
      <pane xSplit="2" ySplit="3" topLeftCell="C4" activePane="bottomRight" state="frozen"/>
      <selection activeCell="E9" sqref="E9"/>
      <selection pane="topRight" activeCell="E9" sqref="E9"/>
      <selection pane="bottomLeft" activeCell="E9" sqref="E9"/>
      <selection pane="bottomRight" activeCell="C2" sqref="C2:C3"/>
    </sheetView>
  </sheetViews>
  <sheetFormatPr defaultRowHeight="23.1" customHeight="1" x14ac:dyDescent="0.15"/>
  <cols>
    <col min="1" max="1" width="9.109375" style="21" hidden="1" customWidth="1"/>
    <col min="2" max="2" width="9.88671875" style="21" hidden="1" customWidth="1"/>
    <col min="3" max="3" width="12.77734375" style="80" customWidth="1"/>
    <col min="4" max="4" width="23.109375" style="80" customWidth="1"/>
    <col min="5" max="5" width="23.77734375" style="80" customWidth="1"/>
    <col min="6" max="6" width="4.6640625" style="56" customWidth="1"/>
    <col min="7" max="7" width="6.44140625" hidden="1" customWidth="1"/>
    <col min="8" max="9" width="11.21875" style="65" customWidth="1"/>
    <col min="10" max="10" width="5" style="65" hidden="1" customWidth="1"/>
    <col min="11" max="13" width="11.21875" style="65" customWidth="1"/>
    <col min="14" max="14" width="11.109375" style="65" customWidth="1"/>
    <col min="15" max="15" width="7" style="65" hidden="1" customWidth="1"/>
    <col min="16" max="16" width="11.21875" style="65" customWidth="1"/>
    <col min="17" max="17" width="12.21875" customWidth="1"/>
  </cols>
  <sheetData>
    <row r="1" spans="1:17" s="2" customFormat="1" ht="23.1" customHeight="1" x14ac:dyDescent="0.15">
      <c r="A1" s="21" t="s">
        <v>473</v>
      </c>
      <c r="B1" s="21" t="s">
        <v>481</v>
      </c>
      <c r="C1" s="278" t="s">
        <v>1138</v>
      </c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</row>
    <row r="2" spans="1:17" s="137" customFormat="1" ht="23.1" customHeight="1" x14ac:dyDescent="0.15">
      <c r="A2" s="270" t="s">
        <v>748</v>
      </c>
      <c r="B2" s="273" t="s">
        <v>749</v>
      </c>
      <c r="C2" s="271" t="s">
        <v>750</v>
      </c>
      <c r="D2" s="271" t="s">
        <v>751</v>
      </c>
      <c r="E2" s="271" t="s">
        <v>752</v>
      </c>
      <c r="F2" s="274" t="s">
        <v>753</v>
      </c>
      <c r="G2" s="285" t="s">
        <v>754</v>
      </c>
      <c r="H2" s="267" t="s">
        <v>755</v>
      </c>
      <c r="I2" s="267"/>
      <c r="J2" s="267" t="s">
        <v>756</v>
      </c>
      <c r="K2" s="267"/>
      <c r="L2" s="267"/>
      <c r="M2" s="267" t="s">
        <v>757</v>
      </c>
      <c r="N2" s="267"/>
      <c r="O2" s="132" t="s">
        <v>758</v>
      </c>
      <c r="P2" s="267" t="s">
        <v>758</v>
      </c>
      <c r="Q2" s="271" t="s">
        <v>759</v>
      </c>
    </row>
    <row r="3" spans="1:17" s="137" customFormat="1" ht="23.1" customHeight="1" x14ac:dyDescent="0.15">
      <c r="A3" s="270"/>
      <c r="B3" s="273"/>
      <c r="C3" s="272"/>
      <c r="D3" s="272"/>
      <c r="E3" s="272"/>
      <c r="F3" s="275"/>
      <c r="G3" s="286"/>
      <c r="H3" s="135" t="s">
        <v>760</v>
      </c>
      <c r="I3" s="135" t="s">
        <v>761</v>
      </c>
      <c r="J3" s="135" t="s">
        <v>754</v>
      </c>
      <c r="K3" s="135" t="s">
        <v>760</v>
      </c>
      <c r="L3" s="135" t="s">
        <v>761</v>
      </c>
      <c r="M3" s="135" t="s">
        <v>760</v>
      </c>
      <c r="N3" s="135" t="s">
        <v>761</v>
      </c>
      <c r="O3" s="135" t="s">
        <v>760</v>
      </c>
      <c r="P3" s="276"/>
      <c r="Q3" s="272"/>
    </row>
    <row r="4" spans="1:17" s="2" customFormat="1" ht="23.1" customHeight="1" x14ac:dyDescent="0.15">
      <c r="A4" s="21" t="s">
        <v>482</v>
      </c>
      <c r="B4" s="21" t="s">
        <v>483</v>
      </c>
      <c r="C4" s="3" t="s">
        <v>906</v>
      </c>
      <c r="D4" s="78" t="s">
        <v>484</v>
      </c>
      <c r="E4" s="78" t="s">
        <v>485</v>
      </c>
      <c r="F4" s="52" t="s">
        <v>486</v>
      </c>
      <c r="G4" s="6"/>
      <c r="H4" s="64">
        <f>'일위대가 (2)'!I12</f>
        <v>4338</v>
      </c>
      <c r="I4" s="64">
        <f>H4</f>
        <v>4338</v>
      </c>
      <c r="J4" s="64"/>
      <c r="K4" s="64">
        <f>'일위대가 (2)'!L12</f>
        <v>29557</v>
      </c>
      <c r="L4" s="64">
        <f>K4</f>
        <v>29557</v>
      </c>
      <c r="M4" s="64">
        <f>'일위대가 (2)'!N12</f>
        <v>0</v>
      </c>
      <c r="N4" s="64">
        <f>M4</f>
        <v>0</v>
      </c>
      <c r="O4" s="64"/>
      <c r="P4" s="64">
        <f>I4+L4+N4</f>
        <v>33895</v>
      </c>
      <c r="Q4" s="78"/>
    </row>
    <row r="5" spans="1:17" s="2" customFormat="1" ht="23.1" customHeight="1" x14ac:dyDescent="0.15">
      <c r="A5" s="21"/>
      <c r="B5" s="21"/>
      <c r="C5" s="3" t="s">
        <v>907</v>
      </c>
      <c r="D5" s="78" t="s">
        <v>762</v>
      </c>
      <c r="E5" s="78" t="s">
        <v>763</v>
      </c>
      <c r="F5" s="52" t="s">
        <v>764</v>
      </c>
      <c r="G5" s="6"/>
      <c r="H5" s="64">
        <f>'일위대가 (2)'!I30</f>
        <v>1071463</v>
      </c>
      <c r="I5" s="64">
        <f t="shared" ref="I5:I15" si="0">H5</f>
        <v>1071463</v>
      </c>
      <c r="J5" s="64"/>
      <c r="K5" s="64">
        <f>'일위대가 (2)'!L30</f>
        <v>356861</v>
      </c>
      <c r="L5" s="64">
        <f t="shared" ref="L5:L16" si="1">K5</f>
        <v>356861</v>
      </c>
      <c r="M5" s="64"/>
      <c r="N5" s="64"/>
      <c r="O5" s="64"/>
      <c r="P5" s="64">
        <f t="shared" ref="P5:P16" si="2">I5+L5+N5</f>
        <v>1428324</v>
      </c>
      <c r="Q5" s="78"/>
    </row>
    <row r="6" spans="1:17" ht="23.1" customHeight="1" x14ac:dyDescent="0.15">
      <c r="C6" s="3" t="s">
        <v>908</v>
      </c>
      <c r="D6" s="103" t="s">
        <v>765</v>
      </c>
      <c r="E6" s="103" t="s">
        <v>766</v>
      </c>
      <c r="F6" s="52" t="s">
        <v>764</v>
      </c>
      <c r="G6" s="105"/>
      <c r="H6" s="106">
        <f>'일위대가 (2)'!I57</f>
        <v>917751</v>
      </c>
      <c r="I6" s="64">
        <f t="shared" si="0"/>
        <v>917751</v>
      </c>
      <c r="J6" s="106"/>
      <c r="K6" s="106">
        <f>'일위대가 (2)'!L57</f>
        <v>304070</v>
      </c>
      <c r="L6" s="64">
        <f t="shared" si="1"/>
        <v>304070</v>
      </c>
      <c r="M6" s="106"/>
      <c r="N6" s="106"/>
      <c r="O6" s="106"/>
      <c r="P6" s="64">
        <f t="shared" si="2"/>
        <v>1221821</v>
      </c>
      <c r="Q6" s="105"/>
    </row>
    <row r="7" spans="1:17" ht="23.1" customHeight="1" x14ac:dyDescent="0.15">
      <c r="C7" s="3" t="s">
        <v>909</v>
      </c>
      <c r="D7" s="103" t="s">
        <v>767</v>
      </c>
      <c r="E7" s="103" t="s">
        <v>768</v>
      </c>
      <c r="F7" s="52" t="s">
        <v>764</v>
      </c>
      <c r="G7" s="105"/>
      <c r="H7" s="106">
        <f>'일위대가 (2)'!I126</f>
        <v>6549101</v>
      </c>
      <c r="I7" s="64">
        <f t="shared" si="0"/>
        <v>6549101</v>
      </c>
      <c r="J7" s="106"/>
      <c r="K7" s="106">
        <f>'일위대가 (2)'!L126</f>
        <v>1977497</v>
      </c>
      <c r="L7" s="64">
        <f t="shared" si="1"/>
        <v>1977497</v>
      </c>
      <c r="M7" s="106"/>
      <c r="N7" s="106"/>
      <c r="O7" s="106"/>
      <c r="P7" s="64">
        <f t="shared" si="2"/>
        <v>8526598</v>
      </c>
      <c r="Q7" s="105"/>
    </row>
    <row r="8" spans="1:17" ht="23.1" customHeight="1" x14ac:dyDescent="0.15">
      <c r="C8" s="3" t="s">
        <v>910</v>
      </c>
      <c r="D8" s="103" t="s">
        <v>769</v>
      </c>
      <c r="E8" s="103" t="s">
        <v>770</v>
      </c>
      <c r="F8" s="52" t="s">
        <v>764</v>
      </c>
      <c r="G8" s="105"/>
      <c r="H8" s="106">
        <f>'일위대가 (2)'!I178</f>
        <v>2937106</v>
      </c>
      <c r="I8" s="64">
        <f t="shared" si="0"/>
        <v>2937106</v>
      </c>
      <c r="J8" s="106"/>
      <c r="K8" s="106">
        <f>'일위대가 (2)'!L178</f>
        <v>1182997</v>
      </c>
      <c r="L8" s="64">
        <f t="shared" si="1"/>
        <v>1182997</v>
      </c>
      <c r="M8" s="106"/>
      <c r="N8" s="106"/>
      <c r="O8" s="106"/>
      <c r="P8" s="64">
        <f t="shared" si="2"/>
        <v>4120103</v>
      </c>
      <c r="Q8" s="105"/>
    </row>
    <row r="9" spans="1:17" ht="23.1" customHeight="1" x14ac:dyDescent="0.15">
      <c r="C9" s="3" t="s">
        <v>911</v>
      </c>
      <c r="D9" s="103" t="s">
        <v>771</v>
      </c>
      <c r="E9" s="103" t="s">
        <v>772</v>
      </c>
      <c r="F9" s="52" t="s">
        <v>764</v>
      </c>
      <c r="G9" s="105"/>
      <c r="H9" s="106">
        <f>'일위대가 (2)'!I230</f>
        <v>3015279</v>
      </c>
      <c r="I9" s="64">
        <f t="shared" si="0"/>
        <v>3015279</v>
      </c>
      <c r="J9" s="106"/>
      <c r="K9" s="106">
        <f>'일위대가 (2)'!L230</f>
        <v>1459190</v>
      </c>
      <c r="L9" s="64">
        <f t="shared" si="1"/>
        <v>1459190</v>
      </c>
      <c r="M9" s="106"/>
      <c r="N9" s="106"/>
      <c r="O9" s="106"/>
      <c r="P9" s="64">
        <f t="shared" si="2"/>
        <v>4474469</v>
      </c>
      <c r="Q9" s="105"/>
    </row>
    <row r="10" spans="1:17" ht="23.1" customHeight="1" x14ac:dyDescent="0.15">
      <c r="C10" s="3" t="s">
        <v>912</v>
      </c>
      <c r="D10" s="103" t="s">
        <v>916</v>
      </c>
      <c r="E10" s="103" t="s">
        <v>917</v>
      </c>
      <c r="F10" s="52" t="s">
        <v>764</v>
      </c>
      <c r="G10" s="105"/>
      <c r="H10" s="106">
        <f>'일위대가 (2)'!I251</f>
        <v>2086554</v>
      </c>
      <c r="I10" s="64">
        <f t="shared" si="0"/>
        <v>2086554</v>
      </c>
      <c r="J10" s="106"/>
      <c r="K10" s="106">
        <f>'일위대가 (2)'!L251</f>
        <v>523189</v>
      </c>
      <c r="L10" s="64">
        <f t="shared" si="1"/>
        <v>523189</v>
      </c>
      <c r="M10" s="106"/>
      <c r="N10" s="106"/>
      <c r="O10" s="106"/>
      <c r="P10" s="64">
        <f t="shared" si="2"/>
        <v>2609743</v>
      </c>
      <c r="Q10" s="105"/>
    </row>
    <row r="11" spans="1:17" ht="23.1" customHeight="1" x14ac:dyDescent="0.15">
      <c r="C11" s="3" t="s">
        <v>913</v>
      </c>
      <c r="D11" s="103" t="s">
        <v>369</v>
      </c>
      <c r="E11" s="103" t="s">
        <v>1028</v>
      </c>
      <c r="F11" s="52" t="s">
        <v>764</v>
      </c>
      <c r="G11" s="105"/>
      <c r="H11" s="106">
        <f>'일위대가 (2)'!I268</f>
        <v>650535</v>
      </c>
      <c r="I11" s="64">
        <f t="shared" si="0"/>
        <v>650535</v>
      </c>
      <c r="J11" s="106"/>
      <c r="K11" s="106">
        <f>'일위대가 (2)'!L268</f>
        <v>325401</v>
      </c>
      <c r="L11" s="64">
        <f t="shared" si="1"/>
        <v>325401</v>
      </c>
      <c r="M11" s="106"/>
      <c r="N11" s="106"/>
      <c r="O11" s="106"/>
      <c r="P11" s="64">
        <f t="shared" si="2"/>
        <v>975936</v>
      </c>
      <c r="Q11" s="105"/>
    </row>
    <row r="12" spans="1:17" ht="23.1" customHeight="1" x14ac:dyDescent="0.15">
      <c r="C12" s="3" t="s">
        <v>914</v>
      </c>
      <c r="D12" s="103" t="s">
        <v>372</v>
      </c>
      <c r="E12" s="103" t="s">
        <v>1028</v>
      </c>
      <c r="F12" s="52" t="s">
        <v>764</v>
      </c>
      <c r="G12" s="105"/>
      <c r="H12" s="106">
        <f>'일위대가 (2)'!I286</f>
        <v>1069494</v>
      </c>
      <c r="I12" s="64">
        <f t="shared" si="0"/>
        <v>1069494</v>
      </c>
      <c r="J12" s="106"/>
      <c r="K12" s="106">
        <f>'일위대가 (2)'!L286</f>
        <v>352730</v>
      </c>
      <c r="L12" s="64">
        <f t="shared" si="1"/>
        <v>352730</v>
      </c>
      <c r="M12" s="106"/>
      <c r="N12" s="106"/>
      <c r="O12" s="106"/>
      <c r="P12" s="64">
        <f t="shared" si="2"/>
        <v>1422224</v>
      </c>
      <c r="Q12" s="105"/>
    </row>
    <row r="13" spans="1:17" ht="23.1" customHeight="1" x14ac:dyDescent="0.15">
      <c r="C13" s="3" t="s">
        <v>915</v>
      </c>
      <c r="D13" s="103" t="s">
        <v>1035</v>
      </c>
      <c r="E13" s="103" t="s">
        <v>1036</v>
      </c>
      <c r="F13" s="52" t="s">
        <v>764</v>
      </c>
      <c r="G13" s="105"/>
      <c r="H13" s="106">
        <f>'일위대가 (2)'!I307</f>
        <v>2729903</v>
      </c>
      <c r="I13" s="64">
        <f t="shared" si="0"/>
        <v>2729903</v>
      </c>
      <c r="J13" s="106"/>
      <c r="K13" s="106">
        <f>'일위대가 (2)'!L307</f>
        <v>442649</v>
      </c>
      <c r="L13" s="64">
        <f t="shared" si="1"/>
        <v>442649</v>
      </c>
      <c r="M13" s="106"/>
      <c r="N13" s="106"/>
      <c r="O13" s="106"/>
      <c r="P13" s="64">
        <f t="shared" si="2"/>
        <v>3172552</v>
      </c>
      <c r="Q13" s="105"/>
    </row>
    <row r="14" spans="1:17" ht="23.1" customHeight="1" x14ac:dyDescent="0.15">
      <c r="C14" s="3" t="s">
        <v>1050</v>
      </c>
      <c r="D14" s="103" t="s">
        <v>1051</v>
      </c>
      <c r="E14" s="78" t="s">
        <v>917</v>
      </c>
      <c r="F14" s="52" t="s">
        <v>764</v>
      </c>
      <c r="G14" s="105"/>
      <c r="H14" s="106">
        <f>'일위대가 (2)'!I327</f>
        <v>1412036</v>
      </c>
      <c r="I14" s="64">
        <f t="shared" si="0"/>
        <v>1412036</v>
      </c>
      <c r="J14" s="106"/>
      <c r="K14" s="106">
        <f>'일위대가 (2)'!L327</f>
        <v>248243</v>
      </c>
      <c r="L14" s="64">
        <f t="shared" si="1"/>
        <v>248243</v>
      </c>
      <c r="M14" s="106"/>
      <c r="N14" s="106"/>
      <c r="O14" s="106"/>
      <c r="P14" s="64">
        <f t="shared" si="2"/>
        <v>1660279</v>
      </c>
      <c r="Q14" s="105"/>
    </row>
    <row r="15" spans="1:17" ht="23.1" customHeight="1" x14ac:dyDescent="0.15">
      <c r="C15" s="103"/>
      <c r="D15" s="103"/>
      <c r="E15" s="103"/>
      <c r="F15" s="104"/>
      <c r="G15" s="105"/>
      <c r="H15" s="106"/>
      <c r="I15" s="64">
        <f t="shared" si="0"/>
        <v>0</v>
      </c>
      <c r="J15" s="106"/>
      <c r="K15" s="106"/>
      <c r="L15" s="64">
        <f t="shared" si="1"/>
        <v>0</v>
      </c>
      <c r="M15" s="106"/>
      <c r="N15" s="106"/>
      <c r="O15" s="106"/>
      <c r="P15" s="64">
        <f t="shared" si="2"/>
        <v>0</v>
      </c>
      <c r="Q15" s="105"/>
    </row>
    <row r="16" spans="1:17" ht="23.1" customHeight="1" x14ac:dyDescent="0.15">
      <c r="C16" s="103"/>
      <c r="D16" s="103"/>
      <c r="E16" s="103"/>
      <c r="F16" s="104"/>
      <c r="G16" s="105"/>
      <c r="H16" s="106"/>
      <c r="I16" s="106"/>
      <c r="J16" s="106"/>
      <c r="K16" s="106"/>
      <c r="L16" s="64">
        <f t="shared" si="1"/>
        <v>0</v>
      </c>
      <c r="M16" s="106"/>
      <c r="N16" s="106"/>
      <c r="O16" s="106"/>
      <c r="P16" s="64">
        <f t="shared" si="2"/>
        <v>0</v>
      </c>
      <c r="Q16" s="105"/>
    </row>
    <row r="17" spans="3:17" ht="23.1" customHeight="1" x14ac:dyDescent="0.15">
      <c r="C17" s="103"/>
      <c r="D17" s="103"/>
      <c r="E17" s="103"/>
      <c r="F17" s="104"/>
      <c r="G17" s="105"/>
      <c r="H17" s="106"/>
      <c r="I17" s="106"/>
      <c r="J17" s="106"/>
      <c r="K17" s="106"/>
      <c r="L17" s="106"/>
      <c r="M17" s="106"/>
      <c r="N17" s="106"/>
      <c r="O17" s="106"/>
      <c r="P17" s="106"/>
      <c r="Q17" s="105"/>
    </row>
    <row r="18" spans="3:17" ht="23.1" customHeight="1" x14ac:dyDescent="0.15">
      <c r="C18" s="103"/>
      <c r="D18" s="103"/>
      <c r="E18" s="103"/>
      <c r="F18" s="104"/>
      <c r="G18" s="105"/>
      <c r="H18" s="106"/>
      <c r="I18" s="106"/>
      <c r="J18" s="106"/>
      <c r="K18" s="106"/>
      <c r="L18" s="106"/>
      <c r="M18" s="106"/>
      <c r="N18" s="106"/>
      <c r="O18" s="106"/>
      <c r="P18" s="106"/>
      <c r="Q18" s="105"/>
    </row>
    <row r="19" spans="3:17" ht="23.1" customHeight="1" x14ac:dyDescent="0.15">
      <c r="C19" s="103"/>
      <c r="D19" s="103"/>
      <c r="E19" s="103"/>
      <c r="F19" s="104"/>
      <c r="G19" s="105"/>
      <c r="H19" s="106"/>
      <c r="I19" s="106"/>
      <c r="J19" s="106"/>
      <c r="K19" s="106"/>
      <c r="L19" s="106"/>
      <c r="M19" s="106"/>
      <c r="N19" s="106"/>
      <c r="O19" s="106"/>
      <c r="P19" s="106"/>
      <c r="Q19" s="105"/>
    </row>
    <row r="20" spans="3:17" ht="23.1" customHeight="1" x14ac:dyDescent="0.15">
      <c r="C20" s="103"/>
      <c r="D20" s="103"/>
      <c r="E20" s="103"/>
      <c r="F20" s="104"/>
      <c r="G20" s="105"/>
      <c r="H20" s="106"/>
      <c r="I20" s="106"/>
      <c r="J20" s="106"/>
      <c r="K20" s="106"/>
      <c r="L20" s="106"/>
      <c r="M20" s="106"/>
      <c r="N20" s="106"/>
      <c r="O20" s="106"/>
      <c r="P20" s="106"/>
      <c r="Q20" s="105"/>
    </row>
    <row r="21" spans="3:17" ht="23.1" customHeight="1" x14ac:dyDescent="0.15">
      <c r="C21" s="103"/>
      <c r="D21" s="103"/>
      <c r="E21" s="103"/>
      <c r="F21" s="104"/>
      <c r="G21" s="105"/>
      <c r="H21" s="106"/>
      <c r="I21" s="106"/>
      <c r="J21" s="106"/>
      <c r="K21" s="106"/>
      <c r="L21" s="106"/>
      <c r="M21" s="106"/>
      <c r="N21" s="106"/>
      <c r="O21" s="106"/>
      <c r="P21" s="106"/>
      <c r="Q21" s="105"/>
    </row>
    <row r="22" spans="3:17" ht="23.1" customHeight="1" x14ac:dyDescent="0.15">
      <c r="C22" s="103"/>
      <c r="D22" s="103"/>
      <c r="E22" s="103"/>
      <c r="F22" s="104"/>
      <c r="G22" s="105"/>
      <c r="H22" s="106"/>
      <c r="I22" s="106"/>
      <c r="J22" s="106"/>
      <c r="K22" s="106"/>
      <c r="L22" s="106"/>
      <c r="M22" s="106"/>
      <c r="N22" s="106"/>
      <c r="O22" s="106"/>
      <c r="P22" s="106"/>
      <c r="Q22" s="105"/>
    </row>
    <row r="23" spans="3:17" ht="23.1" customHeight="1" x14ac:dyDescent="0.15">
      <c r="C23" s="103"/>
      <c r="D23" s="103"/>
      <c r="E23" s="103"/>
      <c r="F23" s="104"/>
      <c r="G23" s="105"/>
      <c r="H23" s="106"/>
      <c r="I23" s="106"/>
      <c r="J23" s="106"/>
      <c r="K23" s="106"/>
      <c r="L23" s="106"/>
      <c r="M23" s="106"/>
      <c r="N23" s="106"/>
      <c r="O23" s="106"/>
      <c r="P23" s="106"/>
      <c r="Q23" s="105"/>
    </row>
    <row r="24" spans="3:17" ht="23.1" customHeight="1" x14ac:dyDescent="0.15">
      <c r="C24" s="103"/>
      <c r="D24" s="103"/>
      <c r="E24" s="103"/>
      <c r="F24" s="104"/>
      <c r="G24" s="105"/>
      <c r="H24" s="106"/>
      <c r="I24" s="106"/>
      <c r="J24" s="106"/>
      <c r="K24" s="106"/>
      <c r="L24" s="106"/>
      <c r="M24" s="106"/>
      <c r="N24" s="106"/>
      <c r="O24" s="106"/>
      <c r="P24" s="106"/>
      <c r="Q24" s="105"/>
    </row>
    <row r="25" spans="3:17" ht="23.1" customHeight="1" x14ac:dyDescent="0.15">
      <c r="C25" s="103"/>
      <c r="D25" s="103"/>
      <c r="E25" s="103"/>
      <c r="F25" s="104"/>
      <c r="G25" s="105"/>
      <c r="H25" s="106"/>
      <c r="I25" s="106"/>
      <c r="J25" s="106"/>
      <c r="K25" s="106"/>
      <c r="L25" s="106"/>
      <c r="M25" s="106"/>
      <c r="N25" s="106"/>
      <c r="O25" s="106"/>
      <c r="P25" s="106"/>
      <c r="Q25" s="105"/>
    </row>
    <row r="26" spans="3:17" ht="23.1" customHeight="1" x14ac:dyDescent="0.15">
      <c r="C26" s="103"/>
      <c r="D26" s="103"/>
      <c r="E26" s="103"/>
      <c r="F26" s="104"/>
      <c r="G26" s="105"/>
      <c r="H26" s="106"/>
      <c r="I26" s="106"/>
      <c r="J26" s="106"/>
      <c r="K26" s="106"/>
      <c r="L26" s="106"/>
      <c r="M26" s="106"/>
      <c r="N26" s="106"/>
      <c r="O26" s="106"/>
      <c r="P26" s="106"/>
      <c r="Q26" s="105"/>
    </row>
    <row r="27" spans="3:17" ht="23.1" customHeight="1" x14ac:dyDescent="0.15">
      <c r="C27" s="103"/>
      <c r="D27" s="103"/>
      <c r="E27" s="103"/>
      <c r="F27" s="104"/>
      <c r="G27" s="105"/>
      <c r="H27" s="106"/>
      <c r="I27" s="106"/>
      <c r="J27" s="106"/>
      <c r="K27" s="106"/>
      <c r="L27" s="106"/>
      <c r="M27" s="106"/>
      <c r="N27" s="106"/>
      <c r="O27" s="106"/>
      <c r="P27" s="106"/>
      <c r="Q27" s="105"/>
    </row>
    <row r="28" spans="3:17" ht="23.1" customHeight="1" x14ac:dyDescent="0.15">
      <c r="C28" s="103"/>
      <c r="D28" s="103"/>
      <c r="E28" s="103"/>
      <c r="F28" s="104"/>
      <c r="G28" s="105"/>
      <c r="H28" s="106"/>
      <c r="I28" s="106"/>
      <c r="J28" s="106"/>
      <c r="K28" s="106"/>
      <c r="L28" s="106"/>
      <c r="M28" s="106"/>
      <c r="N28" s="106"/>
      <c r="O28" s="106"/>
      <c r="P28" s="106"/>
      <c r="Q28" s="105"/>
    </row>
    <row r="29" spans="3:17" ht="23.1" customHeight="1" x14ac:dyDescent="0.15">
      <c r="C29" s="103"/>
      <c r="D29" s="103"/>
      <c r="E29" s="103"/>
      <c r="F29" s="104"/>
      <c r="G29" s="105"/>
      <c r="H29" s="106"/>
      <c r="I29" s="106"/>
      <c r="J29" s="106"/>
      <c r="K29" s="106"/>
      <c r="L29" s="106"/>
      <c r="M29" s="106"/>
      <c r="N29" s="106"/>
      <c r="O29" s="106"/>
      <c r="P29" s="106"/>
      <c r="Q29" s="105"/>
    </row>
  </sheetData>
  <mergeCells count="13">
    <mergeCell ref="M2:N2"/>
    <mergeCell ref="P2:P3"/>
    <mergeCell ref="Q2:Q3"/>
    <mergeCell ref="C1:Q1"/>
    <mergeCell ref="A2:A3"/>
    <mergeCell ref="B2:B3"/>
    <mergeCell ref="C2:C3"/>
    <mergeCell ref="D2:D3"/>
    <mergeCell ref="E2:E3"/>
    <mergeCell ref="F2:F3"/>
    <mergeCell ref="G2:G3"/>
    <mergeCell ref="H2:I2"/>
    <mergeCell ref="J2:L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E347"/>
  <sheetViews>
    <sheetView view="pageBreakPreview" topLeftCell="D1" zoomScale="85" zoomScaleNormal="100" zoomScaleSheetLayoutView="85" workbookViewId="0">
      <pane ySplit="3" topLeftCell="A82" activePane="bottomLeft" state="frozen"/>
      <selection activeCell="E9" sqref="E9"/>
      <selection pane="bottomLeft" activeCell="D2" sqref="D2:D3"/>
    </sheetView>
  </sheetViews>
  <sheetFormatPr defaultRowHeight="23.25" customHeight="1" x14ac:dyDescent="0.15"/>
  <cols>
    <col min="1" max="1" width="11.5546875" style="21" hidden="1" customWidth="1"/>
    <col min="2" max="2" width="10.77734375" style="21" hidden="1" customWidth="1"/>
    <col min="3" max="3" width="11.109375" style="1" hidden="1" customWidth="1"/>
    <col min="4" max="4" width="24.33203125" style="21" customWidth="1"/>
    <col min="5" max="5" width="25.33203125" style="21" customWidth="1"/>
    <col min="6" max="6" width="4.21875" style="51" customWidth="1"/>
    <col min="7" max="7" width="8.33203125" style="47" customWidth="1"/>
    <col min="8" max="8" width="11.88671875" style="47" customWidth="1"/>
    <col min="9" max="9" width="12.44140625" style="47" customWidth="1"/>
    <col min="10" max="10" width="6.6640625" style="47" customWidth="1"/>
    <col min="11" max="12" width="11.44140625" style="47" customWidth="1"/>
    <col min="13" max="13" width="6.33203125" style="47" customWidth="1"/>
    <col min="14" max="14" width="8.5546875" style="47" customWidth="1"/>
    <col min="15" max="15" width="9.109375" style="47" hidden="1" customWidth="1"/>
    <col min="16" max="16" width="11" style="47" customWidth="1"/>
    <col min="17" max="17" width="11.5546875" style="21" customWidth="1"/>
    <col min="18" max="16384" width="8.88671875" style="2"/>
  </cols>
  <sheetData>
    <row r="1" spans="1:31" ht="23.25" customHeight="1" x14ac:dyDescent="0.15">
      <c r="A1" s="97" t="s">
        <v>473</v>
      </c>
      <c r="B1" s="21" t="s">
        <v>481</v>
      </c>
      <c r="D1" s="287" t="s">
        <v>1139</v>
      </c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W1" s="277" t="s">
        <v>773</v>
      </c>
      <c r="X1" s="277"/>
      <c r="Y1" s="277"/>
      <c r="Z1" s="136"/>
      <c r="AA1" s="136" t="s">
        <v>774</v>
      </c>
      <c r="AB1" s="136"/>
      <c r="AC1" s="136"/>
      <c r="AD1" s="136"/>
      <c r="AE1" s="136"/>
    </row>
    <row r="2" spans="1:31" s="137" customFormat="1" ht="23.25" customHeight="1" x14ac:dyDescent="0.15">
      <c r="A2" s="270" t="s">
        <v>748</v>
      </c>
      <c r="B2" s="270" t="s">
        <v>775</v>
      </c>
      <c r="C2" s="273" t="s">
        <v>750</v>
      </c>
      <c r="D2" s="271" t="s">
        <v>751</v>
      </c>
      <c r="E2" s="271" t="s">
        <v>752</v>
      </c>
      <c r="F2" s="274" t="s">
        <v>753</v>
      </c>
      <c r="G2" s="274" t="s">
        <v>754</v>
      </c>
      <c r="H2" s="274" t="s">
        <v>755</v>
      </c>
      <c r="I2" s="274"/>
      <c r="J2" s="274" t="s">
        <v>756</v>
      </c>
      <c r="K2" s="274"/>
      <c r="L2" s="274"/>
      <c r="M2" s="274" t="s">
        <v>757</v>
      </c>
      <c r="N2" s="274"/>
      <c r="O2" s="133"/>
      <c r="P2" s="274" t="s">
        <v>758</v>
      </c>
      <c r="Q2" s="271" t="s">
        <v>759</v>
      </c>
      <c r="W2" s="137" t="s">
        <v>776</v>
      </c>
      <c r="X2" s="137" t="s">
        <v>777</v>
      </c>
      <c r="Y2" s="137" t="s">
        <v>778</v>
      </c>
      <c r="Z2" s="137" t="s">
        <v>779</v>
      </c>
      <c r="AA2" s="66" t="s">
        <v>780</v>
      </c>
      <c r="AB2" s="66" t="s">
        <v>781</v>
      </c>
      <c r="AC2" s="66" t="s">
        <v>782</v>
      </c>
      <c r="AD2" s="66" t="s">
        <v>783</v>
      </c>
      <c r="AE2" s="66" t="s">
        <v>776</v>
      </c>
    </row>
    <row r="3" spans="1:31" s="137" customFormat="1" ht="23.25" customHeight="1" x14ac:dyDescent="0.15">
      <c r="A3" s="270"/>
      <c r="B3" s="270"/>
      <c r="C3" s="273"/>
      <c r="D3" s="272"/>
      <c r="E3" s="272"/>
      <c r="F3" s="275"/>
      <c r="G3" s="275"/>
      <c r="H3" s="134" t="s">
        <v>760</v>
      </c>
      <c r="I3" s="134" t="s">
        <v>761</v>
      </c>
      <c r="J3" s="134" t="s">
        <v>754</v>
      </c>
      <c r="K3" s="134" t="s">
        <v>760</v>
      </c>
      <c r="L3" s="134" t="s">
        <v>761</v>
      </c>
      <c r="M3" s="134" t="s">
        <v>760</v>
      </c>
      <c r="N3" s="134" t="s">
        <v>761</v>
      </c>
      <c r="O3" s="134" t="s">
        <v>760</v>
      </c>
      <c r="P3" s="275"/>
      <c r="Q3" s="272"/>
      <c r="W3" s="2"/>
      <c r="X3" s="2"/>
      <c r="Y3" s="2"/>
      <c r="Z3" s="2"/>
      <c r="AA3" s="63"/>
      <c r="AB3" s="63"/>
      <c r="AC3" s="63"/>
      <c r="AD3" s="63">
        <v>1</v>
      </c>
      <c r="AE3" s="63">
        <v>1</v>
      </c>
    </row>
    <row r="4" spans="1:31" ht="23.25" customHeight="1" x14ac:dyDescent="0.15">
      <c r="A4" s="21" t="s">
        <v>482</v>
      </c>
      <c r="B4" s="21" t="s">
        <v>487</v>
      </c>
      <c r="C4" s="1" t="s">
        <v>483</v>
      </c>
      <c r="D4" s="264" t="s">
        <v>1014</v>
      </c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6"/>
    </row>
    <row r="5" spans="1:31" ht="23.25" customHeight="1" x14ac:dyDescent="0.15">
      <c r="A5" s="21" t="s">
        <v>488</v>
      </c>
      <c r="B5" s="21" t="s">
        <v>483</v>
      </c>
      <c r="C5" s="1" t="s">
        <v>220</v>
      </c>
      <c r="D5" s="78" t="s">
        <v>216</v>
      </c>
      <c r="E5" s="78" t="s">
        <v>221</v>
      </c>
      <c r="F5" s="52" t="s">
        <v>172</v>
      </c>
      <c r="G5" s="49">
        <v>0.25</v>
      </c>
      <c r="H5" s="49">
        <f>[2]합산자재!H18</f>
        <v>6176</v>
      </c>
      <c r="I5" s="90">
        <f t="shared" ref="I5:I11" si="0">IF(G5*H5&lt;&gt;0, TRUNC(G5*H5,1),"")</f>
        <v>1544</v>
      </c>
      <c r="J5" s="49">
        <v>0.25</v>
      </c>
      <c r="K5" s="49">
        <f>[2]합산자재!I18</f>
        <v>0</v>
      </c>
      <c r="L5" s="90" t="str">
        <f t="shared" ref="L5:L11" si="1">IF(G5*K5&lt;&gt;0, TRUNC(G5*K5,1),"")</f>
        <v/>
      </c>
      <c r="M5" s="49">
        <f>[2]합산자재!J18</f>
        <v>0</v>
      </c>
      <c r="N5" s="90" t="str">
        <f t="shared" ref="N5:N11" si="2">IF(G5*M5&lt;&gt;0, TRUNC(G5*M5,1),"")</f>
        <v/>
      </c>
      <c r="O5" s="49"/>
      <c r="P5" s="49">
        <f t="shared" ref="P5:P12" si="3">IF(SUM(I5,L5,N5)&lt;&gt;0,TRUNC(SUM(I5,L5,N5),1),"")</f>
        <v>1544</v>
      </c>
      <c r="Q5" s="78"/>
    </row>
    <row r="6" spans="1:31" ht="23.25" customHeight="1" x14ac:dyDescent="0.15">
      <c r="A6" s="21" t="s">
        <v>489</v>
      </c>
      <c r="B6" s="21" t="s">
        <v>483</v>
      </c>
      <c r="C6" s="1" t="s">
        <v>241</v>
      </c>
      <c r="D6" s="78" t="s">
        <v>242</v>
      </c>
      <c r="E6" s="78" t="s">
        <v>243</v>
      </c>
      <c r="F6" s="52" t="s">
        <v>190</v>
      </c>
      <c r="G6" s="49">
        <v>2</v>
      </c>
      <c r="H6" s="49">
        <f>[2]합산자재!H25</f>
        <v>200</v>
      </c>
      <c r="I6" s="49">
        <f t="shared" si="0"/>
        <v>400</v>
      </c>
      <c r="J6" s="49">
        <v>2</v>
      </c>
      <c r="K6" s="49">
        <f>[2]합산자재!I25</f>
        <v>0</v>
      </c>
      <c r="L6" s="49" t="str">
        <f t="shared" si="1"/>
        <v/>
      </c>
      <c r="M6" s="49">
        <f>[2]합산자재!J25</f>
        <v>0</v>
      </c>
      <c r="N6" s="49" t="str">
        <f t="shared" si="2"/>
        <v/>
      </c>
      <c r="O6" s="49"/>
      <c r="P6" s="49">
        <f t="shared" si="3"/>
        <v>400</v>
      </c>
      <c r="Q6" s="78"/>
      <c r="Z6" s="2" t="s">
        <v>776</v>
      </c>
    </row>
    <row r="7" spans="1:31" ht="23.25" customHeight="1" x14ac:dyDescent="0.15">
      <c r="A7" s="21" t="s">
        <v>491</v>
      </c>
      <c r="B7" s="21" t="s">
        <v>483</v>
      </c>
      <c r="C7" s="1" t="s">
        <v>334</v>
      </c>
      <c r="D7" s="78" t="s">
        <v>335</v>
      </c>
      <c r="E7" s="78" t="s">
        <v>336</v>
      </c>
      <c r="F7" s="52" t="s">
        <v>190</v>
      </c>
      <c r="G7" s="49">
        <v>4</v>
      </c>
      <c r="H7" s="49">
        <f>[2]합산자재!H46</f>
        <v>28</v>
      </c>
      <c r="I7" s="49">
        <f t="shared" si="0"/>
        <v>112</v>
      </c>
      <c r="J7" s="49">
        <v>4</v>
      </c>
      <c r="K7" s="49">
        <f>[2]합산자재!I46</f>
        <v>0</v>
      </c>
      <c r="L7" s="49" t="str">
        <f t="shared" si="1"/>
        <v/>
      </c>
      <c r="M7" s="49">
        <f>[2]합산자재!J46</f>
        <v>0</v>
      </c>
      <c r="N7" s="49" t="str">
        <f t="shared" si="2"/>
        <v/>
      </c>
      <c r="O7" s="49"/>
      <c r="P7" s="49">
        <f t="shared" si="3"/>
        <v>112</v>
      </c>
      <c r="Q7" s="78"/>
    </row>
    <row r="8" spans="1:31" ht="23.25" customHeight="1" x14ac:dyDescent="0.15">
      <c r="A8" s="21" t="s">
        <v>492</v>
      </c>
      <c r="B8" s="21" t="s">
        <v>483</v>
      </c>
      <c r="C8" s="1" t="s">
        <v>338</v>
      </c>
      <c r="D8" s="78" t="s">
        <v>339</v>
      </c>
      <c r="E8" s="78" t="s">
        <v>340</v>
      </c>
      <c r="F8" s="52" t="s">
        <v>238</v>
      </c>
      <c r="G8" s="49">
        <v>4</v>
      </c>
      <c r="H8" s="49">
        <f>[2]합산자재!H47</f>
        <v>9</v>
      </c>
      <c r="I8" s="49">
        <f t="shared" si="0"/>
        <v>36</v>
      </c>
      <c r="J8" s="49">
        <v>4</v>
      </c>
      <c r="K8" s="49">
        <f>[2]합산자재!I47</f>
        <v>0</v>
      </c>
      <c r="L8" s="49" t="str">
        <f t="shared" si="1"/>
        <v/>
      </c>
      <c r="M8" s="49">
        <f>[2]합산자재!J47</f>
        <v>0</v>
      </c>
      <c r="N8" s="49" t="str">
        <f t="shared" si="2"/>
        <v/>
      </c>
      <c r="O8" s="49"/>
      <c r="P8" s="49">
        <f t="shared" si="3"/>
        <v>36</v>
      </c>
      <c r="Q8" s="78"/>
    </row>
    <row r="9" spans="1:31" ht="23.25" customHeight="1" x14ac:dyDescent="0.15">
      <c r="A9" s="21" t="s">
        <v>493</v>
      </c>
      <c r="B9" s="21" t="s">
        <v>483</v>
      </c>
      <c r="C9" s="1" t="s">
        <v>215</v>
      </c>
      <c r="D9" s="78" t="s">
        <v>216</v>
      </c>
      <c r="E9" s="78" t="s">
        <v>217</v>
      </c>
      <c r="F9" s="52" t="s">
        <v>190</v>
      </c>
      <c r="G9" s="49">
        <v>2</v>
      </c>
      <c r="H9" s="49">
        <f>[2]합산자재!H16</f>
        <v>373</v>
      </c>
      <c r="I9" s="49">
        <f t="shared" si="0"/>
        <v>746</v>
      </c>
      <c r="J9" s="49">
        <v>2</v>
      </c>
      <c r="K9" s="49">
        <f>[2]합산자재!I16</f>
        <v>0</v>
      </c>
      <c r="L9" s="49" t="str">
        <f t="shared" si="1"/>
        <v/>
      </c>
      <c r="M9" s="49">
        <f>[2]합산자재!J16</f>
        <v>0</v>
      </c>
      <c r="N9" s="49" t="str">
        <f t="shared" si="2"/>
        <v/>
      </c>
      <c r="O9" s="49"/>
      <c r="P9" s="49">
        <f t="shared" si="3"/>
        <v>746</v>
      </c>
      <c r="Q9" s="78"/>
    </row>
    <row r="10" spans="1:31" ht="23.25" customHeight="1" x14ac:dyDescent="0.15">
      <c r="A10" s="21" t="s">
        <v>494</v>
      </c>
      <c r="B10" s="21" t="s">
        <v>483</v>
      </c>
      <c r="C10" s="1" t="s">
        <v>218</v>
      </c>
      <c r="D10" s="78" t="s">
        <v>216</v>
      </c>
      <c r="E10" s="78" t="s">
        <v>219</v>
      </c>
      <c r="F10" s="52" t="s">
        <v>190</v>
      </c>
      <c r="G10" s="49">
        <v>2</v>
      </c>
      <c r="H10" s="49">
        <f>[2]합산자재!H17</f>
        <v>750</v>
      </c>
      <c r="I10" s="49">
        <f t="shared" si="0"/>
        <v>1500</v>
      </c>
      <c r="J10" s="49">
        <v>2</v>
      </c>
      <c r="K10" s="49">
        <f>[2]합산자재!I17</f>
        <v>0</v>
      </c>
      <c r="L10" s="49" t="str">
        <f t="shared" si="1"/>
        <v/>
      </c>
      <c r="M10" s="49">
        <f>[2]합산자재!J17</f>
        <v>0</v>
      </c>
      <c r="N10" s="49" t="str">
        <f t="shared" si="2"/>
        <v/>
      </c>
      <c r="O10" s="49"/>
      <c r="P10" s="49">
        <f t="shared" si="3"/>
        <v>1500</v>
      </c>
      <c r="Q10" s="78"/>
    </row>
    <row r="11" spans="1:31" ht="23.25" customHeight="1" x14ac:dyDescent="0.15">
      <c r="A11" s="21" t="s">
        <v>479</v>
      </c>
      <c r="B11" s="21" t="s">
        <v>483</v>
      </c>
      <c r="C11" s="1" t="s">
        <v>458</v>
      </c>
      <c r="D11" s="78" t="s">
        <v>459</v>
      </c>
      <c r="E11" s="78" t="s">
        <v>460</v>
      </c>
      <c r="F11" s="52" t="s">
        <v>461</v>
      </c>
      <c r="G11" s="49">
        <f>'일위노임 (2)'!G6</f>
        <v>0.108</v>
      </c>
      <c r="H11" s="49">
        <f>[2]합산자재!H81</f>
        <v>0</v>
      </c>
      <c r="I11" s="49" t="str">
        <f t="shared" si="0"/>
        <v/>
      </c>
      <c r="J11" s="49">
        <v>0.108</v>
      </c>
      <c r="K11" s="49">
        <f>[2]합산자재!I81</f>
        <v>273676</v>
      </c>
      <c r="L11" s="49">
        <f t="shared" si="1"/>
        <v>29557</v>
      </c>
      <c r="M11" s="49">
        <f>[2]합산자재!J81</f>
        <v>0</v>
      </c>
      <c r="N11" s="49" t="str">
        <f t="shared" si="2"/>
        <v/>
      </c>
      <c r="O11" s="49"/>
      <c r="P11" s="49">
        <f t="shared" si="3"/>
        <v>29557</v>
      </c>
      <c r="Q11" s="78"/>
      <c r="AE11" s="2">
        <f>L11</f>
        <v>29557</v>
      </c>
    </row>
    <row r="12" spans="1:31" ht="23.25" customHeight="1" x14ac:dyDescent="0.15">
      <c r="B12" s="21" t="s">
        <v>499</v>
      </c>
      <c r="D12" s="78" t="s">
        <v>500</v>
      </c>
      <c r="E12" s="78"/>
      <c r="F12" s="52"/>
      <c r="G12" s="49"/>
      <c r="H12" s="49"/>
      <c r="I12" s="49">
        <f>TRUNC(SUM(I4:I11))</f>
        <v>4338</v>
      </c>
      <c r="J12" s="49"/>
      <c r="K12" s="49"/>
      <c r="L12" s="49">
        <f>TRUNC(SUM(L4:L11))</f>
        <v>29557</v>
      </c>
      <c r="M12" s="49"/>
      <c r="N12" s="49">
        <f>TRUNC(SUM(N4:N11))</f>
        <v>0</v>
      </c>
      <c r="O12" s="49"/>
      <c r="P12" s="49">
        <f t="shared" si="3"/>
        <v>33895</v>
      </c>
      <c r="Q12" s="78"/>
      <c r="AC12" s="2">
        <f>TRUNC(AE12*[2]옵션!$B$36/100,1)</f>
        <v>886.7</v>
      </c>
      <c r="AD12" s="2">
        <f>TRUNC(SUM(L4:L11))</f>
        <v>29557</v>
      </c>
      <c r="AE12" s="2">
        <f>TRUNC(SUM(AE4:AE11))</f>
        <v>29557</v>
      </c>
    </row>
    <row r="13" spans="1:31" ht="23.25" customHeight="1" x14ac:dyDescent="0.15">
      <c r="B13" s="21" t="s">
        <v>487</v>
      </c>
      <c r="D13" s="264"/>
      <c r="E13" s="265"/>
      <c r="F13" s="265"/>
      <c r="G13" s="265"/>
      <c r="H13" s="265"/>
      <c r="I13" s="265"/>
      <c r="J13" s="265"/>
      <c r="K13" s="265"/>
      <c r="L13" s="265"/>
      <c r="M13" s="265"/>
      <c r="N13" s="265"/>
      <c r="O13" s="265"/>
      <c r="P13" s="265"/>
      <c r="Q13" s="266"/>
    </row>
    <row r="14" spans="1:31" ht="23.25" customHeight="1" x14ac:dyDescent="0.15">
      <c r="A14" s="21" t="s">
        <v>482</v>
      </c>
      <c r="B14" s="21" t="s">
        <v>487</v>
      </c>
      <c r="C14" s="1" t="s">
        <v>483</v>
      </c>
      <c r="D14" s="264" t="s">
        <v>1015</v>
      </c>
      <c r="E14" s="265"/>
      <c r="F14" s="265"/>
      <c r="G14" s="265"/>
      <c r="H14" s="265"/>
      <c r="I14" s="265"/>
      <c r="J14" s="265"/>
      <c r="K14" s="265"/>
      <c r="L14" s="265"/>
      <c r="M14" s="265"/>
      <c r="N14" s="265"/>
      <c r="O14" s="265"/>
      <c r="P14" s="265"/>
      <c r="Q14" s="266"/>
    </row>
    <row r="15" spans="1:31" ht="23.25" customHeight="1" x14ac:dyDescent="0.15">
      <c r="A15" s="21" t="s">
        <v>488</v>
      </c>
      <c r="B15" s="21" t="s">
        <v>483</v>
      </c>
      <c r="C15" s="1" t="s">
        <v>220</v>
      </c>
      <c r="D15" s="78" t="s">
        <v>1100</v>
      </c>
      <c r="E15" s="138" t="s">
        <v>784</v>
      </c>
      <c r="F15" s="52" t="s">
        <v>764</v>
      </c>
      <c r="G15" s="49">
        <v>1</v>
      </c>
      <c r="H15" s="139">
        <v>451440</v>
      </c>
      <c r="I15" s="90">
        <f t="shared" ref="I15:I29" si="4">IF(G15*H15&lt;&gt;0, TRUNC(G15*H15,1),"")</f>
        <v>451440</v>
      </c>
      <c r="J15" s="49">
        <f>G15</f>
        <v>1</v>
      </c>
      <c r="K15" s="49">
        <f>[2]합산자재!I23</f>
        <v>0</v>
      </c>
      <c r="L15" s="90" t="str">
        <f t="shared" ref="L15:L29" si="5">IF(G15*K15&lt;&gt;0, TRUNC(G15*K15,1),"")</f>
        <v/>
      </c>
      <c r="M15" s="49">
        <f>[2]합산자재!J23</f>
        <v>0</v>
      </c>
      <c r="N15" s="90" t="str">
        <f t="shared" ref="N15:N29" si="6">IF(G15*M15&lt;&gt;0, TRUNC(G15*M15,1),"")</f>
        <v/>
      </c>
      <c r="O15" s="49"/>
      <c r="P15" s="49">
        <f t="shared" ref="P15:P30" si="7">IF(SUM(I15,L15,N15)&lt;&gt;0,TRUNC(SUM(I15,L15,N15),1),"")</f>
        <v>451440</v>
      </c>
      <c r="Q15" s="78"/>
    </row>
    <row r="16" spans="1:31" ht="23.25" customHeight="1" x14ac:dyDescent="0.15">
      <c r="A16" s="21" t="s">
        <v>489</v>
      </c>
      <c r="B16" s="21" t="s">
        <v>483</v>
      </c>
      <c r="C16" s="1" t="s">
        <v>241</v>
      </c>
      <c r="D16" s="78" t="s">
        <v>785</v>
      </c>
      <c r="E16" s="138" t="s">
        <v>786</v>
      </c>
      <c r="F16" s="52" t="s">
        <v>787</v>
      </c>
      <c r="G16" s="49">
        <v>1</v>
      </c>
      <c r="H16" s="139">
        <v>2475</v>
      </c>
      <c r="I16" s="49">
        <f t="shared" si="4"/>
        <v>2475</v>
      </c>
      <c r="J16" s="49">
        <f t="shared" ref="J16:J25" si="8">G16</f>
        <v>1</v>
      </c>
      <c r="K16" s="49">
        <f>[2]합산자재!I30</f>
        <v>0</v>
      </c>
      <c r="L16" s="49" t="str">
        <f t="shared" si="5"/>
        <v/>
      </c>
      <c r="M16" s="49">
        <f>[2]합산자재!J30</f>
        <v>0</v>
      </c>
      <c r="N16" s="49" t="str">
        <f t="shared" si="6"/>
        <v/>
      </c>
      <c r="O16" s="49"/>
      <c r="P16" s="49">
        <f t="shared" si="7"/>
        <v>2475</v>
      </c>
      <c r="Q16" s="78"/>
      <c r="Z16" s="2" t="s">
        <v>490</v>
      </c>
    </row>
    <row r="17" spans="1:31" ht="23.25" customHeight="1" x14ac:dyDescent="0.15">
      <c r="A17" s="21" t="s">
        <v>491</v>
      </c>
      <c r="B17" s="21" t="s">
        <v>483</v>
      </c>
      <c r="C17" s="1" t="s">
        <v>334</v>
      </c>
      <c r="D17" s="78" t="s">
        <v>785</v>
      </c>
      <c r="E17" s="138" t="s">
        <v>788</v>
      </c>
      <c r="F17" s="52" t="s">
        <v>787</v>
      </c>
      <c r="G17" s="49">
        <v>13</v>
      </c>
      <c r="H17" s="139">
        <v>220</v>
      </c>
      <c r="I17" s="49">
        <f t="shared" si="4"/>
        <v>2860</v>
      </c>
      <c r="J17" s="49">
        <f t="shared" si="8"/>
        <v>13</v>
      </c>
      <c r="K17" s="49">
        <f>[2]합산자재!I51</f>
        <v>0</v>
      </c>
      <c r="L17" s="49" t="str">
        <f t="shared" si="5"/>
        <v/>
      </c>
      <c r="M17" s="49">
        <f>[2]합산자재!J51</f>
        <v>0</v>
      </c>
      <c r="N17" s="49" t="str">
        <f t="shared" si="6"/>
        <v/>
      </c>
      <c r="O17" s="49"/>
      <c r="P17" s="49">
        <f t="shared" si="7"/>
        <v>2860</v>
      </c>
      <c r="Q17" s="78"/>
    </row>
    <row r="18" spans="1:31" ht="23.25" customHeight="1" x14ac:dyDescent="0.15">
      <c r="A18" s="21" t="s">
        <v>492</v>
      </c>
      <c r="B18" s="21" t="s">
        <v>483</v>
      </c>
      <c r="C18" s="1" t="s">
        <v>338</v>
      </c>
      <c r="D18" s="78" t="s">
        <v>789</v>
      </c>
      <c r="E18" s="138" t="s">
        <v>790</v>
      </c>
      <c r="F18" s="52" t="s">
        <v>787</v>
      </c>
      <c r="G18" s="49">
        <v>1</v>
      </c>
      <c r="H18" s="139">
        <v>2343</v>
      </c>
      <c r="I18" s="49">
        <f t="shared" si="4"/>
        <v>2343</v>
      </c>
      <c r="J18" s="49">
        <f t="shared" si="8"/>
        <v>1</v>
      </c>
      <c r="K18" s="49">
        <v>0</v>
      </c>
      <c r="L18" s="49" t="str">
        <f t="shared" si="5"/>
        <v/>
      </c>
      <c r="M18" s="49">
        <f>[2]합산자재!J52</f>
        <v>0</v>
      </c>
      <c r="N18" s="49" t="str">
        <f t="shared" si="6"/>
        <v/>
      </c>
      <c r="O18" s="49"/>
      <c r="P18" s="49">
        <f t="shared" si="7"/>
        <v>2343</v>
      </c>
      <c r="Q18" s="78"/>
    </row>
    <row r="19" spans="1:31" ht="23.25" customHeight="1" x14ac:dyDescent="0.15">
      <c r="A19" s="21" t="s">
        <v>493</v>
      </c>
      <c r="B19" s="21" t="s">
        <v>483</v>
      </c>
      <c r="C19" s="1" t="s">
        <v>215</v>
      </c>
      <c r="D19" s="78" t="s">
        <v>791</v>
      </c>
      <c r="E19" s="138" t="s">
        <v>792</v>
      </c>
      <c r="F19" s="52" t="s">
        <v>787</v>
      </c>
      <c r="G19" s="49">
        <v>1</v>
      </c>
      <c r="H19" s="139">
        <v>11500</v>
      </c>
      <c r="I19" s="49">
        <f t="shared" si="4"/>
        <v>11500</v>
      </c>
      <c r="J19" s="49">
        <f t="shared" si="8"/>
        <v>1</v>
      </c>
      <c r="K19" s="49">
        <f>[2]합산자재!I21</f>
        <v>0</v>
      </c>
      <c r="L19" s="49" t="str">
        <f t="shared" si="5"/>
        <v/>
      </c>
      <c r="M19" s="49">
        <f>[2]합산자재!J21</f>
        <v>0</v>
      </c>
      <c r="N19" s="49" t="str">
        <f t="shared" si="6"/>
        <v/>
      </c>
      <c r="O19" s="49"/>
      <c r="P19" s="49">
        <f t="shared" si="7"/>
        <v>11500</v>
      </c>
      <c r="Q19" s="78"/>
    </row>
    <row r="20" spans="1:31" ht="23.25" customHeight="1" x14ac:dyDescent="0.15">
      <c r="A20" s="21" t="s">
        <v>494</v>
      </c>
      <c r="B20" s="21" t="s">
        <v>483</v>
      </c>
      <c r="C20" s="1" t="s">
        <v>218</v>
      </c>
      <c r="D20" s="78" t="s">
        <v>919</v>
      </c>
      <c r="E20" s="138" t="s">
        <v>921</v>
      </c>
      <c r="F20" s="52" t="s">
        <v>922</v>
      </c>
      <c r="G20" s="49">
        <v>2.2000000000000002</v>
      </c>
      <c r="H20" s="139">
        <v>14000</v>
      </c>
      <c r="I20" s="49">
        <f t="shared" si="4"/>
        <v>30800</v>
      </c>
      <c r="J20" s="49">
        <f t="shared" si="8"/>
        <v>2.2000000000000002</v>
      </c>
      <c r="K20" s="49">
        <f>[2]합산자재!I22</f>
        <v>0</v>
      </c>
      <c r="L20" s="49" t="str">
        <f t="shared" si="5"/>
        <v/>
      </c>
      <c r="M20" s="49">
        <f>[2]합산자재!J22</f>
        <v>0</v>
      </c>
      <c r="N20" s="49" t="str">
        <f t="shared" si="6"/>
        <v/>
      </c>
      <c r="O20" s="49"/>
      <c r="P20" s="49">
        <f t="shared" si="7"/>
        <v>30800</v>
      </c>
      <c r="Q20" s="78"/>
    </row>
    <row r="21" spans="1:31" ht="23.25" customHeight="1" x14ac:dyDescent="0.15">
      <c r="A21" s="21" t="s">
        <v>488</v>
      </c>
      <c r="B21" s="21" t="s">
        <v>483</v>
      </c>
      <c r="C21" s="1" t="s">
        <v>220</v>
      </c>
      <c r="D21" s="78" t="s">
        <v>923</v>
      </c>
      <c r="E21" s="138" t="s">
        <v>793</v>
      </c>
      <c r="F21" s="52" t="s">
        <v>172</v>
      </c>
      <c r="G21" s="49">
        <v>2.88</v>
      </c>
      <c r="H21" s="139">
        <v>14000</v>
      </c>
      <c r="I21" s="90">
        <f t="shared" si="4"/>
        <v>40320</v>
      </c>
      <c r="J21" s="49">
        <f t="shared" si="8"/>
        <v>2.88</v>
      </c>
      <c r="K21" s="49">
        <f>[2]합산자재!I29</f>
        <v>0</v>
      </c>
      <c r="L21" s="90" t="str">
        <f t="shared" si="5"/>
        <v/>
      </c>
      <c r="M21" s="49">
        <f>[2]합산자재!J29</f>
        <v>0</v>
      </c>
      <c r="N21" s="90" t="str">
        <f t="shared" si="6"/>
        <v/>
      </c>
      <c r="O21" s="49"/>
      <c r="P21" s="49">
        <f t="shared" si="7"/>
        <v>40320</v>
      </c>
      <c r="Q21" s="78"/>
    </row>
    <row r="22" spans="1:31" ht="23.25" customHeight="1" x14ac:dyDescent="0.15">
      <c r="A22" s="21" t="s">
        <v>489</v>
      </c>
      <c r="B22" s="21" t="s">
        <v>483</v>
      </c>
      <c r="C22" s="1" t="s">
        <v>241</v>
      </c>
      <c r="D22" s="78" t="s">
        <v>925</v>
      </c>
      <c r="E22" s="138" t="s">
        <v>927</v>
      </c>
      <c r="F22" s="52" t="s">
        <v>172</v>
      </c>
      <c r="G22" s="49">
        <v>5.08</v>
      </c>
      <c r="H22" s="139">
        <v>1320</v>
      </c>
      <c r="I22" s="49">
        <f t="shared" si="4"/>
        <v>6705.6</v>
      </c>
      <c r="J22" s="49">
        <f t="shared" si="8"/>
        <v>5.08</v>
      </c>
      <c r="K22" s="49">
        <f>[2]합산자재!I36</f>
        <v>0</v>
      </c>
      <c r="L22" s="49" t="str">
        <f t="shared" si="5"/>
        <v/>
      </c>
      <c r="M22" s="49">
        <f>[2]합산자재!J36</f>
        <v>0</v>
      </c>
      <c r="N22" s="49" t="str">
        <f t="shared" si="6"/>
        <v/>
      </c>
      <c r="O22" s="49"/>
      <c r="P22" s="49">
        <f t="shared" si="7"/>
        <v>6705.6</v>
      </c>
      <c r="Q22" s="78"/>
      <c r="Z22" s="2" t="s">
        <v>490</v>
      </c>
    </row>
    <row r="23" spans="1:31" ht="23.25" customHeight="1" x14ac:dyDescent="0.15">
      <c r="A23" s="21" t="s">
        <v>491</v>
      </c>
      <c r="B23" s="21" t="s">
        <v>483</v>
      </c>
      <c r="C23" s="1" t="s">
        <v>334</v>
      </c>
      <c r="D23" s="78" t="s">
        <v>795</v>
      </c>
      <c r="E23" s="140"/>
      <c r="F23" s="52" t="s">
        <v>796</v>
      </c>
      <c r="G23" s="49">
        <v>2.0299999999999998</v>
      </c>
      <c r="H23" s="139">
        <v>1980</v>
      </c>
      <c r="I23" s="49">
        <f t="shared" si="4"/>
        <v>4019.4</v>
      </c>
      <c r="J23" s="49">
        <f t="shared" si="8"/>
        <v>2.0299999999999998</v>
      </c>
      <c r="K23" s="49">
        <f>[2]합산자재!I57</f>
        <v>0</v>
      </c>
      <c r="L23" s="49" t="str">
        <f t="shared" si="5"/>
        <v/>
      </c>
      <c r="M23" s="49">
        <f>[2]합산자재!J57</f>
        <v>0</v>
      </c>
      <c r="N23" s="49" t="str">
        <f t="shared" si="6"/>
        <v/>
      </c>
      <c r="O23" s="49"/>
      <c r="P23" s="49">
        <f t="shared" si="7"/>
        <v>4019.4</v>
      </c>
      <c r="Q23" s="78"/>
    </row>
    <row r="24" spans="1:31" ht="23.25" customHeight="1" x14ac:dyDescent="0.15">
      <c r="A24" s="21" t="s">
        <v>492</v>
      </c>
      <c r="B24" s="21" t="s">
        <v>483</v>
      </c>
      <c r="C24" s="1" t="s">
        <v>338</v>
      </c>
      <c r="D24" s="78" t="s">
        <v>929</v>
      </c>
      <c r="E24" s="140" t="s">
        <v>931</v>
      </c>
      <c r="F24" s="52" t="s">
        <v>787</v>
      </c>
      <c r="G24" s="49">
        <v>5</v>
      </c>
      <c r="H24" s="139">
        <v>75000</v>
      </c>
      <c r="I24" s="49">
        <f t="shared" si="4"/>
        <v>375000</v>
      </c>
      <c r="J24" s="49">
        <f t="shared" si="8"/>
        <v>5</v>
      </c>
      <c r="K24" s="49">
        <f>[2]합산자재!I58</f>
        <v>0</v>
      </c>
      <c r="L24" s="49" t="str">
        <f t="shared" si="5"/>
        <v/>
      </c>
      <c r="M24" s="49">
        <f>[2]합산자재!J58</f>
        <v>0</v>
      </c>
      <c r="N24" s="49" t="str">
        <f t="shared" si="6"/>
        <v/>
      </c>
      <c r="O24" s="49"/>
      <c r="P24" s="49">
        <f t="shared" si="7"/>
        <v>375000</v>
      </c>
      <c r="Q24" s="78"/>
    </row>
    <row r="25" spans="1:31" ht="23.25" customHeight="1" x14ac:dyDescent="0.15">
      <c r="A25" s="21" t="s">
        <v>493</v>
      </c>
      <c r="B25" s="21" t="s">
        <v>483</v>
      </c>
      <c r="C25" s="1" t="s">
        <v>215</v>
      </c>
      <c r="D25" s="78" t="s">
        <v>932</v>
      </c>
      <c r="E25" s="140" t="s">
        <v>934</v>
      </c>
      <c r="F25" s="52" t="s">
        <v>787</v>
      </c>
      <c r="G25" s="49">
        <v>8</v>
      </c>
      <c r="H25" s="139">
        <v>18000</v>
      </c>
      <c r="I25" s="49">
        <f t="shared" si="4"/>
        <v>144000</v>
      </c>
      <c r="J25" s="49">
        <f t="shared" si="8"/>
        <v>8</v>
      </c>
      <c r="K25" s="49">
        <f>[2]합산자재!I27</f>
        <v>0</v>
      </c>
      <c r="L25" s="49" t="str">
        <f t="shared" si="5"/>
        <v/>
      </c>
      <c r="M25" s="49">
        <f>[2]합산자재!J27</f>
        <v>0</v>
      </c>
      <c r="N25" s="49" t="str">
        <f t="shared" si="6"/>
        <v/>
      </c>
      <c r="O25" s="49"/>
      <c r="P25" s="49">
        <f t="shared" si="7"/>
        <v>144000</v>
      </c>
      <c r="Q25" s="78"/>
    </row>
    <row r="26" spans="1:31" ht="23.25" customHeight="1" x14ac:dyDescent="0.15">
      <c r="A26" s="21" t="s">
        <v>479</v>
      </c>
      <c r="B26" s="21" t="s">
        <v>483</v>
      </c>
      <c r="C26" s="1" t="s">
        <v>458</v>
      </c>
      <c r="D26" s="78" t="s">
        <v>459</v>
      </c>
      <c r="E26" s="78" t="s">
        <v>799</v>
      </c>
      <c r="F26" s="52" t="s">
        <v>461</v>
      </c>
      <c r="G26" s="49">
        <f>J26</f>
        <v>0.50800000000000001</v>
      </c>
      <c r="H26" s="49">
        <f>[2]합산자재!H92</f>
        <v>0</v>
      </c>
      <c r="I26" s="49" t="str">
        <f t="shared" si="4"/>
        <v/>
      </c>
      <c r="J26" s="49">
        <f>'일위노임 (2)'!G16</f>
        <v>0.50800000000000001</v>
      </c>
      <c r="K26" s="49">
        <v>122522</v>
      </c>
      <c r="L26" s="49">
        <f t="shared" si="5"/>
        <v>62241.1</v>
      </c>
      <c r="M26" s="49">
        <f>[2]합산자재!J92</f>
        <v>0</v>
      </c>
      <c r="N26" s="49" t="str">
        <f t="shared" si="6"/>
        <v/>
      </c>
      <c r="O26" s="49"/>
      <c r="P26" s="49">
        <f t="shared" si="7"/>
        <v>62241.1</v>
      </c>
      <c r="Q26" s="78"/>
      <c r="AE26" s="2">
        <f>L26</f>
        <v>62241.1</v>
      </c>
    </row>
    <row r="27" spans="1:31" ht="23.25" customHeight="1" x14ac:dyDescent="0.15">
      <c r="A27" s="21" t="s">
        <v>479</v>
      </c>
      <c r="B27" s="21" t="s">
        <v>483</v>
      </c>
      <c r="C27" s="1" t="s">
        <v>458</v>
      </c>
      <c r="D27" s="78" t="s">
        <v>459</v>
      </c>
      <c r="E27" s="78" t="s">
        <v>800</v>
      </c>
      <c r="F27" s="52" t="s">
        <v>461</v>
      </c>
      <c r="G27" s="49">
        <f t="shared" ref="G27:G29" si="9">J27</f>
        <v>2.6900000000000004</v>
      </c>
      <c r="H27" s="49">
        <f>[2]합산자재!H93</f>
        <v>0</v>
      </c>
      <c r="I27" s="49" t="str">
        <f t="shared" si="4"/>
        <v/>
      </c>
      <c r="J27" s="49">
        <f>'일위노임 (2)'!G17</f>
        <v>2.6900000000000004</v>
      </c>
      <c r="K27" s="49">
        <v>99248</v>
      </c>
      <c r="L27" s="49">
        <f t="shared" si="5"/>
        <v>266977.09999999998</v>
      </c>
      <c r="M27" s="49">
        <f>[2]합산자재!J93</f>
        <v>0</v>
      </c>
      <c r="N27" s="49" t="str">
        <f t="shared" si="6"/>
        <v/>
      </c>
      <c r="O27" s="49"/>
      <c r="P27" s="49">
        <f t="shared" si="7"/>
        <v>266977.09999999998</v>
      </c>
      <c r="Q27" s="78"/>
      <c r="AE27" s="2">
        <f>L27</f>
        <v>266977.09999999998</v>
      </c>
    </row>
    <row r="28" spans="1:31" ht="23.25" customHeight="1" x14ac:dyDescent="0.15">
      <c r="A28" s="21" t="s">
        <v>479</v>
      </c>
      <c r="B28" s="21" t="s">
        <v>483</v>
      </c>
      <c r="C28" s="1" t="s">
        <v>458</v>
      </c>
      <c r="D28" s="78" t="s">
        <v>459</v>
      </c>
      <c r="E28" s="78" t="s">
        <v>801</v>
      </c>
      <c r="F28" s="52" t="s">
        <v>461</v>
      </c>
      <c r="G28" s="49">
        <f t="shared" si="9"/>
        <v>0</v>
      </c>
      <c r="H28" s="49">
        <f>[2]합산자재!H94</f>
        <v>0</v>
      </c>
      <c r="I28" s="49" t="str">
        <f t="shared" si="4"/>
        <v/>
      </c>
      <c r="J28" s="49">
        <v>0</v>
      </c>
      <c r="K28" s="49">
        <v>105323</v>
      </c>
      <c r="L28" s="49" t="str">
        <f t="shared" si="5"/>
        <v/>
      </c>
      <c r="M28" s="49">
        <f>[2]합산자재!J94</f>
        <v>0</v>
      </c>
      <c r="N28" s="49" t="str">
        <f t="shared" si="6"/>
        <v/>
      </c>
      <c r="O28" s="49"/>
      <c r="P28" s="49" t="str">
        <f t="shared" si="7"/>
        <v/>
      </c>
      <c r="Q28" s="78"/>
      <c r="AE28" s="2" t="str">
        <f>L28</f>
        <v/>
      </c>
    </row>
    <row r="29" spans="1:31" ht="23.25" customHeight="1" x14ac:dyDescent="0.15">
      <c r="A29" s="21" t="s">
        <v>479</v>
      </c>
      <c r="B29" s="21" t="s">
        <v>483</v>
      </c>
      <c r="C29" s="1" t="s">
        <v>458</v>
      </c>
      <c r="D29" s="78" t="s">
        <v>459</v>
      </c>
      <c r="E29" s="78" t="s">
        <v>802</v>
      </c>
      <c r="F29" s="52" t="s">
        <v>461</v>
      </c>
      <c r="G29" s="49">
        <f t="shared" si="9"/>
        <v>0.30479999999999996</v>
      </c>
      <c r="H29" s="49">
        <f>[2]합산자재!H95</f>
        <v>0</v>
      </c>
      <c r="I29" s="49" t="str">
        <f t="shared" si="4"/>
        <v/>
      </c>
      <c r="J29" s="49">
        <f>'일위노임 (2)'!G18</f>
        <v>0.30479999999999996</v>
      </c>
      <c r="K29" s="49">
        <v>90694</v>
      </c>
      <c r="L29" s="49">
        <f t="shared" si="5"/>
        <v>27643.5</v>
      </c>
      <c r="M29" s="49">
        <f>[2]합산자재!J95</f>
        <v>0</v>
      </c>
      <c r="N29" s="49" t="str">
        <f t="shared" si="6"/>
        <v/>
      </c>
      <c r="O29" s="49"/>
      <c r="P29" s="49">
        <f t="shared" si="7"/>
        <v>27643.5</v>
      </c>
      <c r="Q29" s="78"/>
      <c r="AE29" s="2">
        <f>L29</f>
        <v>27643.5</v>
      </c>
    </row>
    <row r="30" spans="1:31" ht="23.25" customHeight="1" x14ac:dyDescent="0.15">
      <c r="B30" s="21" t="s">
        <v>499</v>
      </c>
      <c r="D30" s="78" t="s">
        <v>500</v>
      </c>
      <c r="E30" s="78"/>
      <c r="F30" s="52"/>
      <c r="G30" s="49"/>
      <c r="H30" s="49"/>
      <c r="I30" s="49">
        <f>TRUNC(SUM(I14:I29))</f>
        <v>1071463</v>
      </c>
      <c r="J30" s="49"/>
      <c r="K30" s="49"/>
      <c r="L30" s="49">
        <f>TRUNC(SUM(L14:L29))</f>
        <v>356861</v>
      </c>
      <c r="M30" s="49"/>
      <c r="N30" s="49">
        <f>TRUNC(SUM(N14:N29))</f>
        <v>0</v>
      </c>
      <c r="O30" s="49"/>
      <c r="P30" s="49">
        <f t="shared" si="7"/>
        <v>1428324</v>
      </c>
      <c r="Q30" s="78"/>
      <c r="AC30" s="2">
        <f>TRUNC(AE30*[2]옵션!$B$36/100,1)</f>
        <v>10705.8</v>
      </c>
      <c r="AD30" s="2">
        <f>TRUNC(SUM(L14:L26))</f>
        <v>62241</v>
      </c>
      <c r="AE30" s="2">
        <f>TRUNC(SUM(AE14:AE29))</f>
        <v>356861</v>
      </c>
    </row>
    <row r="31" spans="1:31" ht="23.25" customHeight="1" x14ac:dyDescent="0.15">
      <c r="B31" s="21" t="s">
        <v>487</v>
      </c>
      <c r="D31" s="264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6"/>
    </row>
    <row r="32" spans="1:31" ht="23.25" customHeight="1" x14ac:dyDescent="0.15">
      <c r="A32" s="21" t="s">
        <v>482</v>
      </c>
      <c r="B32" s="21" t="s">
        <v>487</v>
      </c>
      <c r="C32" s="1" t="s">
        <v>483</v>
      </c>
      <c r="D32" s="264" t="s">
        <v>1016</v>
      </c>
      <c r="E32" s="265"/>
      <c r="F32" s="265"/>
      <c r="G32" s="265"/>
      <c r="H32" s="265"/>
      <c r="I32" s="265"/>
      <c r="J32" s="265"/>
      <c r="K32" s="265"/>
      <c r="L32" s="265"/>
      <c r="M32" s="265"/>
      <c r="N32" s="265"/>
      <c r="O32" s="265"/>
      <c r="P32" s="265"/>
      <c r="Q32" s="266"/>
    </row>
    <row r="33" spans="1:26" ht="23.25" customHeight="1" x14ac:dyDescent="0.15">
      <c r="A33" s="21" t="s">
        <v>488</v>
      </c>
      <c r="B33" s="21" t="s">
        <v>483</v>
      </c>
      <c r="C33" s="1" t="s">
        <v>220</v>
      </c>
      <c r="D33" s="140" t="s">
        <v>803</v>
      </c>
      <c r="E33" s="140" t="s">
        <v>804</v>
      </c>
      <c r="F33" s="141" t="s">
        <v>345</v>
      </c>
      <c r="G33" s="142">
        <v>1</v>
      </c>
      <c r="H33" s="143">
        <v>177154</v>
      </c>
      <c r="I33" s="90">
        <f t="shared" ref="I33:I56" si="10">IF(G33*H33&lt;&gt;0, TRUNC(G33*H33,1),"")</f>
        <v>177154</v>
      </c>
      <c r="J33" s="49">
        <f>G33</f>
        <v>1</v>
      </c>
      <c r="K33" s="49">
        <f>[2]합산자재!I42</f>
        <v>0</v>
      </c>
      <c r="L33" s="90" t="str">
        <f t="shared" ref="L33:L56" si="11">IF(G33*K33&lt;&gt;0, TRUNC(G33*K33,1),"")</f>
        <v/>
      </c>
      <c r="M33" s="49">
        <f>[2]합산자재!J42</f>
        <v>0</v>
      </c>
      <c r="N33" s="90" t="str">
        <f t="shared" ref="N33:N56" si="12">IF(G33*M33&lt;&gt;0, TRUNC(G33*M33,1),"")</f>
        <v/>
      </c>
      <c r="O33" s="49"/>
      <c r="P33" s="49">
        <f t="shared" ref="P33:P57" si="13">IF(SUM(I33,L33,N33)&lt;&gt;0,TRUNC(SUM(I33,L33,N33),1),"")</f>
        <v>177154</v>
      </c>
      <c r="Q33" s="78"/>
    </row>
    <row r="34" spans="1:26" ht="23.25" customHeight="1" x14ac:dyDescent="0.15">
      <c r="A34" s="21" t="s">
        <v>489</v>
      </c>
      <c r="B34" s="21" t="s">
        <v>483</v>
      </c>
      <c r="C34" s="1" t="s">
        <v>241</v>
      </c>
      <c r="D34" s="140" t="s">
        <v>805</v>
      </c>
      <c r="E34" s="140" t="s">
        <v>806</v>
      </c>
      <c r="F34" s="141" t="s">
        <v>345</v>
      </c>
      <c r="G34" s="142">
        <v>1</v>
      </c>
      <c r="H34" s="143">
        <v>246048</v>
      </c>
      <c r="I34" s="49">
        <f t="shared" si="10"/>
        <v>246048</v>
      </c>
      <c r="J34" s="49">
        <f t="shared" ref="J34:J52" si="14">G34</f>
        <v>1</v>
      </c>
      <c r="K34" s="49">
        <f>[2]합산자재!I49</f>
        <v>0</v>
      </c>
      <c r="L34" s="49" t="str">
        <f t="shared" si="11"/>
        <v/>
      </c>
      <c r="M34" s="49">
        <f>[2]합산자재!J49</f>
        <v>0</v>
      </c>
      <c r="N34" s="49" t="str">
        <f t="shared" si="12"/>
        <v/>
      </c>
      <c r="O34" s="49"/>
      <c r="P34" s="49">
        <f t="shared" si="13"/>
        <v>246048</v>
      </c>
      <c r="Q34" s="78"/>
      <c r="Z34" s="2" t="s">
        <v>490</v>
      </c>
    </row>
    <row r="35" spans="1:26" ht="23.25" customHeight="1" x14ac:dyDescent="0.15">
      <c r="A35" s="21" t="s">
        <v>491</v>
      </c>
      <c r="B35" s="21" t="s">
        <v>483</v>
      </c>
      <c r="C35" s="1" t="s">
        <v>334</v>
      </c>
      <c r="D35" s="140" t="s">
        <v>807</v>
      </c>
      <c r="E35" s="140" t="s">
        <v>786</v>
      </c>
      <c r="F35" s="141" t="s">
        <v>190</v>
      </c>
      <c r="G35" s="142">
        <v>1</v>
      </c>
      <c r="H35" s="143">
        <v>2475</v>
      </c>
      <c r="I35" s="49">
        <f t="shared" si="10"/>
        <v>2475</v>
      </c>
      <c r="J35" s="49">
        <f t="shared" si="14"/>
        <v>1</v>
      </c>
      <c r="K35" s="49">
        <f>[2]합산자재!I70</f>
        <v>0</v>
      </c>
      <c r="L35" s="49" t="str">
        <f t="shared" si="11"/>
        <v/>
      </c>
      <c r="M35" s="49">
        <f>[2]합산자재!J70</f>
        <v>0</v>
      </c>
      <c r="N35" s="49" t="str">
        <f t="shared" si="12"/>
        <v/>
      </c>
      <c r="O35" s="49"/>
      <c r="P35" s="49">
        <f t="shared" si="13"/>
        <v>2475</v>
      </c>
      <c r="Q35" s="78"/>
    </row>
    <row r="36" spans="1:26" ht="23.25" customHeight="1" x14ac:dyDescent="0.15">
      <c r="A36" s="21" t="s">
        <v>492</v>
      </c>
      <c r="B36" s="21" t="s">
        <v>483</v>
      </c>
      <c r="C36" s="1" t="s">
        <v>338</v>
      </c>
      <c r="D36" s="140" t="s">
        <v>807</v>
      </c>
      <c r="E36" s="140" t="s">
        <v>788</v>
      </c>
      <c r="F36" s="141" t="s">
        <v>190</v>
      </c>
      <c r="G36" s="142">
        <v>9</v>
      </c>
      <c r="H36" s="143">
        <v>220</v>
      </c>
      <c r="I36" s="49">
        <f t="shared" si="10"/>
        <v>1980</v>
      </c>
      <c r="J36" s="49">
        <f t="shared" si="14"/>
        <v>9</v>
      </c>
      <c r="K36" s="49">
        <v>0</v>
      </c>
      <c r="L36" s="49" t="str">
        <f t="shared" si="11"/>
        <v/>
      </c>
      <c r="M36" s="49">
        <f>[2]합산자재!J71</f>
        <v>0</v>
      </c>
      <c r="N36" s="49" t="str">
        <f t="shared" si="12"/>
        <v/>
      </c>
      <c r="O36" s="49"/>
      <c r="P36" s="49">
        <f t="shared" si="13"/>
        <v>1980</v>
      </c>
      <c r="Q36" s="78"/>
    </row>
    <row r="37" spans="1:26" ht="23.25" customHeight="1" x14ac:dyDescent="0.15">
      <c r="A37" s="21" t="s">
        <v>493</v>
      </c>
      <c r="B37" s="21" t="s">
        <v>483</v>
      </c>
      <c r="C37" s="1" t="s">
        <v>215</v>
      </c>
      <c r="D37" s="140" t="s">
        <v>808</v>
      </c>
      <c r="E37" s="140" t="s">
        <v>790</v>
      </c>
      <c r="F37" s="141" t="s">
        <v>190</v>
      </c>
      <c r="G37" s="142">
        <v>1</v>
      </c>
      <c r="H37" s="143">
        <v>2343</v>
      </c>
      <c r="I37" s="49">
        <f t="shared" si="10"/>
        <v>2343</v>
      </c>
      <c r="J37" s="49">
        <f t="shared" si="14"/>
        <v>1</v>
      </c>
      <c r="K37" s="49">
        <f>[2]합산자재!I40</f>
        <v>0</v>
      </c>
      <c r="L37" s="49" t="str">
        <f t="shared" si="11"/>
        <v/>
      </c>
      <c r="M37" s="49">
        <f>[2]합산자재!J40</f>
        <v>0</v>
      </c>
      <c r="N37" s="49" t="str">
        <f t="shared" si="12"/>
        <v/>
      </c>
      <c r="O37" s="49"/>
      <c r="P37" s="49">
        <f t="shared" si="13"/>
        <v>2343</v>
      </c>
      <c r="Q37" s="78"/>
    </row>
    <row r="38" spans="1:26" ht="23.25" customHeight="1" x14ac:dyDescent="0.15">
      <c r="A38" s="21" t="s">
        <v>494</v>
      </c>
      <c r="B38" s="21" t="s">
        <v>483</v>
      </c>
      <c r="C38" s="1" t="s">
        <v>218</v>
      </c>
      <c r="D38" s="140" t="s">
        <v>809</v>
      </c>
      <c r="E38" s="140" t="s">
        <v>810</v>
      </c>
      <c r="F38" s="141" t="s">
        <v>190</v>
      </c>
      <c r="G38" s="142">
        <v>1</v>
      </c>
      <c r="H38" s="143">
        <v>7900</v>
      </c>
      <c r="I38" s="49">
        <f t="shared" si="10"/>
        <v>7900</v>
      </c>
      <c r="J38" s="49">
        <f t="shared" si="14"/>
        <v>1</v>
      </c>
      <c r="K38" s="49">
        <f>[2]합산자재!I41</f>
        <v>0</v>
      </c>
      <c r="L38" s="49" t="str">
        <f t="shared" si="11"/>
        <v/>
      </c>
      <c r="M38" s="49">
        <f>[2]합산자재!J41</f>
        <v>0</v>
      </c>
      <c r="N38" s="49" t="str">
        <f t="shared" si="12"/>
        <v/>
      </c>
      <c r="O38" s="49"/>
      <c r="P38" s="49">
        <f t="shared" si="13"/>
        <v>7900</v>
      </c>
      <c r="Q38" s="78"/>
    </row>
    <row r="39" spans="1:26" ht="23.25" customHeight="1" x14ac:dyDescent="0.15">
      <c r="A39" s="21" t="s">
        <v>488</v>
      </c>
      <c r="B39" s="21" t="s">
        <v>483</v>
      </c>
      <c r="C39" s="1" t="s">
        <v>220</v>
      </c>
      <c r="D39" s="140" t="s">
        <v>811</v>
      </c>
      <c r="E39" s="140" t="s">
        <v>793</v>
      </c>
      <c r="F39" s="141" t="s">
        <v>172</v>
      </c>
      <c r="G39" s="142">
        <v>1.5</v>
      </c>
      <c r="H39" s="143">
        <v>14000</v>
      </c>
      <c r="I39" s="90">
        <f t="shared" si="10"/>
        <v>21000</v>
      </c>
      <c r="J39" s="49">
        <f t="shared" si="14"/>
        <v>1.5</v>
      </c>
      <c r="K39" s="49">
        <v>0</v>
      </c>
      <c r="L39" s="90" t="str">
        <f t="shared" si="11"/>
        <v/>
      </c>
      <c r="M39" s="49">
        <f>[2]합산자재!J48</f>
        <v>0</v>
      </c>
      <c r="N39" s="90" t="str">
        <f t="shared" si="12"/>
        <v/>
      </c>
      <c r="O39" s="49"/>
      <c r="P39" s="49">
        <f t="shared" si="13"/>
        <v>21000</v>
      </c>
      <c r="Q39" s="78"/>
    </row>
    <row r="40" spans="1:26" ht="23.25" customHeight="1" x14ac:dyDescent="0.15">
      <c r="A40" s="21" t="s">
        <v>489</v>
      </c>
      <c r="B40" s="21" t="s">
        <v>483</v>
      </c>
      <c r="C40" s="1" t="s">
        <v>241</v>
      </c>
      <c r="D40" s="140" t="s">
        <v>812</v>
      </c>
      <c r="E40" s="140" t="s">
        <v>793</v>
      </c>
      <c r="F40" s="141" t="s">
        <v>172</v>
      </c>
      <c r="G40" s="142">
        <v>1.8</v>
      </c>
      <c r="H40" s="143">
        <v>14000</v>
      </c>
      <c r="I40" s="49">
        <f t="shared" si="10"/>
        <v>25200</v>
      </c>
      <c r="J40" s="49">
        <f t="shared" si="14"/>
        <v>1.8</v>
      </c>
      <c r="K40" s="49">
        <f>[2]합산자재!I55</f>
        <v>0</v>
      </c>
      <c r="L40" s="49" t="str">
        <f t="shared" si="11"/>
        <v/>
      </c>
      <c r="M40" s="49">
        <f>[2]합산자재!J55</f>
        <v>0</v>
      </c>
      <c r="N40" s="49" t="str">
        <f t="shared" si="12"/>
        <v/>
      </c>
      <c r="O40" s="49"/>
      <c r="P40" s="49">
        <f t="shared" si="13"/>
        <v>25200</v>
      </c>
      <c r="Q40" s="78"/>
      <c r="Z40" s="2" t="s">
        <v>490</v>
      </c>
    </row>
    <row r="41" spans="1:26" ht="23.25" customHeight="1" x14ac:dyDescent="0.15">
      <c r="A41" s="21" t="s">
        <v>491</v>
      </c>
      <c r="B41" s="21" t="s">
        <v>483</v>
      </c>
      <c r="C41" s="1" t="s">
        <v>334</v>
      </c>
      <c r="D41" s="140" t="s">
        <v>813</v>
      </c>
      <c r="E41" s="140" t="s">
        <v>794</v>
      </c>
      <c r="F41" s="141" t="s">
        <v>172</v>
      </c>
      <c r="G41" s="142">
        <v>3.3</v>
      </c>
      <c r="H41" s="143">
        <v>1320</v>
      </c>
      <c r="I41" s="49">
        <f t="shared" si="10"/>
        <v>4356</v>
      </c>
      <c r="J41" s="49">
        <f t="shared" si="14"/>
        <v>3.3</v>
      </c>
      <c r="K41" s="49">
        <f>[2]합산자재!I76</f>
        <v>0</v>
      </c>
      <c r="L41" s="49" t="str">
        <f t="shared" si="11"/>
        <v/>
      </c>
      <c r="M41" s="49">
        <f>[2]합산자재!J76</f>
        <v>0</v>
      </c>
      <c r="N41" s="49" t="str">
        <f t="shared" si="12"/>
        <v/>
      </c>
      <c r="O41" s="49"/>
      <c r="P41" s="49">
        <f t="shared" si="13"/>
        <v>4356</v>
      </c>
      <c r="Q41" s="78"/>
    </row>
    <row r="42" spans="1:26" ht="23.25" customHeight="1" x14ac:dyDescent="0.15">
      <c r="A42" s="21" t="s">
        <v>492</v>
      </c>
      <c r="B42" s="21" t="s">
        <v>483</v>
      </c>
      <c r="C42" s="1" t="s">
        <v>338</v>
      </c>
      <c r="D42" s="140" t="s">
        <v>814</v>
      </c>
      <c r="E42" s="140"/>
      <c r="F42" s="141" t="s">
        <v>815</v>
      </c>
      <c r="G42" s="142">
        <v>1.32</v>
      </c>
      <c r="H42" s="143">
        <v>1980</v>
      </c>
      <c r="I42" s="49">
        <f t="shared" si="10"/>
        <v>2613.6</v>
      </c>
      <c r="J42" s="49">
        <f t="shared" si="14"/>
        <v>1.32</v>
      </c>
      <c r="K42" s="49">
        <f>[2]합산자재!I77</f>
        <v>0</v>
      </c>
      <c r="L42" s="49" t="str">
        <f t="shared" si="11"/>
        <v/>
      </c>
      <c r="M42" s="49">
        <f>[2]합산자재!J77</f>
        <v>0</v>
      </c>
      <c r="N42" s="49" t="str">
        <f t="shared" si="12"/>
        <v/>
      </c>
      <c r="O42" s="49"/>
      <c r="P42" s="49">
        <f t="shared" si="13"/>
        <v>2613.6</v>
      </c>
      <c r="Q42" s="78"/>
    </row>
    <row r="43" spans="1:26" ht="23.25" customHeight="1" x14ac:dyDescent="0.15">
      <c r="A43" s="21" t="s">
        <v>493</v>
      </c>
      <c r="B43" s="21" t="s">
        <v>483</v>
      </c>
      <c r="C43" s="1" t="s">
        <v>215</v>
      </c>
      <c r="D43" s="140" t="s">
        <v>942</v>
      </c>
      <c r="E43" s="140" t="s">
        <v>943</v>
      </c>
      <c r="F43" s="141" t="s">
        <v>818</v>
      </c>
      <c r="G43" s="142">
        <v>1</v>
      </c>
      <c r="H43" s="143">
        <v>23100</v>
      </c>
      <c r="I43" s="49">
        <f t="shared" si="10"/>
        <v>23100</v>
      </c>
      <c r="J43" s="49">
        <f t="shared" si="14"/>
        <v>1</v>
      </c>
      <c r="K43" s="49">
        <f>[2]합산자재!I46</f>
        <v>0</v>
      </c>
      <c r="L43" s="49" t="str">
        <f t="shared" si="11"/>
        <v/>
      </c>
      <c r="M43" s="49">
        <f>[2]합산자재!J46</f>
        <v>0</v>
      </c>
      <c r="N43" s="49" t="str">
        <f t="shared" si="12"/>
        <v/>
      </c>
      <c r="O43" s="49"/>
      <c r="P43" s="49">
        <f t="shared" si="13"/>
        <v>23100</v>
      </c>
      <c r="Q43" s="78"/>
    </row>
    <row r="44" spans="1:26" ht="23.25" customHeight="1" x14ac:dyDescent="0.15">
      <c r="A44" s="21" t="s">
        <v>488</v>
      </c>
      <c r="B44" s="21" t="s">
        <v>483</v>
      </c>
      <c r="C44" s="1" t="s">
        <v>220</v>
      </c>
      <c r="D44" s="140" t="s">
        <v>819</v>
      </c>
      <c r="E44" s="140" t="s">
        <v>797</v>
      </c>
      <c r="F44" s="141" t="s">
        <v>190</v>
      </c>
      <c r="G44" s="142">
        <v>3</v>
      </c>
      <c r="H44" s="143">
        <v>75000</v>
      </c>
      <c r="I44" s="90">
        <f t="shared" si="10"/>
        <v>225000</v>
      </c>
      <c r="J44" s="49">
        <f t="shared" si="14"/>
        <v>3</v>
      </c>
      <c r="K44" s="49">
        <f>[2]합산자재!I47</f>
        <v>0</v>
      </c>
      <c r="L44" s="90" t="str">
        <f t="shared" si="11"/>
        <v/>
      </c>
      <c r="M44" s="49">
        <f>[2]합산자재!J53</f>
        <v>0</v>
      </c>
      <c r="N44" s="90" t="str">
        <f t="shared" si="12"/>
        <v/>
      </c>
      <c r="O44" s="49"/>
      <c r="P44" s="49">
        <f t="shared" si="13"/>
        <v>225000</v>
      </c>
      <c r="Q44" s="78"/>
    </row>
    <row r="45" spans="1:26" ht="23.25" customHeight="1" x14ac:dyDescent="0.15">
      <c r="A45" s="21" t="s">
        <v>489</v>
      </c>
      <c r="B45" s="21" t="s">
        <v>483</v>
      </c>
      <c r="C45" s="1" t="s">
        <v>241</v>
      </c>
      <c r="D45" s="140" t="s">
        <v>820</v>
      </c>
      <c r="E45" s="140" t="s">
        <v>798</v>
      </c>
      <c r="F45" s="141" t="s">
        <v>190</v>
      </c>
      <c r="G45" s="142">
        <v>6</v>
      </c>
      <c r="H45" s="143">
        <v>18000</v>
      </c>
      <c r="I45" s="49">
        <f t="shared" si="10"/>
        <v>108000</v>
      </c>
      <c r="J45" s="49">
        <f t="shared" si="14"/>
        <v>6</v>
      </c>
      <c r="K45" s="49">
        <v>0</v>
      </c>
      <c r="L45" s="49" t="str">
        <f t="shared" si="11"/>
        <v/>
      </c>
      <c r="M45" s="49">
        <f>[2]합산자재!J60</f>
        <v>0</v>
      </c>
      <c r="N45" s="49" t="str">
        <f t="shared" si="12"/>
        <v/>
      </c>
      <c r="O45" s="49"/>
      <c r="P45" s="49">
        <f t="shared" si="13"/>
        <v>108000</v>
      </c>
      <c r="Q45" s="78"/>
      <c r="Z45" s="2" t="s">
        <v>490</v>
      </c>
    </row>
    <row r="46" spans="1:26" ht="23.25" customHeight="1" x14ac:dyDescent="0.15">
      <c r="A46" s="21" t="s">
        <v>491</v>
      </c>
      <c r="B46" s="21" t="s">
        <v>483</v>
      </c>
      <c r="C46" s="1" t="s">
        <v>334</v>
      </c>
      <c r="D46" s="140" t="s">
        <v>954</v>
      </c>
      <c r="E46" s="140" t="s">
        <v>955</v>
      </c>
      <c r="F46" s="141" t="s">
        <v>190</v>
      </c>
      <c r="G46" s="142">
        <v>1</v>
      </c>
      <c r="H46" s="143">
        <v>45020</v>
      </c>
      <c r="I46" s="49">
        <f t="shared" si="10"/>
        <v>45020</v>
      </c>
      <c r="J46" s="49">
        <f t="shared" si="14"/>
        <v>1</v>
      </c>
      <c r="K46" s="49">
        <f>[2]합산자재!I49</f>
        <v>0</v>
      </c>
      <c r="L46" s="49" t="str">
        <f t="shared" si="11"/>
        <v/>
      </c>
      <c r="M46" s="49">
        <f>[2]합산자재!J81</f>
        <v>0</v>
      </c>
      <c r="N46" s="49" t="str">
        <f t="shared" si="12"/>
        <v/>
      </c>
      <c r="O46" s="49"/>
      <c r="P46" s="49">
        <f t="shared" si="13"/>
        <v>45020</v>
      </c>
      <c r="Q46" s="78"/>
    </row>
    <row r="47" spans="1:26" ht="23.25" customHeight="1" x14ac:dyDescent="0.15">
      <c r="A47" s="21" t="s">
        <v>492</v>
      </c>
      <c r="B47" s="21" t="s">
        <v>483</v>
      </c>
      <c r="C47" s="1" t="s">
        <v>338</v>
      </c>
      <c r="D47" s="140" t="s">
        <v>945</v>
      </c>
      <c r="E47" s="140" t="s">
        <v>946</v>
      </c>
      <c r="F47" s="141" t="s">
        <v>172</v>
      </c>
      <c r="G47" s="142">
        <v>1.6</v>
      </c>
      <c r="H47" s="143">
        <v>1733</v>
      </c>
      <c r="I47" s="49">
        <f t="shared" si="10"/>
        <v>2772.8</v>
      </c>
      <c r="J47" s="49">
        <f t="shared" si="14"/>
        <v>1.6</v>
      </c>
      <c r="K47" s="49">
        <f>[2]합산자재!I50</f>
        <v>0</v>
      </c>
      <c r="L47" s="49" t="str">
        <f t="shared" si="11"/>
        <v/>
      </c>
      <c r="M47" s="49">
        <f>[2]합산자재!J82</f>
        <v>0</v>
      </c>
      <c r="N47" s="49" t="str">
        <f t="shared" si="12"/>
        <v/>
      </c>
      <c r="O47" s="49"/>
      <c r="P47" s="49">
        <f t="shared" si="13"/>
        <v>2772.8</v>
      </c>
      <c r="Q47" s="78"/>
    </row>
    <row r="48" spans="1:26" ht="23.25" customHeight="1" x14ac:dyDescent="0.15">
      <c r="A48" s="21" t="s">
        <v>493</v>
      </c>
      <c r="B48" s="21" t="s">
        <v>483</v>
      </c>
      <c r="C48" s="1" t="s">
        <v>215</v>
      </c>
      <c r="D48" s="140" t="s">
        <v>825</v>
      </c>
      <c r="E48" s="140" t="s">
        <v>826</v>
      </c>
      <c r="F48" s="141" t="s">
        <v>190</v>
      </c>
      <c r="G48" s="142">
        <v>1</v>
      </c>
      <c r="H48" s="143">
        <v>1133</v>
      </c>
      <c r="I48" s="49">
        <f t="shared" si="10"/>
        <v>1133</v>
      </c>
      <c r="J48" s="49">
        <f t="shared" si="14"/>
        <v>1</v>
      </c>
      <c r="K48" s="49">
        <f>[2]합산자재!I51</f>
        <v>0</v>
      </c>
      <c r="L48" s="49" t="str">
        <f t="shared" si="11"/>
        <v/>
      </c>
      <c r="M48" s="49">
        <f>[2]합산자재!J51</f>
        <v>0</v>
      </c>
      <c r="N48" s="49" t="str">
        <f t="shared" si="12"/>
        <v/>
      </c>
      <c r="O48" s="49"/>
      <c r="P48" s="49">
        <f t="shared" si="13"/>
        <v>1133</v>
      </c>
      <c r="Q48" s="78"/>
    </row>
    <row r="49" spans="1:31" ht="23.25" customHeight="1" x14ac:dyDescent="0.15">
      <c r="A49" s="21" t="s">
        <v>494</v>
      </c>
      <c r="B49" s="21" t="s">
        <v>483</v>
      </c>
      <c r="C49" s="1" t="s">
        <v>218</v>
      </c>
      <c r="D49" s="140" t="s">
        <v>947</v>
      </c>
      <c r="E49" s="140" t="s">
        <v>948</v>
      </c>
      <c r="F49" s="141" t="s">
        <v>190</v>
      </c>
      <c r="G49" s="142">
        <v>2</v>
      </c>
      <c r="H49" s="143">
        <v>5250</v>
      </c>
      <c r="I49" s="49">
        <f t="shared" si="10"/>
        <v>10500</v>
      </c>
      <c r="J49" s="49">
        <f t="shared" si="14"/>
        <v>2</v>
      </c>
      <c r="K49" s="49">
        <v>0</v>
      </c>
      <c r="L49" s="49" t="str">
        <f t="shared" si="11"/>
        <v/>
      </c>
      <c r="M49" s="49">
        <f>[2]합산자재!J52</f>
        <v>0</v>
      </c>
      <c r="N49" s="49" t="str">
        <f t="shared" si="12"/>
        <v/>
      </c>
      <c r="O49" s="49"/>
      <c r="P49" s="49">
        <f t="shared" si="13"/>
        <v>10500</v>
      </c>
      <c r="Q49" s="78"/>
    </row>
    <row r="50" spans="1:31" ht="23.25" customHeight="1" x14ac:dyDescent="0.15">
      <c r="A50" s="21" t="s">
        <v>488</v>
      </c>
      <c r="B50" s="21" t="s">
        <v>483</v>
      </c>
      <c r="C50" s="1" t="s">
        <v>220</v>
      </c>
      <c r="D50" s="140" t="s">
        <v>950</v>
      </c>
      <c r="E50" s="140" t="s">
        <v>951</v>
      </c>
      <c r="F50" s="141" t="s">
        <v>190</v>
      </c>
      <c r="G50" s="142">
        <v>1</v>
      </c>
      <c r="H50" s="143">
        <v>2365</v>
      </c>
      <c r="I50" s="90">
        <f t="shared" si="10"/>
        <v>2365</v>
      </c>
      <c r="J50" s="49">
        <f t="shared" si="14"/>
        <v>1</v>
      </c>
      <c r="K50" s="49">
        <v>0</v>
      </c>
      <c r="L50" s="90" t="str">
        <f t="shared" si="11"/>
        <v/>
      </c>
      <c r="M50" s="49">
        <f>[2]합산자재!J59</f>
        <v>0</v>
      </c>
      <c r="N50" s="90" t="str">
        <f t="shared" si="12"/>
        <v/>
      </c>
      <c r="O50" s="49"/>
      <c r="P50" s="49">
        <f t="shared" si="13"/>
        <v>2365</v>
      </c>
      <c r="Q50" s="78"/>
    </row>
    <row r="51" spans="1:31" ht="23.25" customHeight="1" x14ac:dyDescent="0.15">
      <c r="A51" s="21" t="s">
        <v>489</v>
      </c>
      <c r="B51" s="21" t="s">
        <v>483</v>
      </c>
      <c r="C51" s="1" t="s">
        <v>241</v>
      </c>
      <c r="D51" s="140" t="s">
        <v>831</v>
      </c>
      <c r="E51" s="140" t="s">
        <v>832</v>
      </c>
      <c r="F51" s="141" t="s">
        <v>190</v>
      </c>
      <c r="G51" s="142">
        <v>1</v>
      </c>
      <c r="H51" s="143">
        <v>4400</v>
      </c>
      <c r="I51" s="49">
        <f t="shared" si="10"/>
        <v>4400</v>
      </c>
      <c r="J51" s="49">
        <f t="shared" si="14"/>
        <v>1</v>
      </c>
      <c r="K51" s="49">
        <f>[2]합산자재!I66</f>
        <v>0</v>
      </c>
      <c r="L51" s="49" t="str">
        <f t="shared" si="11"/>
        <v/>
      </c>
      <c r="M51" s="49">
        <f>[2]합산자재!J66</f>
        <v>0</v>
      </c>
      <c r="N51" s="49" t="str">
        <f t="shared" si="12"/>
        <v/>
      </c>
      <c r="O51" s="49"/>
      <c r="P51" s="49">
        <f t="shared" si="13"/>
        <v>4400</v>
      </c>
      <c r="Q51" s="78"/>
      <c r="Z51" s="2" t="s">
        <v>490</v>
      </c>
    </row>
    <row r="52" spans="1:31" ht="23.25" customHeight="1" x14ac:dyDescent="0.15">
      <c r="A52" s="21" t="s">
        <v>491</v>
      </c>
      <c r="B52" s="21" t="s">
        <v>483</v>
      </c>
      <c r="C52" s="1" t="s">
        <v>334</v>
      </c>
      <c r="D52" s="140" t="s">
        <v>952</v>
      </c>
      <c r="E52" s="140" t="s">
        <v>953</v>
      </c>
      <c r="F52" s="141" t="s">
        <v>172</v>
      </c>
      <c r="G52" s="142">
        <v>5.8</v>
      </c>
      <c r="H52" s="143">
        <v>757</v>
      </c>
      <c r="I52" s="49">
        <f t="shared" si="10"/>
        <v>4390.6000000000004</v>
      </c>
      <c r="J52" s="49">
        <f t="shared" si="14"/>
        <v>5.8</v>
      </c>
      <c r="K52" s="49">
        <f>[2]합산자재!I87</f>
        <v>0</v>
      </c>
      <c r="L52" s="49" t="str">
        <f t="shared" si="11"/>
        <v/>
      </c>
      <c r="M52" s="49">
        <f>[2]합산자재!J87</f>
        <v>0</v>
      </c>
      <c r="N52" s="49" t="str">
        <f t="shared" si="12"/>
        <v/>
      </c>
      <c r="O52" s="49"/>
      <c r="P52" s="49">
        <f t="shared" si="13"/>
        <v>4390.6000000000004</v>
      </c>
      <c r="Q52" s="78"/>
    </row>
    <row r="53" spans="1:31" ht="23.25" customHeight="1" x14ac:dyDescent="0.15">
      <c r="A53" s="21" t="s">
        <v>479</v>
      </c>
      <c r="B53" s="21" t="s">
        <v>483</v>
      </c>
      <c r="C53" s="1" t="s">
        <v>458</v>
      </c>
      <c r="D53" s="78" t="s">
        <v>459</v>
      </c>
      <c r="E53" s="78" t="s">
        <v>799</v>
      </c>
      <c r="F53" s="52" t="s">
        <v>461</v>
      </c>
      <c r="G53" s="49">
        <f>'일위노임 (2)'!G34</f>
        <v>0.754</v>
      </c>
      <c r="H53" s="49">
        <f>[2]합산자재!H111</f>
        <v>0</v>
      </c>
      <c r="I53" s="49" t="str">
        <f t="shared" si="10"/>
        <v/>
      </c>
      <c r="J53" s="49">
        <f>G53</f>
        <v>0.754</v>
      </c>
      <c r="K53" s="49">
        <v>122522</v>
      </c>
      <c r="L53" s="49">
        <f t="shared" si="11"/>
        <v>92381.5</v>
      </c>
      <c r="M53" s="49">
        <f>[2]합산자재!J111</f>
        <v>0</v>
      </c>
      <c r="N53" s="49" t="str">
        <f t="shared" si="12"/>
        <v/>
      </c>
      <c r="O53" s="49"/>
      <c r="P53" s="49">
        <f t="shared" si="13"/>
        <v>92381.5</v>
      </c>
      <c r="Q53" s="78"/>
      <c r="AE53" s="2">
        <f>L53</f>
        <v>92381.5</v>
      </c>
    </row>
    <row r="54" spans="1:31" ht="23.25" customHeight="1" x14ac:dyDescent="0.15">
      <c r="A54" s="21" t="s">
        <v>479</v>
      </c>
      <c r="B54" s="21" t="s">
        <v>483</v>
      </c>
      <c r="C54" s="1" t="s">
        <v>458</v>
      </c>
      <c r="D54" s="78" t="s">
        <v>459</v>
      </c>
      <c r="E54" s="78" t="s">
        <v>800</v>
      </c>
      <c r="F54" s="52" t="s">
        <v>461</v>
      </c>
      <c r="G54" s="49">
        <f>'일위노임 (2)'!G35</f>
        <v>1.952</v>
      </c>
      <c r="H54" s="49">
        <f>[2]합산자재!H112</f>
        <v>0</v>
      </c>
      <c r="I54" s="49" t="str">
        <f t="shared" si="10"/>
        <v/>
      </c>
      <c r="J54" s="49">
        <f t="shared" ref="J54:J56" si="15">G54</f>
        <v>1.952</v>
      </c>
      <c r="K54" s="49">
        <v>99248</v>
      </c>
      <c r="L54" s="49">
        <f t="shared" si="11"/>
        <v>193732</v>
      </c>
      <c r="M54" s="49">
        <f>[2]합산자재!J112</f>
        <v>0</v>
      </c>
      <c r="N54" s="49" t="str">
        <f t="shared" si="12"/>
        <v/>
      </c>
      <c r="O54" s="49"/>
      <c r="P54" s="49">
        <f t="shared" si="13"/>
        <v>193732</v>
      </c>
      <c r="Q54" s="78"/>
      <c r="AE54" s="2">
        <f>L54</f>
        <v>193732</v>
      </c>
    </row>
    <row r="55" spans="1:31" ht="23.25" customHeight="1" x14ac:dyDescent="0.15">
      <c r="A55" s="21" t="s">
        <v>479</v>
      </c>
      <c r="B55" s="21" t="s">
        <v>483</v>
      </c>
      <c r="C55" s="1" t="s">
        <v>458</v>
      </c>
      <c r="D55" s="78" t="s">
        <v>459</v>
      </c>
      <c r="E55" s="78" t="s">
        <v>801</v>
      </c>
      <c r="F55" s="52" t="s">
        <v>461</v>
      </c>
      <c r="G55" s="49">
        <f t="shared" ref="G55" si="16">J55</f>
        <v>0</v>
      </c>
      <c r="H55" s="49">
        <f>[2]합산자재!H113</f>
        <v>0</v>
      </c>
      <c r="I55" s="49" t="str">
        <f t="shared" si="10"/>
        <v/>
      </c>
      <c r="J55" s="49">
        <v>0</v>
      </c>
      <c r="K55" s="49">
        <v>105323</v>
      </c>
      <c r="L55" s="49" t="str">
        <f t="shared" si="11"/>
        <v/>
      </c>
      <c r="M55" s="49">
        <f>[2]합산자재!J113</f>
        <v>0</v>
      </c>
      <c r="N55" s="49" t="str">
        <f t="shared" si="12"/>
        <v/>
      </c>
      <c r="O55" s="49"/>
      <c r="P55" s="49" t="str">
        <f t="shared" si="13"/>
        <v/>
      </c>
      <c r="Q55" s="78"/>
      <c r="AE55" s="2" t="str">
        <f>L55</f>
        <v/>
      </c>
    </row>
    <row r="56" spans="1:31" ht="23.25" customHeight="1" x14ac:dyDescent="0.15">
      <c r="A56" s="21" t="s">
        <v>479</v>
      </c>
      <c r="B56" s="21" t="s">
        <v>483</v>
      </c>
      <c r="C56" s="1" t="s">
        <v>458</v>
      </c>
      <c r="D56" s="78" t="s">
        <v>459</v>
      </c>
      <c r="E56" s="78" t="s">
        <v>802</v>
      </c>
      <c r="F56" s="52" t="s">
        <v>461</v>
      </c>
      <c r="G56" s="49">
        <f>'일위노임 (2)'!G36</f>
        <v>0.19800000000000001</v>
      </c>
      <c r="H56" s="49">
        <f>[2]합산자재!H114</f>
        <v>0</v>
      </c>
      <c r="I56" s="49" t="str">
        <f t="shared" si="10"/>
        <v/>
      </c>
      <c r="J56" s="49">
        <f t="shared" si="15"/>
        <v>0.19800000000000001</v>
      </c>
      <c r="K56" s="49">
        <v>90694</v>
      </c>
      <c r="L56" s="49">
        <f t="shared" si="11"/>
        <v>17957.400000000001</v>
      </c>
      <c r="M56" s="49">
        <f>[2]합산자재!J114</f>
        <v>0</v>
      </c>
      <c r="N56" s="49" t="str">
        <f t="shared" si="12"/>
        <v/>
      </c>
      <c r="O56" s="49"/>
      <c r="P56" s="49">
        <f t="shared" si="13"/>
        <v>17957.400000000001</v>
      </c>
      <c r="Q56" s="78"/>
      <c r="AE56" s="2">
        <f>L56</f>
        <v>17957.400000000001</v>
      </c>
    </row>
    <row r="57" spans="1:31" ht="23.25" customHeight="1" x14ac:dyDescent="0.15">
      <c r="B57" s="21" t="s">
        <v>499</v>
      </c>
      <c r="D57" s="78" t="s">
        <v>500</v>
      </c>
      <c r="E57" s="78"/>
      <c r="F57" s="52"/>
      <c r="G57" s="49"/>
      <c r="H57" s="49"/>
      <c r="I57" s="49">
        <f>TRUNC(SUM(I32:I56))</f>
        <v>917751</v>
      </c>
      <c r="J57" s="49"/>
      <c r="K57" s="49"/>
      <c r="L57" s="49">
        <f>TRUNC(SUM(L32:L56))</f>
        <v>304070</v>
      </c>
      <c r="M57" s="49"/>
      <c r="N57" s="49">
        <f>TRUNC(SUM(N32:N56))</f>
        <v>0</v>
      </c>
      <c r="O57" s="49"/>
      <c r="P57" s="49">
        <f t="shared" si="13"/>
        <v>1221821</v>
      </c>
      <c r="Q57" s="78"/>
      <c r="AC57" s="2">
        <f>TRUNC(AE57*[2]옵션!$B$36/100,1)</f>
        <v>9122.1</v>
      </c>
      <c r="AD57" s="2">
        <f>TRUNC(SUM(L32:L53))</f>
        <v>92381</v>
      </c>
      <c r="AE57" s="2">
        <f>TRUNC(SUM(AE32:AE56))</f>
        <v>304070</v>
      </c>
    </row>
    <row r="58" spans="1:31" ht="23.25" customHeight="1" x14ac:dyDescent="0.15">
      <c r="B58" s="21" t="s">
        <v>487</v>
      </c>
      <c r="D58" s="264"/>
      <c r="E58" s="265"/>
      <c r="F58" s="265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6"/>
    </row>
    <row r="59" spans="1:31" ht="23.25" customHeight="1" x14ac:dyDescent="0.15">
      <c r="A59" s="21" t="s">
        <v>482</v>
      </c>
      <c r="B59" s="21" t="s">
        <v>487</v>
      </c>
      <c r="C59" s="1" t="s">
        <v>483</v>
      </c>
      <c r="D59" s="264" t="s">
        <v>1017</v>
      </c>
      <c r="E59" s="265"/>
      <c r="F59" s="265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6"/>
    </row>
    <row r="60" spans="1:31" ht="23.25" customHeight="1" x14ac:dyDescent="0.15">
      <c r="A60" s="21" t="s">
        <v>488</v>
      </c>
      <c r="B60" s="21" t="s">
        <v>483</v>
      </c>
      <c r="C60" s="1" t="s">
        <v>220</v>
      </c>
      <c r="D60" s="140" t="s">
        <v>1038</v>
      </c>
      <c r="E60" s="140" t="s">
        <v>1041</v>
      </c>
      <c r="F60" s="141" t="s">
        <v>345</v>
      </c>
      <c r="G60" s="144">
        <v>1</v>
      </c>
      <c r="H60" s="143">
        <v>1383725</v>
      </c>
      <c r="I60" s="90">
        <f t="shared" ref="I60:I123" si="17">IF(G60*H60&lt;&gt;0, TRUNC(G60*H60,1),"")</f>
        <v>1383725</v>
      </c>
      <c r="J60" s="49">
        <f>G60</f>
        <v>1</v>
      </c>
      <c r="K60" s="49">
        <f>[2]합산자재!I30</f>
        <v>0</v>
      </c>
      <c r="L60" s="90" t="str">
        <f t="shared" ref="L60:L123" si="18">IF(G60*K60&lt;&gt;0, TRUNC(G60*K60,1),"")</f>
        <v/>
      </c>
      <c r="M60" s="49">
        <f>[2]합산자재!J30</f>
        <v>0</v>
      </c>
      <c r="N60" s="90" t="str">
        <f t="shared" ref="N60:N123" si="19">IF(G60*M60&lt;&gt;0, TRUNC(G60*M60,1),"")</f>
        <v/>
      </c>
      <c r="O60" s="49"/>
      <c r="P60" s="49">
        <f t="shared" ref="P60:P123" si="20">IF(SUM(I60,L60,N60)&lt;&gt;0,TRUNC(SUM(I60,L60,N60),1),"")</f>
        <v>1383725</v>
      </c>
      <c r="Q60" s="78"/>
    </row>
    <row r="61" spans="1:31" ht="23.25" customHeight="1" x14ac:dyDescent="0.15">
      <c r="A61" s="21" t="s">
        <v>489</v>
      </c>
      <c r="B61" s="21" t="s">
        <v>483</v>
      </c>
      <c r="C61" s="1" t="s">
        <v>241</v>
      </c>
      <c r="D61" s="140" t="s">
        <v>808</v>
      </c>
      <c r="E61" s="140" t="s">
        <v>837</v>
      </c>
      <c r="F61" s="141" t="s">
        <v>190</v>
      </c>
      <c r="G61" s="144">
        <v>1</v>
      </c>
      <c r="H61" s="143">
        <v>246048</v>
      </c>
      <c r="I61" s="49">
        <f t="shared" si="17"/>
        <v>246048</v>
      </c>
      <c r="J61" s="49">
        <f t="shared" ref="J61:J79" si="21">G61</f>
        <v>1</v>
      </c>
      <c r="K61" s="49">
        <f>[2]합산자재!I37</f>
        <v>0</v>
      </c>
      <c r="L61" s="49" t="str">
        <f t="shared" si="18"/>
        <v/>
      </c>
      <c r="M61" s="49">
        <f>[2]합산자재!J37</f>
        <v>0</v>
      </c>
      <c r="N61" s="49" t="str">
        <f t="shared" si="19"/>
        <v/>
      </c>
      <c r="O61" s="49"/>
      <c r="P61" s="49">
        <f t="shared" si="20"/>
        <v>246048</v>
      </c>
      <c r="Q61" s="78"/>
      <c r="Z61" s="2" t="s">
        <v>490</v>
      </c>
    </row>
    <row r="62" spans="1:31" ht="23.25" customHeight="1" x14ac:dyDescent="0.15">
      <c r="A62" s="21" t="s">
        <v>491</v>
      </c>
      <c r="B62" s="21" t="s">
        <v>483</v>
      </c>
      <c r="C62" s="1" t="s">
        <v>334</v>
      </c>
      <c r="D62" s="140" t="s">
        <v>807</v>
      </c>
      <c r="E62" s="140" t="s">
        <v>838</v>
      </c>
      <c r="F62" s="141" t="s">
        <v>190</v>
      </c>
      <c r="G62" s="144">
        <v>2</v>
      </c>
      <c r="H62" s="143">
        <v>2475</v>
      </c>
      <c r="I62" s="49">
        <f t="shared" si="17"/>
        <v>4950</v>
      </c>
      <c r="J62" s="49">
        <f t="shared" si="21"/>
        <v>2</v>
      </c>
      <c r="K62" s="49">
        <f>[2]합산자재!I58</f>
        <v>0</v>
      </c>
      <c r="L62" s="49" t="str">
        <f t="shared" si="18"/>
        <v/>
      </c>
      <c r="M62" s="49">
        <f>[2]합산자재!J58</f>
        <v>0</v>
      </c>
      <c r="N62" s="49" t="str">
        <f t="shared" si="19"/>
        <v/>
      </c>
      <c r="O62" s="49"/>
      <c r="P62" s="49">
        <f t="shared" si="20"/>
        <v>4950</v>
      </c>
      <c r="Q62" s="78"/>
    </row>
    <row r="63" spans="1:31" ht="23.25" customHeight="1" x14ac:dyDescent="0.15">
      <c r="A63" s="21" t="s">
        <v>492</v>
      </c>
      <c r="B63" s="21" t="s">
        <v>483</v>
      </c>
      <c r="C63" s="1" t="s">
        <v>338</v>
      </c>
      <c r="D63" s="140" t="s">
        <v>959</v>
      </c>
      <c r="E63" s="140" t="s">
        <v>960</v>
      </c>
      <c r="F63" s="141" t="s">
        <v>190</v>
      </c>
      <c r="G63" s="144">
        <v>3</v>
      </c>
      <c r="H63" s="143">
        <v>220</v>
      </c>
      <c r="I63" s="49">
        <f t="shared" si="17"/>
        <v>660</v>
      </c>
      <c r="J63" s="49">
        <f t="shared" si="21"/>
        <v>3</v>
      </c>
      <c r="K63" s="49">
        <v>0</v>
      </c>
      <c r="L63" s="49" t="str">
        <f t="shared" si="18"/>
        <v/>
      </c>
      <c r="M63" s="49">
        <f>[2]합산자재!J59</f>
        <v>0</v>
      </c>
      <c r="N63" s="49" t="str">
        <f t="shared" si="19"/>
        <v/>
      </c>
      <c r="O63" s="49"/>
      <c r="P63" s="49">
        <f t="shared" si="20"/>
        <v>660</v>
      </c>
      <c r="Q63" s="78"/>
    </row>
    <row r="64" spans="1:31" ht="23.25" customHeight="1" x14ac:dyDescent="0.15">
      <c r="A64" s="21" t="s">
        <v>493</v>
      </c>
      <c r="B64" s="21" t="s">
        <v>483</v>
      </c>
      <c r="C64" s="1" t="s">
        <v>215</v>
      </c>
      <c r="D64" s="140" t="s">
        <v>962</v>
      </c>
      <c r="E64" s="140" t="s">
        <v>963</v>
      </c>
      <c r="F64" s="141" t="s">
        <v>172</v>
      </c>
      <c r="G64" s="144">
        <v>0.7</v>
      </c>
      <c r="H64" s="143">
        <v>2343</v>
      </c>
      <c r="I64" s="49">
        <f t="shared" si="17"/>
        <v>1640.1</v>
      </c>
      <c r="J64" s="49">
        <f t="shared" si="21"/>
        <v>0.7</v>
      </c>
      <c r="K64" s="49">
        <f>[2]합산자재!I28</f>
        <v>0</v>
      </c>
      <c r="L64" s="49" t="str">
        <f t="shared" si="18"/>
        <v/>
      </c>
      <c r="M64" s="49">
        <f>[2]합산자재!J28</f>
        <v>0</v>
      </c>
      <c r="N64" s="49" t="str">
        <f t="shared" si="19"/>
        <v/>
      </c>
      <c r="O64" s="49"/>
      <c r="P64" s="49">
        <f t="shared" si="20"/>
        <v>1640.1</v>
      </c>
      <c r="Q64" s="78"/>
    </row>
    <row r="65" spans="1:26" ht="23.25" customHeight="1" x14ac:dyDescent="0.15">
      <c r="A65" s="21" t="s">
        <v>494</v>
      </c>
      <c r="B65" s="21" t="s">
        <v>483</v>
      </c>
      <c r="C65" s="1" t="s">
        <v>218</v>
      </c>
      <c r="D65" s="140" t="s">
        <v>833</v>
      </c>
      <c r="E65" s="140" t="s">
        <v>834</v>
      </c>
      <c r="F65" s="141" t="s">
        <v>172</v>
      </c>
      <c r="G65" s="144">
        <v>13</v>
      </c>
      <c r="H65" s="143">
        <v>7900</v>
      </c>
      <c r="I65" s="49">
        <f t="shared" si="17"/>
        <v>102700</v>
      </c>
      <c r="J65" s="49">
        <f t="shared" si="21"/>
        <v>13</v>
      </c>
      <c r="K65" s="49">
        <f>[2]합산자재!I29</f>
        <v>0</v>
      </c>
      <c r="L65" s="49" t="str">
        <f t="shared" si="18"/>
        <v/>
      </c>
      <c r="M65" s="49">
        <f>[2]합산자재!J29</f>
        <v>0</v>
      </c>
      <c r="N65" s="49" t="str">
        <f t="shared" si="19"/>
        <v/>
      </c>
      <c r="O65" s="49"/>
      <c r="P65" s="49">
        <f t="shared" si="20"/>
        <v>102700</v>
      </c>
      <c r="Q65" s="78"/>
    </row>
    <row r="66" spans="1:26" ht="23.25" customHeight="1" x14ac:dyDescent="0.15">
      <c r="A66" s="21" t="s">
        <v>488</v>
      </c>
      <c r="B66" s="21" t="s">
        <v>483</v>
      </c>
      <c r="C66" s="1" t="s">
        <v>220</v>
      </c>
      <c r="D66" s="140" t="s">
        <v>964</v>
      </c>
      <c r="E66" s="140"/>
      <c r="F66" s="141" t="s">
        <v>818</v>
      </c>
      <c r="G66" s="144">
        <v>1</v>
      </c>
      <c r="H66" s="143">
        <v>14000</v>
      </c>
      <c r="I66" s="90">
        <f t="shared" si="17"/>
        <v>14000</v>
      </c>
      <c r="J66" s="49">
        <f t="shared" si="21"/>
        <v>1</v>
      </c>
      <c r="K66" s="49">
        <v>0</v>
      </c>
      <c r="L66" s="90" t="str">
        <f t="shared" si="18"/>
        <v/>
      </c>
      <c r="M66" s="49">
        <f>[2]합산자재!J36</f>
        <v>0</v>
      </c>
      <c r="N66" s="90" t="str">
        <f t="shared" si="19"/>
        <v/>
      </c>
      <c r="O66" s="49"/>
      <c r="P66" s="49">
        <f t="shared" si="20"/>
        <v>14000</v>
      </c>
      <c r="Q66" s="78"/>
    </row>
    <row r="67" spans="1:26" ht="23.25" customHeight="1" x14ac:dyDescent="0.15">
      <c r="A67" s="21" t="s">
        <v>489</v>
      </c>
      <c r="B67" s="21" t="s">
        <v>483</v>
      </c>
      <c r="C67" s="1" t="s">
        <v>241</v>
      </c>
      <c r="D67" s="140" t="s">
        <v>819</v>
      </c>
      <c r="E67" s="140" t="s">
        <v>844</v>
      </c>
      <c r="F67" s="141" t="s">
        <v>190</v>
      </c>
      <c r="G67" s="144">
        <v>1</v>
      </c>
      <c r="H67" s="143">
        <v>14000</v>
      </c>
      <c r="I67" s="49">
        <f t="shared" si="17"/>
        <v>14000</v>
      </c>
      <c r="J67" s="49">
        <f t="shared" si="21"/>
        <v>1</v>
      </c>
      <c r="K67" s="49">
        <f>[2]합산자재!I43</f>
        <v>0</v>
      </c>
      <c r="L67" s="49" t="str">
        <f t="shared" si="18"/>
        <v/>
      </c>
      <c r="M67" s="49">
        <f>[2]합산자재!J43</f>
        <v>0</v>
      </c>
      <c r="N67" s="49" t="str">
        <f t="shared" si="19"/>
        <v/>
      </c>
      <c r="O67" s="49"/>
      <c r="P67" s="49">
        <f t="shared" si="20"/>
        <v>14000</v>
      </c>
      <c r="Q67" s="78"/>
      <c r="Z67" s="2" t="s">
        <v>490</v>
      </c>
    </row>
    <row r="68" spans="1:26" ht="23.25" customHeight="1" x14ac:dyDescent="0.15">
      <c r="A68" s="21" t="s">
        <v>491</v>
      </c>
      <c r="B68" s="21" t="s">
        <v>483</v>
      </c>
      <c r="C68" s="1" t="s">
        <v>334</v>
      </c>
      <c r="D68" s="140" t="s">
        <v>820</v>
      </c>
      <c r="E68" s="140" t="s">
        <v>798</v>
      </c>
      <c r="F68" s="141" t="s">
        <v>190</v>
      </c>
      <c r="G68" s="144">
        <v>1</v>
      </c>
      <c r="H68" s="143">
        <v>1320</v>
      </c>
      <c r="I68" s="49">
        <f t="shared" si="17"/>
        <v>1320</v>
      </c>
      <c r="J68" s="49">
        <f t="shared" si="21"/>
        <v>1</v>
      </c>
      <c r="K68" s="49">
        <f>[2]합산자재!I64</f>
        <v>0</v>
      </c>
      <c r="L68" s="49" t="str">
        <f t="shared" si="18"/>
        <v/>
      </c>
      <c r="M68" s="49">
        <f>[2]합산자재!J64</f>
        <v>0</v>
      </c>
      <c r="N68" s="49" t="str">
        <f t="shared" si="19"/>
        <v/>
      </c>
      <c r="O68" s="49"/>
      <c r="P68" s="49">
        <f t="shared" si="20"/>
        <v>1320</v>
      </c>
      <c r="Q68" s="78"/>
    </row>
    <row r="69" spans="1:26" ht="23.25" customHeight="1" x14ac:dyDescent="0.15">
      <c r="A69" s="21" t="s">
        <v>492</v>
      </c>
      <c r="B69" s="21" t="s">
        <v>483</v>
      </c>
      <c r="C69" s="1" t="s">
        <v>338</v>
      </c>
      <c r="D69" s="140" t="s">
        <v>967</v>
      </c>
      <c r="E69" s="140" t="s">
        <v>968</v>
      </c>
      <c r="F69" s="141" t="s">
        <v>190</v>
      </c>
      <c r="G69" s="144">
        <v>3</v>
      </c>
      <c r="H69" s="143">
        <v>1980</v>
      </c>
      <c r="I69" s="49">
        <f t="shared" si="17"/>
        <v>5940</v>
      </c>
      <c r="J69" s="49">
        <f t="shared" si="21"/>
        <v>3</v>
      </c>
      <c r="K69" s="49">
        <f>[2]합산자재!I65</f>
        <v>0</v>
      </c>
      <c r="L69" s="49" t="str">
        <f t="shared" si="18"/>
        <v/>
      </c>
      <c r="M69" s="49">
        <f>[2]합산자재!J65</f>
        <v>0</v>
      </c>
      <c r="N69" s="49" t="str">
        <f t="shared" si="19"/>
        <v/>
      </c>
      <c r="O69" s="49"/>
      <c r="P69" s="49">
        <f t="shared" si="20"/>
        <v>5940</v>
      </c>
      <c r="Q69" s="78"/>
    </row>
    <row r="70" spans="1:26" ht="23.25" customHeight="1" x14ac:dyDescent="0.15">
      <c r="A70" s="21" t="s">
        <v>493</v>
      </c>
      <c r="B70" s="21" t="s">
        <v>483</v>
      </c>
      <c r="C70" s="1" t="s">
        <v>215</v>
      </c>
      <c r="D70" s="140" t="s">
        <v>819</v>
      </c>
      <c r="E70" s="140" t="s">
        <v>847</v>
      </c>
      <c r="F70" s="141" t="s">
        <v>190</v>
      </c>
      <c r="G70" s="144">
        <v>2</v>
      </c>
      <c r="H70" s="143">
        <v>23100</v>
      </c>
      <c r="I70" s="49">
        <f t="shared" si="17"/>
        <v>46200</v>
      </c>
      <c r="J70" s="49">
        <f t="shared" si="21"/>
        <v>2</v>
      </c>
      <c r="K70" s="49">
        <f>[2]합산자재!I34</f>
        <v>0</v>
      </c>
      <c r="L70" s="49" t="str">
        <f t="shared" si="18"/>
        <v/>
      </c>
      <c r="M70" s="49">
        <f>[2]합산자재!J34</f>
        <v>0</v>
      </c>
      <c r="N70" s="49" t="str">
        <f t="shared" si="19"/>
        <v/>
      </c>
      <c r="O70" s="49"/>
      <c r="P70" s="49">
        <f t="shared" si="20"/>
        <v>46200</v>
      </c>
      <c r="Q70" s="78"/>
    </row>
    <row r="71" spans="1:26" ht="23.25" customHeight="1" x14ac:dyDescent="0.15">
      <c r="A71" s="21" t="s">
        <v>488</v>
      </c>
      <c r="B71" s="21" t="s">
        <v>483</v>
      </c>
      <c r="C71" s="1" t="s">
        <v>220</v>
      </c>
      <c r="D71" s="140" t="s">
        <v>969</v>
      </c>
      <c r="E71" s="140" t="s">
        <v>970</v>
      </c>
      <c r="F71" s="141" t="s">
        <v>818</v>
      </c>
      <c r="G71" s="144">
        <v>2</v>
      </c>
      <c r="H71" s="143">
        <v>75000</v>
      </c>
      <c r="I71" s="90">
        <f t="shared" si="17"/>
        <v>150000</v>
      </c>
      <c r="J71" s="49">
        <f t="shared" si="21"/>
        <v>2</v>
      </c>
      <c r="K71" s="49">
        <f>[2]합산자재!I35</f>
        <v>0</v>
      </c>
      <c r="L71" s="90" t="str">
        <f t="shared" si="18"/>
        <v/>
      </c>
      <c r="M71" s="49">
        <f>[2]합산자재!J41</f>
        <v>0</v>
      </c>
      <c r="N71" s="90" t="str">
        <f t="shared" si="19"/>
        <v/>
      </c>
      <c r="O71" s="49"/>
      <c r="P71" s="49">
        <f t="shared" si="20"/>
        <v>150000</v>
      </c>
      <c r="Q71" s="78"/>
    </row>
    <row r="72" spans="1:26" ht="23.25" customHeight="1" x14ac:dyDescent="0.15">
      <c r="A72" s="21" t="s">
        <v>489</v>
      </c>
      <c r="B72" s="21" t="s">
        <v>483</v>
      </c>
      <c r="C72" s="1" t="s">
        <v>241</v>
      </c>
      <c r="D72" s="140" t="s">
        <v>975</v>
      </c>
      <c r="E72" s="140"/>
      <c r="F72" s="141" t="s">
        <v>190</v>
      </c>
      <c r="G72" s="144">
        <v>2</v>
      </c>
      <c r="H72" s="143">
        <v>18000</v>
      </c>
      <c r="I72" s="49">
        <f t="shared" si="17"/>
        <v>36000</v>
      </c>
      <c r="J72" s="49">
        <f t="shared" si="21"/>
        <v>2</v>
      </c>
      <c r="K72" s="49">
        <v>0</v>
      </c>
      <c r="L72" s="49" t="str">
        <f t="shared" si="18"/>
        <v/>
      </c>
      <c r="M72" s="49">
        <f>[2]합산자재!J48</f>
        <v>0</v>
      </c>
      <c r="N72" s="49" t="str">
        <f t="shared" si="19"/>
        <v/>
      </c>
      <c r="O72" s="49"/>
      <c r="P72" s="49">
        <f t="shared" si="20"/>
        <v>36000</v>
      </c>
      <c r="Q72" s="78"/>
      <c r="Z72" s="2" t="s">
        <v>490</v>
      </c>
    </row>
    <row r="73" spans="1:26" ht="23.25" customHeight="1" x14ac:dyDescent="0.15">
      <c r="A73" s="21" t="s">
        <v>491</v>
      </c>
      <c r="B73" s="21" t="s">
        <v>483</v>
      </c>
      <c r="C73" s="1" t="s">
        <v>334</v>
      </c>
      <c r="D73" s="140" t="s">
        <v>976</v>
      </c>
      <c r="E73" s="140"/>
      <c r="F73" s="141" t="s">
        <v>190</v>
      </c>
      <c r="G73" s="144">
        <v>2</v>
      </c>
      <c r="H73" s="143">
        <v>45020</v>
      </c>
      <c r="I73" s="49">
        <f t="shared" si="17"/>
        <v>90040</v>
      </c>
      <c r="J73" s="49">
        <f t="shared" si="21"/>
        <v>2</v>
      </c>
      <c r="K73" s="49">
        <f>[2]합산자재!I37</f>
        <v>0</v>
      </c>
      <c r="L73" s="49" t="str">
        <f t="shared" si="18"/>
        <v/>
      </c>
      <c r="M73" s="49">
        <f>[2]합산자재!J69</f>
        <v>0</v>
      </c>
      <c r="N73" s="49" t="str">
        <f t="shared" si="19"/>
        <v/>
      </c>
      <c r="O73" s="49"/>
      <c r="P73" s="49">
        <f t="shared" si="20"/>
        <v>90040</v>
      </c>
      <c r="Q73" s="78"/>
    </row>
    <row r="74" spans="1:26" ht="23.25" customHeight="1" x14ac:dyDescent="0.15">
      <c r="A74" s="21" t="s">
        <v>492</v>
      </c>
      <c r="B74" s="21" t="s">
        <v>483</v>
      </c>
      <c r="C74" s="1" t="s">
        <v>338</v>
      </c>
      <c r="D74" s="140" t="s">
        <v>977</v>
      </c>
      <c r="E74" s="140" t="s">
        <v>978</v>
      </c>
      <c r="F74" s="141" t="s">
        <v>190</v>
      </c>
      <c r="G74" s="144">
        <v>2</v>
      </c>
      <c r="H74" s="143">
        <v>1733</v>
      </c>
      <c r="I74" s="49">
        <f t="shared" si="17"/>
        <v>3466</v>
      </c>
      <c r="J74" s="49">
        <f t="shared" si="21"/>
        <v>2</v>
      </c>
      <c r="K74" s="49">
        <f>[2]합산자재!I38</f>
        <v>0</v>
      </c>
      <c r="L74" s="49" t="str">
        <f t="shared" si="18"/>
        <v/>
      </c>
      <c r="M74" s="49">
        <f>[2]합산자재!J70</f>
        <v>0</v>
      </c>
      <c r="N74" s="49" t="str">
        <f t="shared" si="19"/>
        <v/>
      </c>
      <c r="O74" s="49"/>
      <c r="P74" s="49">
        <f t="shared" si="20"/>
        <v>3466</v>
      </c>
      <c r="Q74" s="78"/>
    </row>
    <row r="75" spans="1:26" ht="23.25" customHeight="1" x14ac:dyDescent="0.15">
      <c r="A75" s="21" t="s">
        <v>493</v>
      </c>
      <c r="B75" s="21" t="s">
        <v>483</v>
      </c>
      <c r="C75" s="1" t="s">
        <v>215</v>
      </c>
      <c r="D75" s="140" t="s">
        <v>853</v>
      </c>
      <c r="E75" s="140" t="s">
        <v>854</v>
      </c>
      <c r="F75" s="141" t="s">
        <v>190</v>
      </c>
      <c r="G75" s="144">
        <v>2</v>
      </c>
      <c r="H75" s="143">
        <v>1133</v>
      </c>
      <c r="I75" s="49">
        <f t="shared" si="17"/>
        <v>2266</v>
      </c>
      <c r="J75" s="49">
        <f t="shared" si="21"/>
        <v>2</v>
      </c>
      <c r="K75" s="49">
        <f>[2]합산자재!I39</f>
        <v>0</v>
      </c>
      <c r="L75" s="49" t="str">
        <f t="shared" si="18"/>
        <v/>
      </c>
      <c r="M75" s="49">
        <f>[2]합산자재!J39</f>
        <v>0</v>
      </c>
      <c r="N75" s="49" t="str">
        <f t="shared" si="19"/>
        <v/>
      </c>
      <c r="O75" s="49"/>
      <c r="P75" s="49">
        <f t="shared" si="20"/>
        <v>2266</v>
      </c>
      <c r="Q75" s="78"/>
    </row>
    <row r="76" spans="1:26" ht="23.25" customHeight="1" x14ac:dyDescent="0.15">
      <c r="A76" s="21" t="s">
        <v>494</v>
      </c>
      <c r="B76" s="21" t="s">
        <v>483</v>
      </c>
      <c r="C76" s="1" t="s">
        <v>218</v>
      </c>
      <c r="D76" s="140" t="s">
        <v>823</v>
      </c>
      <c r="E76" s="140" t="s">
        <v>855</v>
      </c>
      <c r="F76" s="141" t="s">
        <v>172</v>
      </c>
      <c r="G76" s="144">
        <v>7</v>
      </c>
      <c r="H76" s="143">
        <v>5250</v>
      </c>
      <c r="I76" s="49">
        <f t="shared" si="17"/>
        <v>36750</v>
      </c>
      <c r="J76" s="49">
        <f t="shared" si="21"/>
        <v>7</v>
      </c>
      <c r="K76" s="49">
        <v>0</v>
      </c>
      <c r="L76" s="49" t="str">
        <f t="shared" si="18"/>
        <v/>
      </c>
      <c r="M76" s="49">
        <f>[2]합산자재!J40</f>
        <v>0</v>
      </c>
      <c r="N76" s="49" t="str">
        <f t="shared" si="19"/>
        <v/>
      </c>
      <c r="O76" s="49"/>
      <c r="P76" s="49">
        <f t="shared" si="20"/>
        <v>36750</v>
      </c>
      <c r="Q76" s="78"/>
    </row>
    <row r="77" spans="1:26" ht="23.25" customHeight="1" x14ac:dyDescent="0.15">
      <c r="A77" s="21" t="s">
        <v>488</v>
      </c>
      <c r="B77" s="21" t="s">
        <v>483</v>
      </c>
      <c r="C77" s="1" t="s">
        <v>220</v>
      </c>
      <c r="D77" s="140" t="s">
        <v>831</v>
      </c>
      <c r="E77" s="140" t="s">
        <v>832</v>
      </c>
      <c r="F77" s="141" t="s">
        <v>190</v>
      </c>
      <c r="G77" s="144">
        <v>2</v>
      </c>
      <c r="H77" s="143">
        <v>2365</v>
      </c>
      <c r="I77" s="90">
        <f t="shared" si="17"/>
        <v>4730</v>
      </c>
      <c r="J77" s="49">
        <f t="shared" si="21"/>
        <v>2</v>
      </c>
      <c r="K77" s="49">
        <v>0</v>
      </c>
      <c r="L77" s="90" t="str">
        <f t="shared" si="18"/>
        <v/>
      </c>
      <c r="M77" s="49">
        <f>[2]합산자재!J47</f>
        <v>0</v>
      </c>
      <c r="N77" s="90" t="str">
        <f t="shared" si="19"/>
        <v/>
      </c>
      <c r="O77" s="49"/>
      <c r="P77" s="49">
        <f t="shared" si="20"/>
        <v>4730</v>
      </c>
      <c r="Q77" s="78"/>
    </row>
    <row r="78" spans="1:26" ht="23.25" customHeight="1" x14ac:dyDescent="0.15">
      <c r="A78" s="21" t="s">
        <v>489</v>
      </c>
      <c r="B78" s="21" t="s">
        <v>483</v>
      </c>
      <c r="C78" s="1" t="s">
        <v>241</v>
      </c>
      <c r="D78" s="140" t="s">
        <v>984</v>
      </c>
      <c r="E78" s="140" t="s">
        <v>985</v>
      </c>
      <c r="F78" s="141" t="s">
        <v>190</v>
      </c>
      <c r="G78" s="144">
        <v>2</v>
      </c>
      <c r="H78" s="143">
        <v>4400</v>
      </c>
      <c r="I78" s="49">
        <f t="shared" si="17"/>
        <v>8800</v>
      </c>
      <c r="J78" s="49">
        <f t="shared" si="21"/>
        <v>2</v>
      </c>
      <c r="K78" s="49">
        <f>[2]합산자재!I54</f>
        <v>0</v>
      </c>
      <c r="L78" s="49" t="str">
        <f t="shared" si="18"/>
        <v/>
      </c>
      <c r="M78" s="49">
        <f>[2]합산자재!J54</f>
        <v>0</v>
      </c>
      <c r="N78" s="49" t="str">
        <f t="shared" si="19"/>
        <v/>
      </c>
      <c r="O78" s="49"/>
      <c r="P78" s="49">
        <f t="shared" si="20"/>
        <v>8800</v>
      </c>
      <c r="Q78" s="78"/>
      <c r="Z78" s="2" t="s">
        <v>490</v>
      </c>
    </row>
    <row r="79" spans="1:26" ht="23.25" customHeight="1" x14ac:dyDescent="0.15">
      <c r="A79" s="21" t="s">
        <v>491</v>
      </c>
      <c r="B79" s="21" t="s">
        <v>483</v>
      </c>
      <c r="C79" s="1" t="s">
        <v>334</v>
      </c>
      <c r="D79" s="140" t="s">
        <v>833</v>
      </c>
      <c r="E79" s="140" t="s">
        <v>953</v>
      </c>
      <c r="F79" s="141" t="s">
        <v>172</v>
      </c>
      <c r="G79" s="144">
        <v>30</v>
      </c>
      <c r="H79" s="143">
        <v>757</v>
      </c>
      <c r="I79" s="49">
        <f t="shared" si="17"/>
        <v>22710</v>
      </c>
      <c r="J79" s="49">
        <f t="shared" si="21"/>
        <v>30</v>
      </c>
      <c r="K79" s="49">
        <f>[2]합산자재!I75</f>
        <v>0</v>
      </c>
      <c r="L79" s="49" t="str">
        <f t="shared" si="18"/>
        <v/>
      </c>
      <c r="M79" s="49">
        <f>[2]합산자재!J75</f>
        <v>0</v>
      </c>
      <c r="N79" s="49" t="str">
        <f t="shared" si="19"/>
        <v/>
      </c>
      <c r="O79" s="49"/>
      <c r="P79" s="49">
        <f t="shared" si="20"/>
        <v>22710</v>
      </c>
      <c r="Q79" s="78"/>
    </row>
    <row r="80" spans="1:26" ht="23.25" customHeight="1" x14ac:dyDescent="0.15">
      <c r="A80" s="21" t="s">
        <v>488</v>
      </c>
      <c r="B80" s="21" t="s">
        <v>483</v>
      </c>
      <c r="C80" s="1" t="s">
        <v>220</v>
      </c>
      <c r="D80" s="140" t="s">
        <v>825</v>
      </c>
      <c r="E80" s="140" t="s">
        <v>858</v>
      </c>
      <c r="F80" s="141" t="s">
        <v>190</v>
      </c>
      <c r="G80" s="144">
        <v>4</v>
      </c>
      <c r="H80" s="143">
        <v>177154</v>
      </c>
      <c r="I80" s="90">
        <f t="shared" si="17"/>
        <v>708616</v>
      </c>
      <c r="J80" s="49">
        <f>G80</f>
        <v>4</v>
      </c>
      <c r="K80" s="49">
        <f>[2]합산자재!I50</f>
        <v>0</v>
      </c>
      <c r="L80" s="90" t="str">
        <f t="shared" si="18"/>
        <v/>
      </c>
      <c r="M80" s="49">
        <f>[2]합산자재!J50</f>
        <v>0</v>
      </c>
      <c r="N80" s="90" t="str">
        <f t="shared" si="19"/>
        <v/>
      </c>
      <c r="O80" s="49"/>
      <c r="P80" s="49">
        <f t="shared" si="20"/>
        <v>708616</v>
      </c>
      <c r="Q80" s="78"/>
    </row>
    <row r="81" spans="1:26" ht="23.25" customHeight="1" x14ac:dyDescent="0.15">
      <c r="A81" s="21" t="s">
        <v>489</v>
      </c>
      <c r="B81" s="21" t="s">
        <v>483</v>
      </c>
      <c r="C81" s="1" t="s">
        <v>241</v>
      </c>
      <c r="D81" s="140" t="s">
        <v>986</v>
      </c>
      <c r="E81" s="140" t="s">
        <v>987</v>
      </c>
      <c r="F81" s="141" t="s">
        <v>190</v>
      </c>
      <c r="G81" s="144">
        <v>2</v>
      </c>
      <c r="H81" s="143">
        <v>246048</v>
      </c>
      <c r="I81" s="49">
        <f t="shared" si="17"/>
        <v>492096</v>
      </c>
      <c r="J81" s="49">
        <f t="shared" ref="J81:J99" si="22">G81</f>
        <v>2</v>
      </c>
      <c r="K81" s="49">
        <f>[2]합산자재!I57</f>
        <v>0</v>
      </c>
      <c r="L81" s="49" t="str">
        <f t="shared" si="18"/>
        <v/>
      </c>
      <c r="M81" s="49">
        <f>[2]합산자재!J57</f>
        <v>0</v>
      </c>
      <c r="N81" s="49" t="str">
        <f t="shared" si="19"/>
        <v/>
      </c>
      <c r="O81" s="49"/>
      <c r="P81" s="49">
        <f t="shared" si="20"/>
        <v>492096</v>
      </c>
      <c r="Q81" s="78"/>
      <c r="Z81" s="2" t="s">
        <v>490</v>
      </c>
    </row>
    <row r="82" spans="1:26" ht="23.25" customHeight="1" x14ac:dyDescent="0.15">
      <c r="A82" s="21" t="s">
        <v>491</v>
      </c>
      <c r="B82" s="21" t="s">
        <v>483</v>
      </c>
      <c r="C82" s="1" t="s">
        <v>334</v>
      </c>
      <c r="D82" s="140" t="s">
        <v>827</v>
      </c>
      <c r="E82" s="140" t="s">
        <v>828</v>
      </c>
      <c r="F82" s="141" t="s">
        <v>190</v>
      </c>
      <c r="G82" s="144">
        <v>4</v>
      </c>
      <c r="H82" s="143">
        <v>2475</v>
      </c>
      <c r="I82" s="49">
        <f t="shared" si="17"/>
        <v>9900</v>
      </c>
      <c r="J82" s="49">
        <f t="shared" si="22"/>
        <v>4</v>
      </c>
      <c r="K82" s="49">
        <f>[2]합산자재!I78</f>
        <v>0</v>
      </c>
      <c r="L82" s="49" t="str">
        <f t="shared" si="18"/>
        <v/>
      </c>
      <c r="M82" s="49">
        <f>[2]합산자재!J78</f>
        <v>0</v>
      </c>
      <c r="N82" s="49" t="str">
        <f t="shared" si="19"/>
        <v/>
      </c>
      <c r="O82" s="49"/>
      <c r="P82" s="49">
        <f t="shared" si="20"/>
        <v>9900</v>
      </c>
      <c r="Q82" s="78"/>
    </row>
    <row r="83" spans="1:26" ht="23.25" customHeight="1" x14ac:dyDescent="0.15">
      <c r="A83" s="21" t="s">
        <v>492</v>
      </c>
      <c r="B83" s="21" t="s">
        <v>483</v>
      </c>
      <c r="C83" s="1" t="s">
        <v>338</v>
      </c>
      <c r="D83" s="140" t="s">
        <v>829</v>
      </c>
      <c r="E83" s="140" t="s">
        <v>861</v>
      </c>
      <c r="F83" s="141" t="s">
        <v>190</v>
      </c>
      <c r="G83" s="144">
        <v>2</v>
      </c>
      <c r="H83" s="143">
        <v>220</v>
      </c>
      <c r="I83" s="49">
        <f t="shared" si="17"/>
        <v>440</v>
      </c>
      <c r="J83" s="49">
        <f t="shared" si="22"/>
        <v>2</v>
      </c>
      <c r="K83" s="49">
        <v>0</v>
      </c>
      <c r="L83" s="49" t="str">
        <f t="shared" si="18"/>
        <v/>
      </c>
      <c r="M83" s="49">
        <f>[2]합산자재!J79</f>
        <v>0</v>
      </c>
      <c r="N83" s="49" t="str">
        <f t="shared" si="19"/>
        <v/>
      </c>
      <c r="O83" s="49"/>
      <c r="P83" s="49">
        <f t="shared" si="20"/>
        <v>440</v>
      </c>
      <c r="Q83" s="78"/>
    </row>
    <row r="84" spans="1:26" ht="23.25" customHeight="1" x14ac:dyDescent="0.15">
      <c r="A84" s="21" t="s">
        <v>493</v>
      </c>
      <c r="B84" s="21" t="s">
        <v>483</v>
      </c>
      <c r="C84" s="1" t="s">
        <v>215</v>
      </c>
      <c r="D84" s="140" t="s">
        <v>807</v>
      </c>
      <c r="E84" s="140" t="s">
        <v>862</v>
      </c>
      <c r="F84" s="141" t="s">
        <v>190</v>
      </c>
      <c r="G84" s="144">
        <v>2</v>
      </c>
      <c r="H84" s="143">
        <v>2343</v>
      </c>
      <c r="I84" s="49">
        <f t="shared" si="17"/>
        <v>4686</v>
      </c>
      <c r="J84" s="49">
        <f t="shared" si="22"/>
        <v>2</v>
      </c>
      <c r="K84" s="49">
        <v>0</v>
      </c>
      <c r="L84" s="49" t="str">
        <f t="shared" si="18"/>
        <v/>
      </c>
      <c r="M84" s="49">
        <f>[2]합산자재!J48</f>
        <v>0</v>
      </c>
      <c r="N84" s="49" t="str">
        <f t="shared" si="19"/>
        <v/>
      </c>
      <c r="O84" s="49"/>
      <c r="P84" s="49">
        <f t="shared" si="20"/>
        <v>4686</v>
      </c>
      <c r="Q84" s="78"/>
    </row>
    <row r="85" spans="1:26" ht="23.25" customHeight="1" x14ac:dyDescent="0.15">
      <c r="A85" s="21" t="s">
        <v>494</v>
      </c>
      <c r="B85" s="21" t="s">
        <v>483</v>
      </c>
      <c r="C85" s="1" t="s">
        <v>218</v>
      </c>
      <c r="D85" s="140" t="s">
        <v>863</v>
      </c>
      <c r="E85" s="140" t="s">
        <v>864</v>
      </c>
      <c r="F85" s="141" t="s">
        <v>190</v>
      </c>
      <c r="G85" s="144">
        <v>30</v>
      </c>
      <c r="H85" s="143">
        <v>7900</v>
      </c>
      <c r="I85" s="49">
        <f t="shared" si="17"/>
        <v>237000</v>
      </c>
      <c r="J85" s="49">
        <f t="shared" si="22"/>
        <v>30</v>
      </c>
      <c r="K85" s="49">
        <f>[2]합산자재!I49</f>
        <v>0</v>
      </c>
      <c r="L85" s="49" t="str">
        <f t="shared" si="18"/>
        <v/>
      </c>
      <c r="M85" s="49">
        <f>[2]합산자재!J49</f>
        <v>0</v>
      </c>
      <c r="N85" s="49" t="str">
        <f t="shared" si="19"/>
        <v/>
      </c>
      <c r="O85" s="49"/>
      <c r="P85" s="49">
        <f t="shared" si="20"/>
        <v>237000</v>
      </c>
      <c r="Q85" s="78"/>
    </row>
    <row r="86" spans="1:26" ht="23.25" customHeight="1" x14ac:dyDescent="0.15">
      <c r="A86" s="21" t="s">
        <v>488</v>
      </c>
      <c r="B86" s="21" t="s">
        <v>483</v>
      </c>
      <c r="C86" s="1" t="s">
        <v>220</v>
      </c>
      <c r="D86" s="140" t="s">
        <v>995</v>
      </c>
      <c r="E86" s="140" t="s">
        <v>996</v>
      </c>
      <c r="F86" s="141" t="s">
        <v>190</v>
      </c>
      <c r="G86" s="144">
        <v>2</v>
      </c>
      <c r="H86" s="143">
        <v>14000</v>
      </c>
      <c r="I86" s="90">
        <f t="shared" si="17"/>
        <v>28000</v>
      </c>
      <c r="J86" s="49">
        <f t="shared" si="22"/>
        <v>2</v>
      </c>
      <c r="K86" s="49">
        <v>0</v>
      </c>
      <c r="L86" s="90" t="str">
        <f t="shared" si="18"/>
        <v/>
      </c>
      <c r="M86" s="49">
        <f>[2]합산자재!J56</f>
        <v>0</v>
      </c>
      <c r="N86" s="90" t="str">
        <f t="shared" si="19"/>
        <v/>
      </c>
      <c r="O86" s="49"/>
      <c r="P86" s="49">
        <f t="shared" si="20"/>
        <v>28000</v>
      </c>
      <c r="Q86" s="78"/>
    </row>
    <row r="87" spans="1:26" ht="23.25" customHeight="1" x14ac:dyDescent="0.15">
      <c r="A87" s="21" t="s">
        <v>489</v>
      </c>
      <c r="B87" s="21" t="s">
        <v>483</v>
      </c>
      <c r="C87" s="1" t="s">
        <v>241</v>
      </c>
      <c r="D87" s="140" t="s">
        <v>819</v>
      </c>
      <c r="E87" s="140" t="s">
        <v>847</v>
      </c>
      <c r="F87" s="141" t="s">
        <v>190</v>
      </c>
      <c r="G87" s="144">
        <v>2</v>
      </c>
      <c r="H87" s="143">
        <v>14000</v>
      </c>
      <c r="I87" s="49">
        <f t="shared" si="17"/>
        <v>28000</v>
      </c>
      <c r="J87" s="49">
        <f t="shared" si="22"/>
        <v>2</v>
      </c>
      <c r="K87" s="49">
        <f>[2]합산자재!I63</f>
        <v>0</v>
      </c>
      <c r="L87" s="49" t="str">
        <f t="shared" si="18"/>
        <v/>
      </c>
      <c r="M87" s="49">
        <f>[2]합산자재!J63</f>
        <v>0</v>
      </c>
      <c r="N87" s="49" t="str">
        <f t="shared" si="19"/>
        <v/>
      </c>
      <c r="O87" s="49"/>
      <c r="P87" s="49">
        <f t="shared" si="20"/>
        <v>28000</v>
      </c>
      <c r="Q87" s="78"/>
      <c r="Z87" s="2" t="s">
        <v>490</v>
      </c>
    </row>
    <row r="88" spans="1:26" ht="23.25" customHeight="1" x14ac:dyDescent="0.15">
      <c r="A88" s="21" t="s">
        <v>491</v>
      </c>
      <c r="B88" s="21" t="s">
        <v>483</v>
      </c>
      <c r="C88" s="1" t="s">
        <v>334</v>
      </c>
      <c r="D88" s="140" t="s">
        <v>971</v>
      </c>
      <c r="E88" s="140" t="s">
        <v>972</v>
      </c>
      <c r="F88" s="141" t="s">
        <v>818</v>
      </c>
      <c r="G88" s="144">
        <v>2</v>
      </c>
      <c r="H88" s="143">
        <v>1320</v>
      </c>
      <c r="I88" s="49">
        <f t="shared" si="17"/>
        <v>2640</v>
      </c>
      <c r="J88" s="49">
        <f t="shared" si="22"/>
        <v>2</v>
      </c>
      <c r="K88" s="49">
        <f>[2]합산자재!I84</f>
        <v>0</v>
      </c>
      <c r="L88" s="49" t="str">
        <f t="shared" si="18"/>
        <v/>
      </c>
      <c r="M88" s="49">
        <f>[2]합산자재!J84</f>
        <v>0</v>
      </c>
      <c r="N88" s="49" t="str">
        <f t="shared" si="19"/>
        <v/>
      </c>
      <c r="O88" s="49"/>
      <c r="P88" s="49">
        <f t="shared" si="20"/>
        <v>2640</v>
      </c>
      <c r="Q88" s="78"/>
    </row>
    <row r="89" spans="1:26" ht="23.25" customHeight="1" x14ac:dyDescent="0.15">
      <c r="A89" s="21" t="s">
        <v>492</v>
      </c>
      <c r="B89" s="21" t="s">
        <v>483</v>
      </c>
      <c r="C89" s="1" t="s">
        <v>338</v>
      </c>
      <c r="D89" s="140" t="s">
        <v>850</v>
      </c>
      <c r="E89" s="140"/>
      <c r="F89" s="141" t="s">
        <v>190</v>
      </c>
      <c r="G89" s="144">
        <v>2</v>
      </c>
      <c r="H89" s="143">
        <v>1980</v>
      </c>
      <c r="I89" s="49">
        <f t="shared" si="17"/>
        <v>3960</v>
      </c>
      <c r="J89" s="49">
        <f t="shared" si="22"/>
        <v>2</v>
      </c>
      <c r="K89" s="49">
        <f>[2]합산자재!I85</f>
        <v>0</v>
      </c>
      <c r="L89" s="49" t="str">
        <f t="shared" si="18"/>
        <v/>
      </c>
      <c r="M89" s="49">
        <f>[2]합산자재!J85</f>
        <v>0</v>
      </c>
      <c r="N89" s="49" t="str">
        <f t="shared" si="19"/>
        <v/>
      </c>
      <c r="O89" s="49"/>
      <c r="P89" s="49">
        <f t="shared" si="20"/>
        <v>3960</v>
      </c>
      <c r="Q89" s="78"/>
    </row>
    <row r="90" spans="1:26" ht="23.25" customHeight="1" x14ac:dyDescent="0.15">
      <c r="A90" s="21" t="s">
        <v>493</v>
      </c>
      <c r="B90" s="21" t="s">
        <v>483</v>
      </c>
      <c r="C90" s="1" t="s">
        <v>215</v>
      </c>
      <c r="D90" s="140" t="s">
        <v>851</v>
      </c>
      <c r="E90" s="140"/>
      <c r="F90" s="141" t="s">
        <v>190</v>
      </c>
      <c r="G90" s="144">
        <v>2</v>
      </c>
      <c r="H90" s="143">
        <v>23100</v>
      </c>
      <c r="I90" s="49">
        <f t="shared" si="17"/>
        <v>46200</v>
      </c>
      <c r="J90" s="49">
        <f t="shared" si="22"/>
        <v>2</v>
      </c>
      <c r="K90" s="49">
        <f>[2]합산자재!I54</f>
        <v>0</v>
      </c>
      <c r="L90" s="49" t="str">
        <f t="shared" si="18"/>
        <v/>
      </c>
      <c r="M90" s="49">
        <f>[2]합산자재!J54</f>
        <v>0</v>
      </c>
      <c r="N90" s="49" t="str">
        <f t="shared" si="19"/>
        <v/>
      </c>
      <c r="O90" s="49"/>
      <c r="P90" s="49">
        <f t="shared" si="20"/>
        <v>46200</v>
      </c>
      <c r="Q90" s="78"/>
    </row>
    <row r="91" spans="1:26" ht="23.25" customHeight="1" x14ac:dyDescent="0.15">
      <c r="A91" s="21" t="s">
        <v>488</v>
      </c>
      <c r="B91" s="21" t="s">
        <v>483</v>
      </c>
      <c r="C91" s="1" t="s">
        <v>220</v>
      </c>
      <c r="D91" s="140" t="s">
        <v>977</v>
      </c>
      <c r="E91" s="140" t="s">
        <v>980</v>
      </c>
      <c r="F91" s="141" t="s">
        <v>190</v>
      </c>
      <c r="G91" s="144">
        <v>2</v>
      </c>
      <c r="H91" s="143">
        <v>75000</v>
      </c>
      <c r="I91" s="90">
        <f t="shared" si="17"/>
        <v>150000</v>
      </c>
      <c r="J91" s="49">
        <f t="shared" si="22"/>
        <v>2</v>
      </c>
      <c r="K91" s="49">
        <f>[2]합산자재!I55</f>
        <v>0</v>
      </c>
      <c r="L91" s="90" t="str">
        <f t="shared" si="18"/>
        <v/>
      </c>
      <c r="M91" s="49">
        <f>[2]합산자재!J61</f>
        <v>0</v>
      </c>
      <c r="N91" s="90" t="str">
        <f t="shared" si="19"/>
        <v/>
      </c>
      <c r="O91" s="49"/>
      <c r="P91" s="49">
        <f t="shared" si="20"/>
        <v>150000</v>
      </c>
      <c r="Q91" s="78"/>
    </row>
    <row r="92" spans="1:26" ht="23.25" customHeight="1" x14ac:dyDescent="0.15">
      <c r="A92" s="21" t="s">
        <v>489</v>
      </c>
      <c r="B92" s="21" t="s">
        <v>483</v>
      </c>
      <c r="C92" s="1" t="s">
        <v>241</v>
      </c>
      <c r="D92" s="140" t="s">
        <v>853</v>
      </c>
      <c r="E92" s="140" t="s">
        <v>854</v>
      </c>
      <c r="F92" s="141" t="s">
        <v>190</v>
      </c>
      <c r="G92" s="144">
        <v>2</v>
      </c>
      <c r="H92" s="143">
        <v>18000</v>
      </c>
      <c r="I92" s="49">
        <f t="shared" si="17"/>
        <v>36000</v>
      </c>
      <c r="J92" s="49">
        <f t="shared" si="22"/>
        <v>2</v>
      </c>
      <c r="K92" s="49">
        <v>0</v>
      </c>
      <c r="L92" s="49" t="str">
        <f t="shared" si="18"/>
        <v/>
      </c>
      <c r="M92" s="49">
        <f>[2]합산자재!J68</f>
        <v>0</v>
      </c>
      <c r="N92" s="49" t="str">
        <f t="shared" si="19"/>
        <v/>
      </c>
      <c r="O92" s="49"/>
      <c r="P92" s="49">
        <f t="shared" si="20"/>
        <v>36000</v>
      </c>
      <c r="Q92" s="78"/>
      <c r="Z92" s="2" t="s">
        <v>490</v>
      </c>
    </row>
    <row r="93" spans="1:26" ht="23.25" customHeight="1" x14ac:dyDescent="0.15">
      <c r="A93" s="21" t="s">
        <v>491</v>
      </c>
      <c r="B93" s="21" t="s">
        <v>483</v>
      </c>
      <c r="C93" s="1" t="s">
        <v>334</v>
      </c>
      <c r="D93" s="140" t="s">
        <v>823</v>
      </c>
      <c r="E93" s="140" t="s">
        <v>982</v>
      </c>
      <c r="F93" s="141" t="s">
        <v>172</v>
      </c>
      <c r="G93" s="144">
        <v>7</v>
      </c>
      <c r="H93" s="143">
        <v>45020</v>
      </c>
      <c r="I93" s="49">
        <f t="shared" si="17"/>
        <v>315140</v>
      </c>
      <c r="J93" s="49">
        <f t="shared" si="22"/>
        <v>7</v>
      </c>
      <c r="K93" s="49">
        <f>[2]합산자재!I57</f>
        <v>0</v>
      </c>
      <c r="L93" s="49" t="str">
        <f t="shared" si="18"/>
        <v/>
      </c>
      <c r="M93" s="49">
        <f>[2]합산자재!J89</f>
        <v>0</v>
      </c>
      <c r="N93" s="49" t="str">
        <f t="shared" si="19"/>
        <v/>
      </c>
      <c r="O93" s="49"/>
      <c r="P93" s="49">
        <f t="shared" si="20"/>
        <v>315140</v>
      </c>
      <c r="Q93" s="78"/>
    </row>
    <row r="94" spans="1:26" ht="23.25" customHeight="1" x14ac:dyDescent="0.15">
      <c r="A94" s="21" t="s">
        <v>492</v>
      </c>
      <c r="B94" s="21" t="s">
        <v>483</v>
      </c>
      <c r="C94" s="1" t="s">
        <v>338</v>
      </c>
      <c r="D94" s="140" t="s">
        <v>831</v>
      </c>
      <c r="E94" s="140" t="s">
        <v>832</v>
      </c>
      <c r="F94" s="141" t="s">
        <v>190</v>
      </c>
      <c r="G94" s="144">
        <v>2</v>
      </c>
      <c r="H94" s="143">
        <v>1733</v>
      </c>
      <c r="I94" s="49">
        <f t="shared" si="17"/>
        <v>3466</v>
      </c>
      <c r="J94" s="49">
        <f t="shared" si="22"/>
        <v>2</v>
      </c>
      <c r="K94" s="49">
        <f>[2]합산자재!I58</f>
        <v>0</v>
      </c>
      <c r="L94" s="49" t="str">
        <f t="shared" si="18"/>
        <v/>
      </c>
      <c r="M94" s="49">
        <f>[2]합산자재!J90</f>
        <v>0</v>
      </c>
      <c r="N94" s="49" t="str">
        <f t="shared" si="19"/>
        <v/>
      </c>
      <c r="O94" s="49"/>
      <c r="P94" s="49">
        <f t="shared" si="20"/>
        <v>3466</v>
      </c>
      <c r="Q94" s="78"/>
    </row>
    <row r="95" spans="1:26" ht="23.25" customHeight="1" x14ac:dyDescent="0.15">
      <c r="A95" s="21" t="s">
        <v>493</v>
      </c>
      <c r="B95" s="21" t="s">
        <v>483</v>
      </c>
      <c r="C95" s="1" t="s">
        <v>215</v>
      </c>
      <c r="D95" s="140" t="s">
        <v>856</v>
      </c>
      <c r="E95" s="140" t="s">
        <v>857</v>
      </c>
      <c r="F95" s="141" t="s">
        <v>190</v>
      </c>
      <c r="G95" s="144">
        <v>2</v>
      </c>
      <c r="H95" s="143">
        <v>1133</v>
      </c>
      <c r="I95" s="49">
        <f t="shared" si="17"/>
        <v>2266</v>
      </c>
      <c r="J95" s="49">
        <f t="shared" si="22"/>
        <v>2</v>
      </c>
      <c r="K95" s="49">
        <f>[2]합산자재!I59</f>
        <v>0</v>
      </c>
      <c r="L95" s="49" t="str">
        <f t="shared" si="18"/>
        <v/>
      </c>
      <c r="M95" s="49">
        <f>[2]합산자재!J59</f>
        <v>0</v>
      </c>
      <c r="N95" s="49" t="str">
        <f t="shared" si="19"/>
        <v/>
      </c>
      <c r="O95" s="49"/>
      <c r="P95" s="49">
        <f t="shared" si="20"/>
        <v>2266</v>
      </c>
      <c r="Q95" s="78"/>
    </row>
    <row r="96" spans="1:26" ht="23.25" customHeight="1" x14ac:dyDescent="0.15">
      <c r="A96" s="21" t="s">
        <v>494</v>
      </c>
      <c r="B96" s="21" t="s">
        <v>483</v>
      </c>
      <c r="C96" s="1" t="s">
        <v>218</v>
      </c>
      <c r="D96" s="140" t="s">
        <v>833</v>
      </c>
      <c r="E96" s="140" t="s">
        <v>834</v>
      </c>
      <c r="F96" s="141" t="s">
        <v>172</v>
      </c>
      <c r="G96" s="144">
        <v>30</v>
      </c>
      <c r="H96" s="143">
        <v>5250</v>
      </c>
      <c r="I96" s="49">
        <f t="shared" si="17"/>
        <v>157500</v>
      </c>
      <c r="J96" s="49">
        <f t="shared" si="22"/>
        <v>30</v>
      </c>
      <c r="K96" s="49">
        <v>0</v>
      </c>
      <c r="L96" s="49" t="str">
        <f t="shared" si="18"/>
        <v/>
      </c>
      <c r="M96" s="49">
        <f>[2]합산자재!J60</f>
        <v>0</v>
      </c>
      <c r="N96" s="49" t="str">
        <f t="shared" si="19"/>
        <v/>
      </c>
      <c r="O96" s="49"/>
      <c r="P96" s="49">
        <f t="shared" si="20"/>
        <v>157500</v>
      </c>
      <c r="Q96" s="78"/>
    </row>
    <row r="97" spans="1:26" ht="23.25" customHeight="1" x14ac:dyDescent="0.15">
      <c r="A97" s="21" t="s">
        <v>488</v>
      </c>
      <c r="B97" s="21" t="s">
        <v>483</v>
      </c>
      <c r="C97" s="1" t="s">
        <v>220</v>
      </c>
      <c r="D97" s="140" t="s">
        <v>825</v>
      </c>
      <c r="E97" s="140" t="s">
        <v>858</v>
      </c>
      <c r="F97" s="141" t="s">
        <v>190</v>
      </c>
      <c r="G97" s="144">
        <v>4</v>
      </c>
      <c r="H97" s="143">
        <v>2365</v>
      </c>
      <c r="I97" s="90">
        <f t="shared" si="17"/>
        <v>9460</v>
      </c>
      <c r="J97" s="49">
        <f t="shared" si="22"/>
        <v>4</v>
      </c>
      <c r="K97" s="49">
        <v>0</v>
      </c>
      <c r="L97" s="90" t="str">
        <f t="shared" si="18"/>
        <v/>
      </c>
      <c r="M97" s="49">
        <f>[2]합산자재!J67</f>
        <v>0</v>
      </c>
      <c r="N97" s="90" t="str">
        <f t="shared" si="19"/>
        <v/>
      </c>
      <c r="O97" s="49"/>
      <c r="P97" s="49">
        <f t="shared" si="20"/>
        <v>9460</v>
      </c>
      <c r="Q97" s="78"/>
    </row>
    <row r="98" spans="1:26" ht="23.25" customHeight="1" x14ac:dyDescent="0.15">
      <c r="A98" s="21" t="s">
        <v>489</v>
      </c>
      <c r="B98" s="21" t="s">
        <v>483</v>
      </c>
      <c r="C98" s="1" t="s">
        <v>241</v>
      </c>
      <c r="D98" s="140" t="s">
        <v>859</v>
      </c>
      <c r="E98" s="140" t="s">
        <v>860</v>
      </c>
      <c r="F98" s="141" t="s">
        <v>190</v>
      </c>
      <c r="G98" s="144">
        <v>2</v>
      </c>
      <c r="H98" s="143">
        <v>4400</v>
      </c>
      <c r="I98" s="49">
        <f t="shared" si="17"/>
        <v>8800</v>
      </c>
      <c r="J98" s="49">
        <f t="shared" si="22"/>
        <v>2</v>
      </c>
      <c r="K98" s="49">
        <f>[2]합산자재!I74</f>
        <v>0</v>
      </c>
      <c r="L98" s="49" t="str">
        <f t="shared" si="18"/>
        <v/>
      </c>
      <c r="M98" s="49">
        <f>[2]합산자재!J74</f>
        <v>0</v>
      </c>
      <c r="N98" s="49" t="str">
        <f t="shared" si="19"/>
        <v/>
      </c>
      <c r="O98" s="49"/>
      <c r="P98" s="49">
        <f t="shared" si="20"/>
        <v>8800</v>
      </c>
      <c r="Q98" s="78"/>
      <c r="Z98" s="2" t="s">
        <v>490</v>
      </c>
    </row>
    <row r="99" spans="1:26" ht="23.25" customHeight="1" x14ac:dyDescent="0.15">
      <c r="A99" s="21" t="s">
        <v>491</v>
      </c>
      <c r="B99" s="21" t="s">
        <v>483</v>
      </c>
      <c r="C99" s="1" t="s">
        <v>334</v>
      </c>
      <c r="D99" s="140" t="s">
        <v>827</v>
      </c>
      <c r="E99" s="140" t="s">
        <v>828</v>
      </c>
      <c r="F99" s="141" t="s">
        <v>190</v>
      </c>
      <c r="G99" s="144">
        <v>4</v>
      </c>
      <c r="H99" s="143">
        <v>757</v>
      </c>
      <c r="I99" s="49">
        <f t="shared" si="17"/>
        <v>3028</v>
      </c>
      <c r="J99" s="49">
        <f t="shared" si="22"/>
        <v>4</v>
      </c>
      <c r="K99" s="49">
        <f>[2]합산자재!I95</f>
        <v>0</v>
      </c>
      <c r="L99" s="49" t="str">
        <f t="shared" si="18"/>
        <v/>
      </c>
      <c r="M99" s="49">
        <f>[2]합산자재!J95</f>
        <v>0</v>
      </c>
      <c r="N99" s="49" t="str">
        <f t="shared" si="19"/>
        <v/>
      </c>
      <c r="O99" s="49"/>
      <c r="P99" s="49">
        <f t="shared" si="20"/>
        <v>3028</v>
      </c>
      <c r="Q99" s="78"/>
    </row>
    <row r="100" spans="1:26" ht="23.25" customHeight="1" x14ac:dyDescent="0.15">
      <c r="A100" s="21" t="s">
        <v>488</v>
      </c>
      <c r="B100" s="21" t="s">
        <v>483</v>
      </c>
      <c r="C100" s="1" t="s">
        <v>220</v>
      </c>
      <c r="D100" s="140" t="s">
        <v>829</v>
      </c>
      <c r="E100" s="140" t="s">
        <v>861</v>
      </c>
      <c r="F100" s="141" t="s">
        <v>190</v>
      </c>
      <c r="G100" s="144">
        <v>2</v>
      </c>
      <c r="H100" s="143">
        <v>177154</v>
      </c>
      <c r="I100" s="90">
        <f t="shared" si="17"/>
        <v>354308</v>
      </c>
      <c r="J100" s="49">
        <f>G100</f>
        <v>2</v>
      </c>
      <c r="K100" s="49">
        <f>[2]합산자재!I70</f>
        <v>0</v>
      </c>
      <c r="L100" s="90" t="str">
        <f t="shared" si="18"/>
        <v/>
      </c>
      <c r="M100" s="49">
        <f>[2]합산자재!J70</f>
        <v>0</v>
      </c>
      <c r="N100" s="90" t="str">
        <f t="shared" si="19"/>
        <v/>
      </c>
      <c r="O100" s="49"/>
      <c r="P100" s="49">
        <f t="shared" si="20"/>
        <v>354308</v>
      </c>
      <c r="Q100" s="78"/>
    </row>
    <row r="101" spans="1:26" ht="23.25" customHeight="1" x14ac:dyDescent="0.15">
      <c r="A101" s="21" t="s">
        <v>489</v>
      </c>
      <c r="B101" s="21" t="s">
        <v>483</v>
      </c>
      <c r="C101" s="1" t="s">
        <v>241</v>
      </c>
      <c r="D101" s="140" t="s">
        <v>807</v>
      </c>
      <c r="E101" s="140" t="s">
        <v>862</v>
      </c>
      <c r="F101" s="141" t="s">
        <v>190</v>
      </c>
      <c r="G101" s="144">
        <v>2</v>
      </c>
      <c r="H101" s="143">
        <v>246048</v>
      </c>
      <c r="I101" s="49">
        <f t="shared" si="17"/>
        <v>492096</v>
      </c>
      <c r="J101" s="49">
        <f t="shared" ref="J101:J121" si="23">G101</f>
        <v>2</v>
      </c>
      <c r="K101" s="49">
        <f>[2]합산자재!I77</f>
        <v>0</v>
      </c>
      <c r="L101" s="49" t="str">
        <f t="shared" si="18"/>
        <v/>
      </c>
      <c r="M101" s="49">
        <f>[2]합산자재!J77</f>
        <v>0</v>
      </c>
      <c r="N101" s="49" t="str">
        <f t="shared" si="19"/>
        <v/>
      </c>
      <c r="O101" s="49"/>
      <c r="P101" s="49">
        <f t="shared" si="20"/>
        <v>492096</v>
      </c>
      <c r="Q101" s="78"/>
      <c r="Z101" s="2" t="s">
        <v>490</v>
      </c>
    </row>
    <row r="102" spans="1:26" ht="23.25" customHeight="1" x14ac:dyDescent="0.15">
      <c r="A102" s="21" t="s">
        <v>491</v>
      </c>
      <c r="B102" s="21" t="s">
        <v>483</v>
      </c>
      <c r="C102" s="1" t="s">
        <v>334</v>
      </c>
      <c r="D102" s="140" t="s">
        <v>989</v>
      </c>
      <c r="E102" s="140" t="s">
        <v>990</v>
      </c>
      <c r="F102" s="141" t="s">
        <v>190</v>
      </c>
      <c r="G102" s="144">
        <v>30</v>
      </c>
      <c r="H102" s="143">
        <v>2475</v>
      </c>
      <c r="I102" s="49">
        <f t="shared" si="17"/>
        <v>74250</v>
      </c>
      <c r="J102" s="49">
        <f t="shared" si="23"/>
        <v>30</v>
      </c>
      <c r="K102" s="49">
        <f>[2]합산자재!I98</f>
        <v>0</v>
      </c>
      <c r="L102" s="49" t="str">
        <f t="shared" si="18"/>
        <v/>
      </c>
      <c r="M102" s="49">
        <f>[2]합산자재!J98</f>
        <v>0</v>
      </c>
      <c r="N102" s="49" t="str">
        <f t="shared" si="19"/>
        <v/>
      </c>
      <c r="O102" s="49"/>
      <c r="P102" s="49">
        <f t="shared" si="20"/>
        <v>74250</v>
      </c>
      <c r="Q102" s="78"/>
    </row>
    <row r="103" spans="1:26" ht="23.25" customHeight="1" x14ac:dyDescent="0.15">
      <c r="A103" s="21" t="s">
        <v>492</v>
      </c>
      <c r="B103" s="21" t="s">
        <v>483</v>
      </c>
      <c r="C103" s="1" t="s">
        <v>338</v>
      </c>
      <c r="D103" s="140" t="s">
        <v>819</v>
      </c>
      <c r="E103" s="140" t="s">
        <v>847</v>
      </c>
      <c r="F103" s="141" t="s">
        <v>190</v>
      </c>
      <c r="G103" s="144">
        <v>2</v>
      </c>
      <c r="H103" s="143">
        <v>220</v>
      </c>
      <c r="I103" s="49">
        <f t="shared" si="17"/>
        <v>440</v>
      </c>
      <c r="J103" s="49">
        <f t="shared" si="23"/>
        <v>2</v>
      </c>
      <c r="K103" s="49">
        <v>0</v>
      </c>
      <c r="L103" s="49" t="str">
        <f t="shared" si="18"/>
        <v/>
      </c>
      <c r="M103" s="49">
        <f>[2]합산자재!J99</f>
        <v>0</v>
      </c>
      <c r="N103" s="49" t="str">
        <f t="shared" si="19"/>
        <v/>
      </c>
      <c r="O103" s="49"/>
      <c r="P103" s="49">
        <f t="shared" si="20"/>
        <v>440</v>
      </c>
      <c r="Q103" s="78"/>
    </row>
    <row r="104" spans="1:26" ht="23.25" customHeight="1" x14ac:dyDescent="0.15">
      <c r="A104" s="21" t="s">
        <v>493</v>
      </c>
      <c r="B104" s="21" t="s">
        <v>483</v>
      </c>
      <c r="C104" s="1" t="s">
        <v>215</v>
      </c>
      <c r="D104" s="140" t="s">
        <v>973</v>
      </c>
      <c r="E104" s="140" t="s">
        <v>974</v>
      </c>
      <c r="F104" s="141" t="s">
        <v>818</v>
      </c>
      <c r="G104" s="144">
        <v>4</v>
      </c>
      <c r="H104" s="143">
        <v>2343</v>
      </c>
      <c r="I104" s="49">
        <f t="shared" si="17"/>
        <v>9372</v>
      </c>
      <c r="J104" s="49">
        <f t="shared" si="23"/>
        <v>4</v>
      </c>
      <c r="K104" s="49">
        <f>[2]합산자재!I68</f>
        <v>0</v>
      </c>
      <c r="L104" s="49" t="str">
        <f t="shared" si="18"/>
        <v/>
      </c>
      <c r="M104" s="49">
        <f>[2]합산자재!J68</f>
        <v>0</v>
      </c>
      <c r="N104" s="49" t="str">
        <f t="shared" si="19"/>
        <v/>
      </c>
      <c r="O104" s="49"/>
      <c r="P104" s="49">
        <f t="shared" si="20"/>
        <v>9372</v>
      </c>
      <c r="Q104" s="78"/>
    </row>
    <row r="105" spans="1:26" ht="23.25" customHeight="1" x14ac:dyDescent="0.15">
      <c r="A105" s="21" t="s">
        <v>494</v>
      </c>
      <c r="B105" s="21" t="s">
        <v>483</v>
      </c>
      <c r="C105" s="1" t="s">
        <v>218</v>
      </c>
      <c r="D105" s="140" t="s">
        <v>816</v>
      </c>
      <c r="E105" s="140" t="s">
        <v>817</v>
      </c>
      <c r="F105" s="141" t="s">
        <v>818</v>
      </c>
      <c r="G105" s="144">
        <v>2</v>
      </c>
      <c r="H105" s="143">
        <v>7900</v>
      </c>
      <c r="I105" s="49">
        <f t="shared" si="17"/>
        <v>15800</v>
      </c>
      <c r="J105" s="49">
        <f t="shared" si="23"/>
        <v>2</v>
      </c>
      <c r="K105" s="49">
        <f>[2]합산자재!I69</f>
        <v>0</v>
      </c>
      <c r="L105" s="49" t="str">
        <f t="shared" si="18"/>
        <v/>
      </c>
      <c r="M105" s="49">
        <f>[2]합산자재!J69</f>
        <v>0</v>
      </c>
      <c r="N105" s="49" t="str">
        <f t="shared" si="19"/>
        <v/>
      </c>
      <c r="O105" s="49"/>
      <c r="P105" s="49">
        <f t="shared" si="20"/>
        <v>15800</v>
      </c>
      <c r="Q105" s="78"/>
    </row>
    <row r="106" spans="1:26" ht="23.25" customHeight="1" x14ac:dyDescent="0.15">
      <c r="A106" s="21" t="s">
        <v>488</v>
      </c>
      <c r="B106" s="21" t="s">
        <v>483</v>
      </c>
      <c r="C106" s="1" t="s">
        <v>220</v>
      </c>
      <c r="D106" s="140" t="s">
        <v>850</v>
      </c>
      <c r="E106" s="140"/>
      <c r="F106" s="141" t="s">
        <v>190</v>
      </c>
      <c r="G106" s="144">
        <v>2</v>
      </c>
      <c r="H106" s="143">
        <v>14000</v>
      </c>
      <c r="I106" s="90">
        <f t="shared" si="17"/>
        <v>28000</v>
      </c>
      <c r="J106" s="49">
        <f t="shared" si="23"/>
        <v>2</v>
      </c>
      <c r="K106" s="49">
        <v>0</v>
      </c>
      <c r="L106" s="90" t="str">
        <f t="shared" si="18"/>
        <v/>
      </c>
      <c r="M106" s="49">
        <f>[2]합산자재!J76</f>
        <v>0</v>
      </c>
      <c r="N106" s="90" t="str">
        <f t="shared" si="19"/>
        <v/>
      </c>
      <c r="O106" s="49"/>
      <c r="P106" s="49">
        <f t="shared" si="20"/>
        <v>28000</v>
      </c>
      <c r="Q106" s="78"/>
    </row>
    <row r="107" spans="1:26" ht="23.25" customHeight="1" x14ac:dyDescent="0.15">
      <c r="A107" s="21" t="s">
        <v>489</v>
      </c>
      <c r="B107" s="21" t="s">
        <v>483</v>
      </c>
      <c r="C107" s="1" t="s">
        <v>241</v>
      </c>
      <c r="D107" s="140" t="s">
        <v>851</v>
      </c>
      <c r="E107" s="140"/>
      <c r="F107" s="141" t="s">
        <v>190</v>
      </c>
      <c r="G107" s="144">
        <v>2</v>
      </c>
      <c r="H107" s="143">
        <v>14000</v>
      </c>
      <c r="I107" s="49">
        <f t="shared" si="17"/>
        <v>28000</v>
      </c>
      <c r="J107" s="49">
        <f t="shared" si="23"/>
        <v>2</v>
      </c>
      <c r="K107" s="49">
        <f>[2]합산자재!I83</f>
        <v>0</v>
      </c>
      <c r="L107" s="49" t="str">
        <f t="shared" si="18"/>
        <v/>
      </c>
      <c r="M107" s="49">
        <f>[2]합산자재!J83</f>
        <v>0</v>
      </c>
      <c r="N107" s="49" t="str">
        <f t="shared" si="19"/>
        <v/>
      </c>
      <c r="O107" s="49"/>
      <c r="P107" s="49">
        <f t="shared" si="20"/>
        <v>28000</v>
      </c>
      <c r="Q107" s="78"/>
      <c r="Z107" s="2" t="s">
        <v>490</v>
      </c>
    </row>
    <row r="108" spans="1:26" ht="23.25" customHeight="1" x14ac:dyDescent="0.15">
      <c r="A108" s="21" t="s">
        <v>491</v>
      </c>
      <c r="B108" s="21" t="s">
        <v>483</v>
      </c>
      <c r="C108" s="1" t="s">
        <v>334</v>
      </c>
      <c r="D108" s="140" t="s">
        <v>852</v>
      </c>
      <c r="E108" s="140" t="s">
        <v>981</v>
      </c>
      <c r="F108" s="141" t="s">
        <v>190</v>
      </c>
      <c r="G108" s="144">
        <v>2</v>
      </c>
      <c r="H108" s="143">
        <v>1320</v>
      </c>
      <c r="I108" s="49">
        <f t="shared" si="17"/>
        <v>2640</v>
      </c>
      <c r="J108" s="49">
        <f t="shared" si="23"/>
        <v>2</v>
      </c>
      <c r="K108" s="49">
        <f>[2]합산자재!I104</f>
        <v>0</v>
      </c>
      <c r="L108" s="49" t="str">
        <f t="shared" si="18"/>
        <v/>
      </c>
      <c r="M108" s="49">
        <f>[2]합산자재!J104</f>
        <v>0</v>
      </c>
      <c r="N108" s="49" t="str">
        <f t="shared" si="19"/>
        <v/>
      </c>
      <c r="O108" s="49"/>
      <c r="P108" s="49">
        <f t="shared" si="20"/>
        <v>2640</v>
      </c>
      <c r="Q108" s="78"/>
    </row>
    <row r="109" spans="1:26" ht="23.25" customHeight="1" x14ac:dyDescent="0.15">
      <c r="A109" s="21" t="s">
        <v>492</v>
      </c>
      <c r="B109" s="21" t="s">
        <v>483</v>
      </c>
      <c r="C109" s="1" t="s">
        <v>338</v>
      </c>
      <c r="D109" s="140" t="s">
        <v>853</v>
      </c>
      <c r="E109" s="140" t="s">
        <v>854</v>
      </c>
      <c r="F109" s="141" t="s">
        <v>190</v>
      </c>
      <c r="G109" s="144">
        <v>2</v>
      </c>
      <c r="H109" s="143">
        <v>1980</v>
      </c>
      <c r="I109" s="49">
        <f t="shared" si="17"/>
        <v>3960</v>
      </c>
      <c r="J109" s="49">
        <f t="shared" si="23"/>
        <v>2</v>
      </c>
      <c r="K109" s="49">
        <f>[2]합산자재!I105</f>
        <v>0</v>
      </c>
      <c r="L109" s="49" t="str">
        <f t="shared" si="18"/>
        <v/>
      </c>
      <c r="M109" s="49">
        <f>[2]합산자재!J105</f>
        <v>0</v>
      </c>
      <c r="N109" s="49" t="str">
        <f t="shared" si="19"/>
        <v/>
      </c>
      <c r="O109" s="49"/>
      <c r="P109" s="49">
        <f t="shared" si="20"/>
        <v>3960</v>
      </c>
      <c r="Q109" s="78"/>
    </row>
    <row r="110" spans="1:26" ht="23.25" customHeight="1" x14ac:dyDescent="0.15">
      <c r="A110" s="21" t="s">
        <v>493</v>
      </c>
      <c r="B110" s="21" t="s">
        <v>483</v>
      </c>
      <c r="C110" s="1" t="s">
        <v>215</v>
      </c>
      <c r="D110" s="140" t="s">
        <v>823</v>
      </c>
      <c r="E110" s="140" t="s">
        <v>824</v>
      </c>
      <c r="F110" s="141" t="s">
        <v>172</v>
      </c>
      <c r="G110" s="144">
        <v>5.6</v>
      </c>
      <c r="H110" s="143">
        <v>23100</v>
      </c>
      <c r="I110" s="49">
        <f t="shared" si="17"/>
        <v>129360</v>
      </c>
      <c r="J110" s="49">
        <f t="shared" si="23"/>
        <v>5.6</v>
      </c>
      <c r="K110" s="49">
        <f>[2]합산자재!I74</f>
        <v>0</v>
      </c>
      <c r="L110" s="49" t="str">
        <f t="shared" si="18"/>
        <v/>
      </c>
      <c r="M110" s="49">
        <f>[2]합산자재!J74</f>
        <v>0</v>
      </c>
      <c r="N110" s="49" t="str">
        <f t="shared" si="19"/>
        <v/>
      </c>
      <c r="O110" s="49"/>
      <c r="P110" s="49">
        <f t="shared" si="20"/>
        <v>129360</v>
      </c>
      <c r="Q110" s="78"/>
    </row>
    <row r="111" spans="1:26" ht="23.25" customHeight="1" x14ac:dyDescent="0.15">
      <c r="A111" s="21" t="s">
        <v>488</v>
      </c>
      <c r="B111" s="21" t="s">
        <v>483</v>
      </c>
      <c r="C111" s="1" t="s">
        <v>220</v>
      </c>
      <c r="D111" s="140" t="s">
        <v>823</v>
      </c>
      <c r="E111" s="140" t="s">
        <v>824</v>
      </c>
      <c r="F111" s="141" t="s">
        <v>172</v>
      </c>
      <c r="G111" s="144">
        <v>5.6</v>
      </c>
      <c r="H111" s="143">
        <v>75000</v>
      </c>
      <c r="I111" s="90">
        <f t="shared" si="17"/>
        <v>420000</v>
      </c>
      <c r="J111" s="49">
        <f t="shared" si="23"/>
        <v>5.6</v>
      </c>
      <c r="K111" s="49">
        <f>[2]합산자재!I75</f>
        <v>0</v>
      </c>
      <c r="L111" s="90" t="str">
        <f t="shared" si="18"/>
        <v/>
      </c>
      <c r="M111" s="49">
        <f>[2]합산자재!J81</f>
        <v>0</v>
      </c>
      <c r="N111" s="90" t="str">
        <f t="shared" si="19"/>
        <v/>
      </c>
      <c r="O111" s="49"/>
      <c r="P111" s="49">
        <f t="shared" si="20"/>
        <v>420000</v>
      </c>
      <c r="Q111" s="78"/>
    </row>
    <row r="112" spans="1:26" ht="23.25" customHeight="1" x14ac:dyDescent="0.15">
      <c r="A112" s="21" t="s">
        <v>489</v>
      </c>
      <c r="B112" s="21" t="s">
        <v>483</v>
      </c>
      <c r="C112" s="1" t="s">
        <v>241</v>
      </c>
      <c r="D112" s="140" t="s">
        <v>831</v>
      </c>
      <c r="E112" s="140" t="s">
        <v>832</v>
      </c>
      <c r="F112" s="141" t="s">
        <v>190</v>
      </c>
      <c r="G112" s="144">
        <v>2</v>
      </c>
      <c r="H112" s="143">
        <v>18000</v>
      </c>
      <c r="I112" s="49">
        <f t="shared" si="17"/>
        <v>36000</v>
      </c>
      <c r="J112" s="49">
        <f t="shared" si="23"/>
        <v>2</v>
      </c>
      <c r="K112" s="49">
        <v>0</v>
      </c>
      <c r="L112" s="49" t="str">
        <f t="shared" si="18"/>
        <v/>
      </c>
      <c r="M112" s="49">
        <f>[2]합산자재!J88</f>
        <v>0</v>
      </c>
      <c r="N112" s="49" t="str">
        <f t="shared" si="19"/>
        <v/>
      </c>
      <c r="O112" s="49"/>
      <c r="P112" s="49">
        <f t="shared" si="20"/>
        <v>36000</v>
      </c>
      <c r="Q112" s="78"/>
      <c r="Z112" s="2" t="s">
        <v>490</v>
      </c>
    </row>
    <row r="113" spans="1:31" ht="23.25" customHeight="1" x14ac:dyDescent="0.15">
      <c r="A113" s="21" t="s">
        <v>491</v>
      </c>
      <c r="B113" s="21" t="s">
        <v>483</v>
      </c>
      <c r="C113" s="1" t="s">
        <v>334</v>
      </c>
      <c r="D113" s="140" t="s">
        <v>856</v>
      </c>
      <c r="E113" s="140" t="s">
        <v>857</v>
      </c>
      <c r="F113" s="141" t="s">
        <v>190</v>
      </c>
      <c r="G113" s="144">
        <v>6</v>
      </c>
      <c r="H113" s="143">
        <v>45020</v>
      </c>
      <c r="I113" s="49">
        <f t="shared" si="17"/>
        <v>270120</v>
      </c>
      <c r="J113" s="49">
        <f t="shared" si="23"/>
        <v>6</v>
      </c>
      <c r="K113" s="49">
        <f>[2]합산자재!I77</f>
        <v>0</v>
      </c>
      <c r="L113" s="49" t="str">
        <f t="shared" si="18"/>
        <v/>
      </c>
      <c r="M113" s="49">
        <f>[2]합산자재!J109</f>
        <v>0</v>
      </c>
      <c r="N113" s="49" t="str">
        <f t="shared" si="19"/>
        <v/>
      </c>
      <c r="O113" s="49"/>
      <c r="P113" s="49">
        <f t="shared" si="20"/>
        <v>270120</v>
      </c>
      <c r="Q113" s="78"/>
    </row>
    <row r="114" spans="1:31" ht="23.25" customHeight="1" x14ac:dyDescent="0.15">
      <c r="A114" s="21" t="s">
        <v>492</v>
      </c>
      <c r="B114" s="21" t="s">
        <v>483</v>
      </c>
      <c r="C114" s="1" t="s">
        <v>338</v>
      </c>
      <c r="D114" s="140" t="s">
        <v>833</v>
      </c>
      <c r="E114" s="140" t="s">
        <v>834</v>
      </c>
      <c r="F114" s="141" t="s">
        <v>172</v>
      </c>
      <c r="G114" s="144">
        <v>60</v>
      </c>
      <c r="H114" s="143">
        <v>1733</v>
      </c>
      <c r="I114" s="49">
        <f t="shared" si="17"/>
        <v>103980</v>
      </c>
      <c r="J114" s="49">
        <f t="shared" si="23"/>
        <v>60</v>
      </c>
      <c r="K114" s="49">
        <f>[2]합산자재!I78</f>
        <v>0</v>
      </c>
      <c r="L114" s="49" t="str">
        <f t="shared" si="18"/>
        <v/>
      </c>
      <c r="M114" s="49">
        <f>[2]합산자재!J110</f>
        <v>0</v>
      </c>
      <c r="N114" s="49" t="str">
        <f t="shared" si="19"/>
        <v/>
      </c>
      <c r="O114" s="49"/>
      <c r="P114" s="49">
        <f t="shared" si="20"/>
        <v>103980</v>
      </c>
      <c r="Q114" s="78"/>
    </row>
    <row r="115" spans="1:31" ht="23.25" customHeight="1" x14ac:dyDescent="0.15">
      <c r="A115" s="21" t="s">
        <v>493</v>
      </c>
      <c r="B115" s="21" t="s">
        <v>483</v>
      </c>
      <c r="C115" s="1" t="s">
        <v>215</v>
      </c>
      <c r="D115" s="140" t="s">
        <v>859</v>
      </c>
      <c r="E115" s="140" t="s">
        <v>860</v>
      </c>
      <c r="F115" s="141" t="s">
        <v>190</v>
      </c>
      <c r="G115" s="144">
        <v>2</v>
      </c>
      <c r="H115" s="143">
        <v>1133</v>
      </c>
      <c r="I115" s="49">
        <f t="shared" si="17"/>
        <v>2266</v>
      </c>
      <c r="J115" s="49">
        <f t="shared" si="23"/>
        <v>2</v>
      </c>
      <c r="K115" s="49">
        <f>[2]합산자재!I79</f>
        <v>0</v>
      </c>
      <c r="L115" s="49" t="str">
        <f t="shared" si="18"/>
        <v/>
      </c>
      <c r="M115" s="49">
        <f>[2]합산자재!J79</f>
        <v>0</v>
      </c>
      <c r="N115" s="49" t="str">
        <f t="shared" si="19"/>
        <v/>
      </c>
      <c r="O115" s="49"/>
      <c r="P115" s="49">
        <f t="shared" si="20"/>
        <v>2266</v>
      </c>
      <c r="Q115" s="78"/>
    </row>
    <row r="116" spans="1:31" ht="23.25" customHeight="1" x14ac:dyDescent="0.15">
      <c r="A116" s="21" t="s">
        <v>494</v>
      </c>
      <c r="B116" s="21" t="s">
        <v>483</v>
      </c>
      <c r="C116" s="1" t="s">
        <v>218</v>
      </c>
      <c r="D116" s="140" t="s">
        <v>827</v>
      </c>
      <c r="E116" s="140" t="s">
        <v>828</v>
      </c>
      <c r="F116" s="141" t="s">
        <v>190</v>
      </c>
      <c r="G116" s="144">
        <v>4</v>
      </c>
      <c r="H116" s="143">
        <v>5250</v>
      </c>
      <c r="I116" s="49">
        <f t="shared" si="17"/>
        <v>21000</v>
      </c>
      <c r="J116" s="49">
        <f t="shared" si="23"/>
        <v>4</v>
      </c>
      <c r="K116" s="49">
        <v>0</v>
      </c>
      <c r="L116" s="49" t="str">
        <f t="shared" si="18"/>
        <v/>
      </c>
      <c r="M116" s="49">
        <f>[2]합산자재!J80</f>
        <v>0</v>
      </c>
      <c r="N116" s="49" t="str">
        <f t="shared" si="19"/>
        <v/>
      </c>
      <c r="O116" s="49"/>
      <c r="P116" s="49">
        <f t="shared" si="20"/>
        <v>21000</v>
      </c>
      <c r="Q116" s="78"/>
    </row>
    <row r="117" spans="1:31" ht="23.25" customHeight="1" x14ac:dyDescent="0.15">
      <c r="A117" s="21" t="s">
        <v>488</v>
      </c>
      <c r="B117" s="21" t="s">
        <v>483</v>
      </c>
      <c r="C117" s="1" t="s">
        <v>220</v>
      </c>
      <c r="D117" s="140" t="s">
        <v>829</v>
      </c>
      <c r="E117" s="140" t="s">
        <v>861</v>
      </c>
      <c r="F117" s="141" t="s">
        <v>190</v>
      </c>
      <c r="G117" s="144">
        <v>2</v>
      </c>
      <c r="H117" s="143">
        <v>2365</v>
      </c>
      <c r="I117" s="90">
        <f t="shared" si="17"/>
        <v>4730</v>
      </c>
      <c r="J117" s="49">
        <f t="shared" si="23"/>
        <v>2</v>
      </c>
      <c r="K117" s="49">
        <v>0</v>
      </c>
      <c r="L117" s="90" t="str">
        <f t="shared" si="18"/>
        <v/>
      </c>
      <c r="M117" s="49">
        <f>[2]합산자재!J87</f>
        <v>0</v>
      </c>
      <c r="N117" s="90" t="str">
        <f t="shared" si="19"/>
        <v/>
      </c>
      <c r="O117" s="49"/>
      <c r="P117" s="49">
        <f t="shared" si="20"/>
        <v>4730</v>
      </c>
      <c r="Q117" s="78"/>
    </row>
    <row r="118" spans="1:31" ht="23.25" customHeight="1" x14ac:dyDescent="0.15">
      <c r="A118" s="21" t="s">
        <v>489</v>
      </c>
      <c r="B118" s="21" t="s">
        <v>483</v>
      </c>
      <c r="C118" s="1" t="s">
        <v>241</v>
      </c>
      <c r="D118" s="140" t="s">
        <v>807</v>
      </c>
      <c r="E118" s="140" t="s">
        <v>862</v>
      </c>
      <c r="F118" s="141" t="s">
        <v>190</v>
      </c>
      <c r="G118" s="144">
        <v>2</v>
      </c>
      <c r="H118" s="143">
        <v>4400</v>
      </c>
      <c r="I118" s="49">
        <f t="shared" si="17"/>
        <v>8800</v>
      </c>
      <c r="J118" s="49">
        <f t="shared" si="23"/>
        <v>2</v>
      </c>
      <c r="K118" s="49">
        <f>[2]합산자재!I92</f>
        <v>0</v>
      </c>
      <c r="L118" s="49" t="str">
        <f t="shared" si="18"/>
        <v/>
      </c>
      <c r="M118" s="49">
        <f>[2]합산자재!J92</f>
        <v>0</v>
      </c>
      <c r="N118" s="49" t="str">
        <f t="shared" si="19"/>
        <v/>
      </c>
      <c r="O118" s="49"/>
      <c r="P118" s="49">
        <f t="shared" si="20"/>
        <v>8800</v>
      </c>
      <c r="Q118" s="78"/>
      <c r="Z118" s="2" t="s">
        <v>490</v>
      </c>
    </row>
    <row r="119" spans="1:31" ht="23.25" customHeight="1" x14ac:dyDescent="0.15">
      <c r="A119" s="21" t="s">
        <v>491</v>
      </c>
      <c r="B119" s="21" t="s">
        <v>483</v>
      </c>
      <c r="C119" s="1" t="s">
        <v>334</v>
      </c>
      <c r="D119" s="140" t="s">
        <v>863</v>
      </c>
      <c r="E119" s="140" t="s">
        <v>991</v>
      </c>
      <c r="F119" s="141" t="s">
        <v>190</v>
      </c>
      <c r="G119" s="144">
        <v>74</v>
      </c>
      <c r="H119" s="143">
        <v>757</v>
      </c>
      <c r="I119" s="49">
        <f t="shared" si="17"/>
        <v>56018</v>
      </c>
      <c r="J119" s="49">
        <f t="shared" si="23"/>
        <v>74</v>
      </c>
      <c r="K119" s="49">
        <f>[2]합산자재!I113</f>
        <v>0</v>
      </c>
      <c r="L119" s="49" t="str">
        <f t="shared" si="18"/>
        <v/>
      </c>
      <c r="M119" s="49">
        <f>[2]합산자재!J113</f>
        <v>0</v>
      </c>
      <c r="N119" s="49" t="str">
        <f t="shared" si="19"/>
        <v/>
      </c>
      <c r="O119" s="49"/>
      <c r="P119" s="49">
        <f t="shared" si="20"/>
        <v>56018</v>
      </c>
      <c r="Q119" s="78"/>
    </row>
    <row r="120" spans="1:31" ht="23.25" customHeight="1" x14ac:dyDescent="0.15">
      <c r="A120" s="21" t="s">
        <v>489</v>
      </c>
      <c r="B120" s="21" t="s">
        <v>483</v>
      </c>
      <c r="C120" s="1" t="s">
        <v>241</v>
      </c>
      <c r="D120" s="140" t="s">
        <v>997</v>
      </c>
      <c r="E120" s="140" t="s">
        <v>998</v>
      </c>
      <c r="F120" s="141" t="s">
        <v>190</v>
      </c>
      <c r="G120" s="144">
        <v>2</v>
      </c>
      <c r="H120" s="143">
        <v>4400</v>
      </c>
      <c r="I120" s="49">
        <f t="shared" si="17"/>
        <v>8800</v>
      </c>
      <c r="J120" s="49">
        <f t="shared" si="23"/>
        <v>2</v>
      </c>
      <c r="K120" s="49">
        <f>[2]합산자재!I94</f>
        <v>0</v>
      </c>
      <c r="L120" s="49" t="str">
        <f t="shared" si="18"/>
        <v/>
      </c>
      <c r="M120" s="49">
        <f>[2]합산자재!J94</f>
        <v>0</v>
      </c>
      <c r="N120" s="49" t="str">
        <f t="shared" si="19"/>
        <v/>
      </c>
      <c r="O120" s="49"/>
      <c r="P120" s="49">
        <f t="shared" si="20"/>
        <v>8800</v>
      </c>
      <c r="Q120" s="78"/>
      <c r="Z120" s="2" t="s">
        <v>490</v>
      </c>
    </row>
    <row r="121" spans="1:31" ht="23.25" customHeight="1" x14ac:dyDescent="0.15">
      <c r="A121" s="21" t="s">
        <v>491</v>
      </c>
      <c r="B121" s="21" t="s">
        <v>483</v>
      </c>
      <c r="C121" s="1" t="s">
        <v>334</v>
      </c>
      <c r="D121" s="140" t="s">
        <v>863</v>
      </c>
      <c r="E121" s="140" t="s">
        <v>875</v>
      </c>
      <c r="F121" s="141" t="s">
        <v>190</v>
      </c>
      <c r="G121" s="144">
        <v>74</v>
      </c>
      <c r="H121" s="143">
        <v>757</v>
      </c>
      <c r="I121" s="49">
        <f t="shared" si="17"/>
        <v>56018</v>
      </c>
      <c r="J121" s="49">
        <f t="shared" si="23"/>
        <v>74</v>
      </c>
      <c r="K121" s="49">
        <f>[2]합산자재!I115</f>
        <v>0</v>
      </c>
      <c r="L121" s="49" t="str">
        <f t="shared" si="18"/>
        <v/>
      </c>
      <c r="M121" s="49">
        <f>[2]합산자재!J115</f>
        <v>0</v>
      </c>
      <c r="N121" s="49" t="str">
        <f t="shared" si="19"/>
        <v/>
      </c>
      <c r="O121" s="49"/>
      <c r="P121" s="49">
        <f t="shared" si="20"/>
        <v>56018</v>
      </c>
      <c r="Q121" s="78"/>
    </row>
    <row r="122" spans="1:31" ht="23.25" customHeight="1" x14ac:dyDescent="0.15">
      <c r="A122" s="21" t="s">
        <v>479</v>
      </c>
      <c r="B122" s="21" t="s">
        <v>483</v>
      </c>
      <c r="C122" s="1" t="s">
        <v>458</v>
      </c>
      <c r="D122" s="78" t="s">
        <v>459</v>
      </c>
      <c r="E122" s="78" t="s">
        <v>799</v>
      </c>
      <c r="F122" s="52" t="s">
        <v>461</v>
      </c>
      <c r="G122" s="49">
        <f>'일위노임 (2)'!G71</f>
        <v>7.9829999999999997</v>
      </c>
      <c r="H122" s="49">
        <f>[2]합산자재!H139</f>
        <v>0</v>
      </c>
      <c r="I122" s="49" t="str">
        <f t="shared" si="17"/>
        <v/>
      </c>
      <c r="J122" s="49">
        <f>G122</f>
        <v>7.9829999999999997</v>
      </c>
      <c r="K122" s="49">
        <v>122522</v>
      </c>
      <c r="L122" s="49">
        <f t="shared" si="18"/>
        <v>978093.1</v>
      </c>
      <c r="M122" s="49">
        <f>[2]합산자재!J139</f>
        <v>0</v>
      </c>
      <c r="N122" s="49" t="str">
        <f t="shared" si="19"/>
        <v/>
      </c>
      <c r="O122" s="49"/>
      <c r="P122" s="49">
        <f t="shared" si="20"/>
        <v>978093.1</v>
      </c>
      <c r="Q122" s="78"/>
      <c r="AE122" s="2">
        <f>L122</f>
        <v>978093.1</v>
      </c>
    </row>
    <row r="123" spans="1:31" ht="23.25" customHeight="1" x14ac:dyDescent="0.15">
      <c r="A123" s="21" t="s">
        <v>479</v>
      </c>
      <c r="B123" s="21" t="s">
        <v>483</v>
      </c>
      <c r="C123" s="1" t="s">
        <v>458</v>
      </c>
      <c r="D123" s="78" t="s">
        <v>459</v>
      </c>
      <c r="E123" s="78" t="s">
        <v>800</v>
      </c>
      <c r="F123" s="52" t="s">
        <v>461</v>
      </c>
      <c r="G123" s="49">
        <f>'일위노임 (2)'!G72</f>
        <v>9.6219999999999999</v>
      </c>
      <c r="H123" s="49">
        <f>[2]합산자재!H140</f>
        <v>0</v>
      </c>
      <c r="I123" s="49" t="str">
        <f t="shared" si="17"/>
        <v/>
      </c>
      <c r="J123" s="49">
        <f t="shared" ref="J123:J125" si="24">G123</f>
        <v>9.6219999999999999</v>
      </c>
      <c r="K123" s="49">
        <v>99248</v>
      </c>
      <c r="L123" s="49">
        <f t="shared" si="18"/>
        <v>954964.2</v>
      </c>
      <c r="M123" s="49">
        <f>[2]합산자재!J140</f>
        <v>0</v>
      </c>
      <c r="N123" s="49" t="str">
        <f t="shared" si="19"/>
        <v/>
      </c>
      <c r="O123" s="49"/>
      <c r="P123" s="49">
        <f t="shared" si="20"/>
        <v>954964.2</v>
      </c>
      <c r="Q123" s="78"/>
      <c r="AE123" s="2">
        <f>L123</f>
        <v>954964.2</v>
      </c>
    </row>
    <row r="124" spans="1:31" ht="23.25" customHeight="1" x14ac:dyDescent="0.15">
      <c r="A124" s="21" t="s">
        <v>479</v>
      </c>
      <c r="B124" s="21" t="s">
        <v>483</v>
      </c>
      <c r="C124" s="1" t="s">
        <v>458</v>
      </c>
      <c r="D124" s="78" t="s">
        <v>459</v>
      </c>
      <c r="E124" s="78" t="s">
        <v>801</v>
      </c>
      <c r="F124" s="52" t="s">
        <v>461</v>
      </c>
      <c r="G124" s="49">
        <f t="shared" ref="G124" si="25">J124</f>
        <v>0</v>
      </c>
      <c r="H124" s="49">
        <f>[2]합산자재!H141</f>
        <v>0</v>
      </c>
      <c r="I124" s="49" t="str">
        <f t="shared" ref="I124:I125" si="26">IF(G124*H124&lt;&gt;0, TRUNC(G124*H124,1),"")</f>
        <v/>
      </c>
      <c r="J124" s="49">
        <v>0</v>
      </c>
      <c r="K124" s="49">
        <v>105323</v>
      </c>
      <c r="L124" s="49" t="str">
        <f t="shared" ref="L124:L125" si="27">IF(G124*K124&lt;&gt;0, TRUNC(G124*K124,1),"")</f>
        <v/>
      </c>
      <c r="M124" s="49">
        <f>[2]합산자재!J141</f>
        <v>0</v>
      </c>
      <c r="N124" s="49" t="str">
        <f t="shared" ref="N124:N125" si="28">IF(G124*M124&lt;&gt;0, TRUNC(G124*M124,1),"")</f>
        <v/>
      </c>
      <c r="O124" s="49"/>
      <c r="P124" s="49" t="str">
        <f t="shared" ref="P124:P126" si="29">IF(SUM(I124,L124,N124)&lt;&gt;0,TRUNC(SUM(I124,L124,N124),1),"")</f>
        <v/>
      </c>
      <c r="Q124" s="78"/>
      <c r="AE124" s="2" t="str">
        <f>L124</f>
        <v/>
      </c>
    </row>
    <row r="125" spans="1:31" ht="23.25" customHeight="1" x14ac:dyDescent="0.15">
      <c r="A125" s="21" t="s">
        <v>479</v>
      </c>
      <c r="B125" s="21" t="s">
        <v>483</v>
      </c>
      <c r="C125" s="1" t="s">
        <v>458</v>
      </c>
      <c r="D125" s="78" t="s">
        <v>459</v>
      </c>
      <c r="E125" s="78" t="s">
        <v>802</v>
      </c>
      <c r="F125" s="52" t="s">
        <v>461</v>
      </c>
      <c r="G125" s="49">
        <f>'일위노임 (2)'!G73</f>
        <v>0.48999999999999994</v>
      </c>
      <c r="H125" s="49">
        <f>[2]합산자재!H142</f>
        <v>0</v>
      </c>
      <c r="I125" s="49" t="str">
        <f t="shared" si="26"/>
        <v/>
      </c>
      <c r="J125" s="49">
        <f t="shared" si="24"/>
        <v>0.48999999999999994</v>
      </c>
      <c r="K125" s="49">
        <v>90694</v>
      </c>
      <c r="L125" s="49">
        <f t="shared" si="27"/>
        <v>44440</v>
      </c>
      <c r="M125" s="49">
        <f>[2]합산자재!J142</f>
        <v>0</v>
      </c>
      <c r="N125" s="49" t="str">
        <f t="shared" si="28"/>
        <v/>
      </c>
      <c r="O125" s="49"/>
      <c r="P125" s="49">
        <f t="shared" si="29"/>
        <v>44440</v>
      </c>
      <c r="Q125" s="78"/>
      <c r="AE125" s="2">
        <f>L125</f>
        <v>44440</v>
      </c>
    </row>
    <row r="126" spans="1:31" ht="23.25" customHeight="1" x14ac:dyDescent="0.15">
      <c r="B126" s="21" t="s">
        <v>499</v>
      </c>
      <c r="D126" s="78" t="s">
        <v>500</v>
      </c>
      <c r="E126" s="78"/>
      <c r="F126" s="52"/>
      <c r="G126" s="49"/>
      <c r="H126" s="49"/>
      <c r="I126" s="49">
        <f>TRUNC(SUM(I59:I125))</f>
        <v>6549101</v>
      </c>
      <c r="J126" s="49"/>
      <c r="K126" s="49"/>
      <c r="L126" s="49">
        <f>TRUNC(SUM(L59:L125))</f>
        <v>1977497</v>
      </c>
      <c r="M126" s="49"/>
      <c r="N126" s="49">
        <f>TRUNC(SUM(N59:N125))</f>
        <v>0</v>
      </c>
      <c r="O126" s="49"/>
      <c r="P126" s="49">
        <f t="shared" si="29"/>
        <v>8526598</v>
      </c>
      <c r="Q126" s="78"/>
      <c r="AC126" s="2">
        <f>TRUNC(AE126*[2]옵션!$B$36/100,1)</f>
        <v>59324.9</v>
      </c>
      <c r="AD126" s="2">
        <f>TRUNC(SUM(L59:L122))</f>
        <v>978093</v>
      </c>
      <c r="AE126" s="2">
        <f>TRUNC(SUM(AE59:AE125))</f>
        <v>1977497</v>
      </c>
    </row>
    <row r="127" spans="1:31" ht="23.25" customHeight="1" x14ac:dyDescent="0.15">
      <c r="B127" s="21" t="s">
        <v>487</v>
      </c>
      <c r="D127" s="264"/>
      <c r="E127" s="265"/>
      <c r="F127" s="265"/>
      <c r="G127" s="265"/>
      <c r="H127" s="265"/>
      <c r="I127" s="265"/>
      <c r="J127" s="265"/>
      <c r="K127" s="265"/>
      <c r="L127" s="265"/>
      <c r="M127" s="265"/>
      <c r="N127" s="265"/>
      <c r="O127" s="265"/>
      <c r="P127" s="265"/>
      <c r="Q127" s="266"/>
    </row>
    <row r="128" spans="1:31" ht="23.25" customHeight="1" x14ac:dyDescent="0.15">
      <c r="A128" s="21" t="s">
        <v>482</v>
      </c>
      <c r="B128" s="21" t="s">
        <v>487</v>
      </c>
      <c r="C128" s="1" t="s">
        <v>483</v>
      </c>
      <c r="D128" s="264" t="s">
        <v>1018</v>
      </c>
      <c r="E128" s="265"/>
      <c r="F128" s="265"/>
      <c r="G128" s="265"/>
      <c r="H128" s="265"/>
      <c r="I128" s="265"/>
      <c r="J128" s="265"/>
      <c r="K128" s="265"/>
      <c r="L128" s="265"/>
      <c r="M128" s="265"/>
      <c r="N128" s="265"/>
      <c r="O128" s="265"/>
      <c r="P128" s="265"/>
      <c r="Q128" s="266"/>
    </row>
    <row r="129" spans="1:26" ht="23.25" customHeight="1" x14ac:dyDescent="0.15">
      <c r="A129" s="21" t="s">
        <v>488</v>
      </c>
      <c r="B129" s="21" t="s">
        <v>483</v>
      </c>
      <c r="C129" s="1" t="s">
        <v>220</v>
      </c>
      <c r="D129" s="140" t="s">
        <v>1038</v>
      </c>
      <c r="E129" s="140" t="s">
        <v>876</v>
      </c>
      <c r="F129" s="141" t="s">
        <v>345</v>
      </c>
      <c r="G129" s="144">
        <v>1</v>
      </c>
      <c r="H129" s="139">
        <v>987740</v>
      </c>
      <c r="I129" s="90">
        <f t="shared" ref="I129:I177" si="30">IF(G129*H129&lt;&gt;0, TRUNC(G129*H129,1),"")</f>
        <v>987740</v>
      </c>
      <c r="J129" s="49">
        <f>G129</f>
        <v>1</v>
      </c>
      <c r="K129" s="49">
        <f>[2]합산자재!I100</f>
        <v>0</v>
      </c>
      <c r="L129" s="90" t="str">
        <f t="shared" ref="L129:L177" si="31">IF(G129*K129&lt;&gt;0, TRUNC(G129*K129,1),"")</f>
        <v/>
      </c>
      <c r="M129" s="49">
        <f>[2]합산자재!J100</f>
        <v>0</v>
      </c>
      <c r="N129" s="90" t="str">
        <f t="shared" ref="N129:N177" si="32">IF(G129*M129&lt;&gt;0, TRUNC(G129*M129,1),"")</f>
        <v/>
      </c>
      <c r="O129" s="49"/>
      <c r="P129" s="49">
        <f t="shared" ref="P129:P178" si="33">IF(SUM(I129,L129,N129)&lt;&gt;0,TRUNC(SUM(I129,L129,N129),1),"")</f>
        <v>987740</v>
      </c>
      <c r="Q129" s="78"/>
    </row>
    <row r="130" spans="1:26" ht="23.25" customHeight="1" x14ac:dyDescent="0.15">
      <c r="A130" s="21" t="s">
        <v>489</v>
      </c>
      <c r="B130" s="21" t="s">
        <v>483</v>
      </c>
      <c r="C130" s="1" t="s">
        <v>241</v>
      </c>
      <c r="D130" s="140" t="s">
        <v>808</v>
      </c>
      <c r="E130" s="140" t="s">
        <v>837</v>
      </c>
      <c r="F130" s="141" t="s">
        <v>190</v>
      </c>
      <c r="G130" s="144">
        <v>1</v>
      </c>
      <c r="H130" s="139">
        <v>4703</v>
      </c>
      <c r="I130" s="49">
        <f t="shared" si="30"/>
        <v>4703</v>
      </c>
      <c r="J130" s="49">
        <f t="shared" ref="J130:J148" si="34">G130</f>
        <v>1</v>
      </c>
      <c r="K130" s="49">
        <f>[2]합산자재!I107</f>
        <v>0</v>
      </c>
      <c r="L130" s="49" t="str">
        <f t="shared" si="31"/>
        <v/>
      </c>
      <c r="M130" s="49">
        <f>[2]합산자재!J107</f>
        <v>0</v>
      </c>
      <c r="N130" s="49" t="str">
        <f t="shared" si="32"/>
        <v/>
      </c>
      <c r="O130" s="49"/>
      <c r="P130" s="49">
        <f t="shared" si="33"/>
        <v>4703</v>
      </c>
      <c r="Q130" s="78"/>
      <c r="Z130" s="2" t="s">
        <v>490</v>
      </c>
    </row>
    <row r="131" spans="1:26" ht="23.25" customHeight="1" x14ac:dyDescent="0.15">
      <c r="A131" s="21" t="s">
        <v>491</v>
      </c>
      <c r="B131" s="21" t="s">
        <v>483</v>
      </c>
      <c r="C131" s="1" t="s">
        <v>334</v>
      </c>
      <c r="D131" s="140" t="s">
        <v>1039</v>
      </c>
      <c r="E131" s="140" t="s">
        <v>838</v>
      </c>
      <c r="F131" s="141" t="s">
        <v>190</v>
      </c>
      <c r="G131" s="144">
        <v>2</v>
      </c>
      <c r="H131" s="139">
        <v>4703</v>
      </c>
      <c r="I131" s="49">
        <f t="shared" si="30"/>
        <v>9406</v>
      </c>
      <c r="J131" s="49">
        <f t="shared" si="34"/>
        <v>2</v>
      </c>
      <c r="K131" s="49">
        <f>[2]합산자재!I128</f>
        <v>0</v>
      </c>
      <c r="L131" s="49" t="str">
        <f t="shared" si="31"/>
        <v/>
      </c>
      <c r="M131" s="49">
        <f>[2]합산자재!J128</f>
        <v>0</v>
      </c>
      <c r="N131" s="49" t="str">
        <f t="shared" si="32"/>
        <v/>
      </c>
      <c r="O131" s="49"/>
      <c r="P131" s="49">
        <f t="shared" si="33"/>
        <v>9406</v>
      </c>
      <c r="Q131" s="78"/>
    </row>
    <row r="132" spans="1:26" ht="23.25" customHeight="1" x14ac:dyDescent="0.15">
      <c r="A132" s="21" t="s">
        <v>492</v>
      </c>
      <c r="B132" s="21" t="s">
        <v>483</v>
      </c>
      <c r="C132" s="1" t="s">
        <v>338</v>
      </c>
      <c r="D132" s="140" t="s">
        <v>839</v>
      </c>
      <c r="E132" s="140" t="s">
        <v>840</v>
      </c>
      <c r="F132" s="141" t="s">
        <v>190</v>
      </c>
      <c r="G132" s="144">
        <v>3</v>
      </c>
      <c r="H132" s="139">
        <v>4320</v>
      </c>
      <c r="I132" s="49">
        <f t="shared" si="30"/>
        <v>12960</v>
      </c>
      <c r="J132" s="49">
        <f t="shared" si="34"/>
        <v>3</v>
      </c>
      <c r="K132" s="49">
        <v>0</v>
      </c>
      <c r="L132" s="49" t="str">
        <f t="shared" si="31"/>
        <v/>
      </c>
      <c r="M132" s="49">
        <f>[2]합산자재!J129</f>
        <v>0</v>
      </c>
      <c r="N132" s="49" t="str">
        <f t="shared" si="32"/>
        <v/>
      </c>
      <c r="O132" s="49"/>
      <c r="P132" s="49">
        <f t="shared" si="33"/>
        <v>12960</v>
      </c>
      <c r="Q132" s="78"/>
    </row>
    <row r="133" spans="1:26" ht="23.25" customHeight="1" x14ac:dyDescent="0.15">
      <c r="A133" s="21" t="s">
        <v>493</v>
      </c>
      <c r="B133" s="21" t="s">
        <v>483</v>
      </c>
      <c r="C133" s="1" t="s">
        <v>215</v>
      </c>
      <c r="D133" s="140" t="s">
        <v>841</v>
      </c>
      <c r="E133" s="140" t="s">
        <v>842</v>
      </c>
      <c r="F133" s="141" t="s">
        <v>172</v>
      </c>
      <c r="G133" s="144">
        <v>0.8</v>
      </c>
      <c r="H133" s="139">
        <v>46550</v>
      </c>
      <c r="I133" s="49">
        <f t="shared" si="30"/>
        <v>37240</v>
      </c>
      <c r="J133" s="49">
        <f t="shared" si="34"/>
        <v>0.8</v>
      </c>
      <c r="K133" s="49">
        <f>[2]합산자재!I98</f>
        <v>0</v>
      </c>
      <c r="L133" s="49" t="str">
        <f t="shared" si="31"/>
        <v/>
      </c>
      <c r="M133" s="49">
        <f>[2]합산자재!J98</f>
        <v>0</v>
      </c>
      <c r="N133" s="49" t="str">
        <f t="shared" si="32"/>
        <v/>
      </c>
      <c r="O133" s="49"/>
      <c r="P133" s="49">
        <f t="shared" si="33"/>
        <v>37240</v>
      </c>
      <c r="Q133" s="78"/>
    </row>
    <row r="134" spans="1:26" ht="23.25" customHeight="1" x14ac:dyDescent="0.15">
      <c r="A134" s="21" t="s">
        <v>494</v>
      </c>
      <c r="B134" s="21" t="s">
        <v>483</v>
      </c>
      <c r="C134" s="1" t="s">
        <v>218</v>
      </c>
      <c r="D134" s="140" t="s">
        <v>833</v>
      </c>
      <c r="E134" s="140" t="s">
        <v>834</v>
      </c>
      <c r="F134" s="141" t="s">
        <v>172</v>
      </c>
      <c r="G134" s="144">
        <v>13</v>
      </c>
      <c r="H134" s="139">
        <v>757</v>
      </c>
      <c r="I134" s="49">
        <f t="shared" si="30"/>
        <v>9841</v>
      </c>
      <c r="J134" s="49">
        <f t="shared" si="34"/>
        <v>13</v>
      </c>
      <c r="K134" s="49">
        <f>[2]합산자재!I99</f>
        <v>0</v>
      </c>
      <c r="L134" s="49" t="str">
        <f t="shared" si="31"/>
        <v/>
      </c>
      <c r="M134" s="49">
        <f>[2]합산자재!J99</f>
        <v>0</v>
      </c>
      <c r="N134" s="49" t="str">
        <f t="shared" si="32"/>
        <v/>
      </c>
      <c r="O134" s="49"/>
      <c r="P134" s="49">
        <f t="shared" si="33"/>
        <v>9841</v>
      </c>
      <c r="Q134" s="78"/>
    </row>
    <row r="135" spans="1:26" ht="23.25" customHeight="1" x14ac:dyDescent="0.15">
      <c r="A135" s="21" t="s">
        <v>488</v>
      </c>
      <c r="B135" s="21" t="s">
        <v>483</v>
      </c>
      <c r="C135" s="1" t="s">
        <v>220</v>
      </c>
      <c r="D135" s="140" t="s">
        <v>843</v>
      </c>
      <c r="E135" s="140"/>
      <c r="F135" s="141" t="s">
        <v>818</v>
      </c>
      <c r="G135" s="144">
        <v>1</v>
      </c>
      <c r="H135" s="139">
        <v>550550</v>
      </c>
      <c r="I135" s="90">
        <f t="shared" si="30"/>
        <v>550550</v>
      </c>
      <c r="J135" s="49">
        <f t="shared" si="34"/>
        <v>1</v>
      </c>
      <c r="K135" s="49">
        <v>0</v>
      </c>
      <c r="L135" s="90" t="str">
        <f t="shared" si="31"/>
        <v/>
      </c>
      <c r="M135" s="49">
        <f>[2]합산자재!J106</f>
        <v>0</v>
      </c>
      <c r="N135" s="90" t="str">
        <f t="shared" si="32"/>
        <v/>
      </c>
      <c r="O135" s="49"/>
      <c r="P135" s="49">
        <f t="shared" si="33"/>
        <v>550550</v>
      </c>
      <c r="Q135" s="78"/>
    </row>
    <row r="136" spans="1:26" ht="23.25" customHeight="1" x14ac:dyDescent="0.15">
      <c r="A136" s="21" t="s">
        <v>489</v>
      </c>
      <c r="B136" s="21" t="s">
        <v>483</v>
      </c>
      <c r="C136" s="1" t="s">
        <v>241</v>
      </c>
      <c r="D136" s="140" t="s">
        <v>819</v>
      </c>
      <c r="E136" s="140" t="s">
        <v>844</v>
      </c>
      <c r="F136" s="141" t="s">
        <v>190</v>
      </c>
      <c r="G136" s="144">
        <v>1</v>
      </c>
      <c r="H136" s="139">
        <v>145000</v>
      </c>
      <c r="I136" s="49">
        <f t="shared" si="30"/>
        <v>145000</v>
      </c>
      <c r="J136" s="49">
        <f t="shared" si="34"/>
        <v>1</v>
      </c>
      <c r="K136" s="49">
        <f>[2]합산자재!I113</f>
        <v>0</v>
      </c>
      <c r="L136" s="49" t="str">
        <f t="shared" si="31"/>
        <v/>
      </c>
      <c r="M136" s="49">
        <f>[2]합산자재!J113</f>
        <v>0</v>
      </c>
      <c r="N136" s="49" t="str">
        <f t="shared" si="32"/>
        <v/>
      </c>
      <c r="O136" s="49"/>
      <c r="P136" s="49">
        <f t="shared" si="33"/>
        <v>145000</v>
      </c>
      <c r="Q136" s="78"/>
      <c r="Z136" s="2" t="s">
        <v>490</v>
      </c>
    </row>
    <row r="137" spans="1:26" ht="23.25" customHeight="1" x14ac:dyDescent="0.15">
      <c r="A137" s="21" t="s">
        <v>491</v>
      </c>
      <c r="B137" s="21" t="s">
        <v>483</v>
      </c>
      <c r="C137" s="1" t="s">
        <v>334</v>
      </c>
      <c r="D137" s="140" t="s">
        <v>820</v>
      </c>
      <c r="E137" s="140" t="s">
        <v>798</v>
      </c>
      <c r="F137" s="141" t="s">
        <v>190</v>
      </c>
      <c r="G137" s="144">
        <v>1</v>
      </c>
      <c r="H137" s="139">
        <v>18000</v>
      </c>
      <c r="I137" s="49">
        <f t="shared" si="30"/>
        <v>18000</v>
      </c>
      <c r="J137" s="49">
        <f t="shared" si="34"/>
        <v>1</v>
      </c>
      <c r="K137" s="49">
        <f>[2]합산자재!I134</f>
        <v>0</v>
      </c>
      <c r="L137" s="49" t="str">
        <f t="shared" si="31"/>
        <v/>
      </c>
      <c r="M137" s="49">
        <f>[2]합산자재!J134</f>
        <v>0</v>
      </c>
      <c r="N137" s="49" t="str">
        <f t="shared" si="32"/>
        <v/>
      </c>
      <c r="O137" s="49"/>
      <c r="P137" s="49">
        <f t="shared" si="33"/>
        <v>18000</v>
      </c>
      <c r="Q137" s="78"/>
    </row>
    <row r="138" spans="1:26" ht="23.25" customHeight="1" x14ac:dyDescent="0.15">
      <c r="A138" s="21" t="s">
        <v>492</v>
      </c>
      <c r="B138" s="21" t="s">
        <v>483</v>
      </c>
      <c r="C138" s="1" t="s">
        <v>338</v>
      </c>
      <c r="D138" s="140" t="s">
        <v>845</v>
      </c>
      <c r="E138" s="140" t="s">
        <v>846</v>
      </c>
      <c r="F138" s="141" t="s">
        <v>190</v>
      </c>
      <c r="G138" s="144">
        <v>3</v>
      </c>
      <c r="H138" s="139">
        <v>21450</v>
      </c>
      <c r="I138" s="49">
        <f t="shared" si="30"/>
        <v>64350</v>
      </c>
      <c r="J138" s="49">
        <f t="shared" si="34"/>
        <v>3</v>
      </c>
      <c r="K138" s="49">
        <f>[2]합산자재!I135</f>
        <v>0</v>
      </c>
      <c r="L138" s="49" t="str">
        <f t="shared" si="31"/>
        <v/>
      </c>
      <c r="M138" s="49">
        <f>[2]합산자재!J135</f>
        <v>0</v>
      </c>
      <c r="N138" s="49" t="str">
        <f t="shared" si="32"/>
        <v/>
      </c>
      <c r="O138" s="49"/>
      <c r="P138" s="49">
        <f t="shared" si="33"/>
        <v>64350</v>
      </c>
      <c r="Q138" s="78"/>
    </row>
    <row r="139" spans="1:26" ht="23.25" customHeight="1" x14ac:dyDescent="0.15">
      <c r="A139" s="21" t="s">
        <v>493</v>
      </c>
      <c r="B139" s="21" t="s">
        <v>483</v>
      </c>
      <c r="C139" s="1" t="s">
        <v>215</v>
      </c>
      <c r="D139" s="140" t="s">
        <v>819</v>
      </c>
      <c r="E139" s="140" t="s">
        <v>1004</v>
      </c>
      <c r="F139" s="141" t="s">
        <v>190</v>
      </c>
      <c r="G139" s="144">
        <v>1</v>
      </c>
      <c r="H139" s="139">
        <v>120000</v>
      </c>
      <c r="I139" s="49">
        <f t="shared" si="30"/>
        <v>120000</v>
      </c>
      <c r="J139" s="49">
        <f t="shared" si="34"/>
        <v>1</v>
      </c>
      <c r="K139" s="49">
        <f>[2]합산자재!I104</f>
        <v>0</v>
      </c>
      <c r="L139" s="49" t="str">
        <f t="shared" si="31"/>
        <v/>
      </c>
      <c r="M139" s="49">
        <f>[2]합산자재!J104</f>
        <v>0</v>
      </c>
      <c r="N139" s="49" t="str">
        <f t="shared" si="32"/>
        <v/>
      </c>
      <c r="O139" s="49"/>
      <c r="P139" s="49">
        <f t="shared" si="33"/>
        <v>120000</v>
      </c>
      <c r="Q139" s="78"/>
    </row>
    <row r="140" spans="1:26" ht="23.25" customHeight="1" x14ac:dyDescent="0.15">
      <c r="A140" s="21" t="s">
        <v>488</v>
      </c>
      <c r="B140" s="21" t="s">
        <v>483</v>
      </c>
      <c r="C140" s="1" t="s">
        <v>220</v>
      </c>
      <c r="D140" s="140" t="s">
        <v>866</v>
      </c>
      <c r="E140" s="140" t="s">
        <v>867</v>
      </c>
      <c r="F140" s="141" t="s">
        <v>818</v>
      </c>
      <c r="G140" s="144">
        <v>1</v>
      </c>
      <c r="H140" s="139">
        <v>14500</v>
      </c>
      <c r="I140" s="90">
        <f t="shared" si="30"/>
        <v>14500</v>
      </c>
      <c r="J140" s="49">
        <f t="shared" si="34"/>
        <v>1</v>
      </c>
      <c r="K140" s="49">
        <f>[2]합산자재!I105</f>
        <v>0</v>
      </c>
      <c r="L140" s="90" t="str">
        <f t="shared" si="31"/>
        <v/>
      </c>
      <c r="M140" s="49">
        <f>[2]합산자재!J111</f>
        <v>0</v>
      </c>
      <c r="N140" s="90" t="str">
        <f t="shared" si="32"/>
        <v/>
      </c>
      <c r="O140" s="49"/>
      <c r="P140" s="49">
        <f t="shared" si="33"/>
        <v>14500</v>
      </c>
      <c r="Q140" s="78"/>
    </row>
    <row r="141" spans="1:26" ht="23.25" customHeight="1" x14ac:dyDescent="0.15">
      <c r="A141" s="21" t="s">
        <v>489</v>
      </c>
      <c r="B141" s="21" t="s">
        <v>483</v>
      </c>
      <c r="C141" s="1" t="s">
        <v>241</v>
      </c>
      <c r="D141" s="140" t="s">
        <v>850</v>
      </c>
      <c r="E141" s="140"/>
      <c r="F141" s="141" t="s">
        <v>190</v>
      </c>
      <c r="G141" s="144">
        <v>1</v>
      </c>
      <c r="H141" s="139">
        <v>236250</v>
      </c>
      <c r="I141" s="49">
        <f t="shared" si="30"/>
        <v>236250</v>
      </c>
      <c r="J141" s="49">
        <f t="shared" si="34"/>
        <v>1</v>
      </c>
      <c r="K141" s="49">
        <v>0</v>
      </c>
      <c r="L141" s="49" t="str">
        <f t="shared" si="31"/>
        <v/>
      </c>
      <c r="M141" s="49">
        <f>[2]합산자재!J118</f>
        <v>0</v>
      </c>
      <c r="N141" s="49" t="str">
        <f t="shared" si="32"/>
        <v/>
      </c>
      <c r="O141" s="49"/>
      <c r="P141" s="49">
        <f t="shared" si="33"/>
        <v>236250</v>
      </c>
      <c r="Q141" s="78"/>
      <c r="Z141" s="2" t="s">
        <v>490</v>
      </c>
    </row>
    <row r="142" spans="1:26" ht="23.25" customHeight="1" x14ac:dyDescent="0.15">
      <c r="A142" s="21" t="s">
        <v>491</v>
      </c>
      <c r="B142" s="21" t="s">
        <v>483</v>
      </c>
      <c r="C142" s="1" t="s">
        <v>334</v>
      </c>
      <c r="D142" s="140" t="s">
        <v>851</v>
      </c>
      <c r="E142" s="140"/>
      <c r="F142" s="141" t="s">
        <v>190</v>
      </c>
      <c r="G142" s="144">
        <v>1</v>
      </c>
      <c r="H142" s="139">
        <v>18100</v>
      </c>
      <c r="I142" s="49">
        <f t="shared" si="30"/>
        <v>18100</v>
      </c>
      <c r="J142" s="49">
        <f t="shared" si="34"/>
        <v>1</v>
      </c>
      <c r="K142" s="49">
        <f>[2]합산자재!I107</f>
        <v>0</v>
      </c>
      <c r="L142" s="49" t="str">
        <f t="shared" si="31"/>
        <v/>
      </c>
      <c r="M142" s="49">
        <f>[2]합산자재!J139</f>
        <v>0</v>
      </c>
      <c r="N142" s="49" t="str">
        <f t="shared" si="32"/>
        <v/>
      </c>
      <c r="O142" s="49"/>
      <c r="P142" s="49">
        <f t="shared" si="33"/>
        <v>18100</v>
      </c>
      <c r="Q142" s="78"/>
    </row>
    <row r="143" spans="1:26" ht="23.25" customHeight="1" x14ac:dyDescent="0.15">
      <c r="A143" s="21" t="s">
        <v>492</v>
      </c>
      <c r="B143" s="21" t="s">
        <v>483</v>
      </c>
      <c r="C143" s="1" t="s">
        <v>338</v>
      </c>
      <c r="D143" s="140" t="s">
        <v>852</v>
      </c>
      <c r="E143" s="140" t="s">
        <v>868</v>
      </c>
      <c r="F143" s="141" t="s">
        <v>190</v>
      </c>
      <c r="G143" s="144">
        <v>1</v>
      </c>
      <c r="H143" s="139">
        <v>16100</v>
      </c>
      <c r="I143" s="49">
        <f t="shared" si="30"/>
        <v>16100</v>
      </c>
      <c r="J143" s="49">
        <f t="shared" si="34"/>
        <v>1</v>
      </c>
      <c r="K143" s="49">
        <f>[2]합산자재!I108</f>
        <v>0</v>
      </c>
      <c r="L143" s="49" t="str">
        <f t="shared" si="31"/>
        <v/>
      </c>
      <c r="M143" s="49">
        <f>[2]합산자재!J140</f>
        <v>0</v>
      </c>
      <c r="N143" s="49" t="str">
        <f t="shared" si="32"/>
        <v/>
      </c>
      <c r="O143" s="49"/>
      <c r="P143" s="49">
        <f t="shared" si="33"/>
        <v>16100</v>
      </c>
      <c r="Q143" s="78"/>
    </row>
    <row r="144" spans="1:26" ht="23.25" customHeight="1" x14ac:dyDescent="0.15">
      <c r="A144" s="21" t="s">
        <v>493</v>
      </c>
      <c r="B144" s="21" t="s">
        <v>483</v>
      </c>
      <c r="C144" s="1" t="s">
        <v>215</v>
      </c>
      <c r="D144" s="140" t="s">
        <v>853</v>
      </c>
      <c r="E144" s="140" t="s">
        <v>854</v>
      </c>
      <c r="F144" s="141" t="s">
        <v>190</v>
      </c>
      <c r="G144" s="144">
        <v>1</v>
      </c>
      <c r="H144" s="139">
        <v>3000</v>
      </c>
      <c r="I144" s="49">
        <f t="shared" si="30"/>
        <v>3000</v>
      </c>
      <c r="J144" s="49">
        <f t="shared" si="34"/>
        <v>1</v>
      </c>
      <c r="K144" s="49">
        <f>[2]합산자재!I109</f>
        <v>0</v>
      </c>
      <c r="L144" s="49" t="str">
        <f t="shared" si="31"/>
        <v/>
      </c>
      <c r="M144" s="49">
        <f>[2]합산자재!J109</f>
        <v>0</v>
      </c>
      <c r="N144" s="49" t="str">
        <f t="shared" si="32"/>
        <v/>
      </c>
      <c r="O144" s="49"/>
      <c r="P144" s="49">
        <f t="shared" si="33"/>
        <v>3000</v>
      </c>
      <c r="Q144" s="78"/>
    </row>
    <row r="145" spans="1:26" ht="23.25" customHeight="1" x14ac:dyDescent="0.15">
      <c r="A145" s="21" t="s">
        <v>494</v>
      </c>
      <c r="B145" s="21" t="s">
        <v>483</v>
      </c>
      <c r="C145" s="1" t="s">
        <v>218</v>
      </c>
      <c r="D145" s="140" t="s">
        <v>823</v>
      </c>
      <c r="E145" s="140" t="s">
        <v>855</v>
      </c>
      <c r="F145" s="141" t="s">
        <v>172</v>
      </c>
      <c r="G145" s="144">
        <v>3.5</v>
      </c>
      <c r="H145" s="139">
        <v>1170</v>
      </c>
      <c r="I145" s="49">
        <f t="shared" si="30"/>
        <v>4095</v>
      </c>
      <c r="J145" s="49">
        <f t="shared" si="34"/>
        <v>3.5</v>
      </c>
      <c r="K145" s="49">
        <v>0</v>
      </c>
      <c r="L145" s="49" t="str">
        <f t="shared" si="31"/>
        <v/>
      </c>
      <c r="M145" s="49">
        <f>[2]합산자재!J110</f>
        <v>0</v>
      </c>
      <c r="N145" s="49" t="str">
        <f t="shared" si="32"/>
        <v/>
      </c>
      <c r="O145" s="49"/>
      <c r="P145" s="49">
        <f t="shared" si="33"/>
        <v>4095</v>
      </c>
      <c r="Q145" s="78"/>
    </row>
    <row r="146" spans="1:26" ht="23.25" customHeight="1" x14ac:dyDescent="0.15">
      <c r="A146" s="21" t="s">
        <v>488</v>
      </c>
      <c r="B146" s="21" t="s">
        <v>483</v>
      </c>
      <c r="C146" s="1" t="s">
        <v>220</v>
      </c>
      <c r="D146" s="140" t="s">
        <v>831</v>
      </c>
      <c r="E146" s="140" t="s">
        <v>832</v>
      </c>
      <c r="F146" s="141" t="s">
        <v>190</v>
      </c>
      <c r="G146" s="144">
        <v>1</v>
      </c>
      <c r="H146" s="139">
        <v>4400</v>
      </c>
      <c r="I146" s="90">
        <f t="shared" si="30"/>
        <v>4400</v>
      </c>
      <c r="J146" s="49">
        <f t="shared" si="34"/>
        <v>1</v>
      </c>
      <c r="K146" s="49">
        <v>0</v>
      </c>
      <c r="L146" s="90" t="str">
        <f t="shared" si="31"/>
        <v/>
      </c>
      <c r="M146" s="49">
        <f>[2]합산자재!J117</f>
        <v>0</v>
      </c>
      <c r="N146" s="90" t="str">
        <f t="shared" si="32"/>
        <v/>
      </c>
      <c r="O146" s="49"/>
      <c r="P146" s="49">
        <f t="shared" si="33"/>
        <v>4400</v>
      </c>
      <c r="Q146" s="78"/>
    </row>
    <row r="147" spans="1:26" ht="23.25" customHeight="1" x14ac:dyDescent="0.15">
      <c r="A147" s="21" t="s">
        <v>489</v>
      </c>
      <c r="B147" s="21" t="s">
        <v>483</v>
      </c>
      <c r="C147" s="1" t="s">
        <v>241</v>
      </c>
      <c r="D147" s="140" t="s">
        <v>856</v>
      </c>
      <c r="E147" s="140" t="s">
        <v>857</v>
      </c>
      <c r="F147" s="141" t="s">
        <v>190</v>
      </c>
      <c r="G147" s="144">
        <v>1</v>
      </c>
      <c r="H147" s="139">
        <v>16170</v>
      </c>
      <c r="I147" s="49">
        <f t="shared" si="30"/>
        <v>16170</v>
      </c>
      <c r="J147" s="49">
        <f t="shared" si="34"/>
        <v>1</v>
      </c>
      <c r="K147" s="49">
        <f>[2]합산자재!I124</f>
        <v>0</v>
      </c>
      <c r="L147" s="49" t="str">
        <f t="shared" si="31"/>
        <v/>
      </c>
      <c r="M147" s="49">
        <f>[2]합산자재!J124</f>
        <v>0</v>
      </c>
      <c r="N147" s="49" t="str">
        <f t="shared" si="32"/>
        <v/>
      </c>
      <c r="O147" s="49"/>
      <c r="P147" s="49">
        <f t="shared" si="33"/>
        <v>16170</v>
      </c>
      <c r="Q147" s="78"/>
      <c r="Z147" s="2" t="s">
        <v>490</v>
      </c>
    </row>
    <row r="148" spans="1:26" ht="23.25" customHeight="1" x14ac:dyDescent="0.15">
      <c r="A148" s="21" t="s">
        <v>491</v>
      </c>
      <c r="B148" s="21" t="s">
        <v>483</v>
      </c>
      <c r="C148" s="1" t="s">
        <v>334</v>
      </c>
      <c r="D148" s="140" t="s">
        <v>833</v>
      </c>
      <c r="E148" s="140" t="s">
        <v>834</v>
      </c>
      <c r="F148" s="141" t="s">
        <v>172</v>
      </c>
      <c r="G148" s="144">
        <v>15</v>
      </c>
      <c r="H148" s="139">
        <v>757</v>
      </c>
      <c r="I148" s="49">
        <f t="shared" si="30"/>
        <v>11355</v>
      </c>
      <c r="J148" s="49">
        <f t="shared" si="34"/>
        <v>15</v>
      </c>
      <c r="K148" s="49">
        <f>[2]합산자재!I145</f>
        <v>0</v>
      </c>
      <c r="L148" s="49" t="str">
        <f t="shared" si="31"/>
        <v/>
      </c>
      <c r="M148" s="49">
        <f>[2]합산자재!J145</f>
        <v>0</v>
      </c>
      <c r="N148" s="49" t="str">
        <f t="shared" si="32"/>
        <v/>
      </c>
      <c r="O148" s="49"/>
      <c r="P148" s="49">
        <f t="shared" si="33"/>
        <v>11355</v>
      </c>
      <c r="Q148" s="78"/>
    </row>
    <row r="149" spans="1:26" ht="23.25" customHeight="1" x14ac:dyDescent="0.15">
      <c r="A149" s="21" t="s">
        <v>488</v>
      </c>
      <c r="B149" s="21" t="s">
        <v>483</v>
      </c>
      <c r="C149" s="1" t="s">
        <v>220</v>
      </c>
      <c r="D149" s="140" t="s">
        <v>825</v>
      </c>
      <c r="E149" s="140" t="s">
        <v>858</v>
      </c>
      <c r="F149" s="141" t="s">
        <v>190</v>
      </c>
      <c r="G149" s="144">
        <v>2</v>
      </c>
      <c r="H149" s="139">
        <v>1430</v>
      </c>
      <c r="I149" s="90">
        <f t="shared" si="30"/>
        <v>2860</v>
      </c>
      <c r="J149" s="49">
        <f>G149</f>
        <v>2</v>
      </c>
      <c r="K149" s="49">
        <f>[2]합산자재!I120</f>
        <v>0</v>
      </c>
      <c r="L149" s="90" t="str">
        <f t="shared" si="31"/>
        <v/>
      </c>
      <c r="M149" s="49">
        <f>[2]합산자재!J120</f>
        <v>0</v>
      </c>
      <c r="N149" s="90" t="str">
        <f t="shared" si="32"/>
        <v/>
      </c>
      <c r="O149" s="49"/>
      <c r="P149" s="49">
        <f t="shared" si="33"/>
        <v>2860</v>
      </c>
      <c r="Q149" s="78"/>
    </row>
    <row r="150" spans="1:26" ht="23.25" customHeight="1" x14ac:dyDescent="0.15">
      <c r="A150" s="21" t="s">
        <v>489</v>
      </c>
      <c r="B150" s="21" t="s">
        <v>483</v>
      </c>
      <c r="C150" s="1" t="s">
        <v>241</v>
      </c>
      <c r="D150" s="140" t="s">
        <v>859</v>
      </c>
      <c r="E150" s="140" t="s">
        <v>860</v>
      </c>
      <c r="F150" s="141" t="s">
        <v>190</v>
      </c>
      <c r="G150" s="144">
        <v>1</v>
      </c>
      <c r="H150" s="139">
        <v>5550</v>
      </c>
      <c r="I150" s="49">
        <f t="shared" si="30"/>
        <v>5550</v>
      </c>
      <c r="J150" s="49">
        <f t="shared" ref="J150:J168" si="35">G150</f>
        <v>1</v>
      </c>
      <c r="K150" s="49">
        <f>[2]합산자재!I127</f>
        <v>0</v>
      </c>
      <c r="L150" s="49" t="str">
        <f t="shared" si="31"/>
        <v/>
      </c>
      <c r="M150" s="49">
        <f>[2]합산자재!J127</f>
        <v>0</v>
      </c>
      <c r="N150" s="49" t="str">
        <f t="shared" si="32"/>
        <v/>
      </c>
      <c r="O150" s="49"/>
      <c r="P150" s="49">
        <f t="shared" si="33"/>
        <v>5550</v>
      </c>
      <c r="Q150" s="78"/>
      <c r="Z150" s="2" t="s">
        <v>490</v>
      </c>
    </row>
    <row r="151" spans="1:26" ht="23.25" customHeight="1" x14ac:dyDescent="0.15">
      <c r="A151" s="21" t="s">
        <v>491</v>
      </c>
      <c r="B151" s="21" t="s">
        <v>483</v>
      </c>
      <c r="C151" s="1" t="s">
        <v>334</v>
      </c>
      <c r="D151" s="140" t="s">
        <v>827</v>
      </c>
      <c r="E151" s="140" t="s">
        <v>828</v>
      </c>
      <c r="F151" s="141" t="s">
        <v>190</v>
      </c>
      <c r="G151" s="144">
        <v>2</v>
      </c>
      <c r="H151" s="139">
        <v>5250</v>
      </c>
      <c r="I151" s="49">
        <f t="shared" si="30"/>
        <v>10500</v>
      </c>
      <c r="J151" s="49">
        <f t="shared" si="35"/>
        <v>2</v>
      </c>
      <c r="K151" s="49">
        <f>[2]합산자재!I148</f>
        <v>0</v>
      </c>
      <c r="L151" s="49" t="str">
        <f t="shared" si="31"/>
        <v/>
      </c>
      <c r="M151" s="49">
        <f>[2]합산자재!J148</f>
        <v>0</v>
      </c>
      <c r="N151" s="49" t="str">
        <f t="shared" si="32"/>
        <v/>
      </c>
      <c r="O151" s="49"/>
      <c r="P151" s="49">
        <f t="shared" si="33"/>
        <v>10500</v>
      </c>
      <c r="Q151" s="78"/>
    </row>
    <row r="152" spans="1:26" ht="23.25" customHeight="1" x14ac:dyDescent="0.15">
      <c r="A152" s="21" t="s">
        <v>492</v>
      </c>
      <c r="B152" s="21" t="s">
        <v>483</v>
      </c>
      <c r="C152" s="1" t="s">
        <v>338</v>
      </c>
      <c r="D152" s="140" t="s">
        <v>829</v>
      </c>
      <c r="E152" s="140" t="s">
        <v>861</v>
      </c>
      <c r="F152" s="141" t="s">
        <v>190</v>
      </c>
      <c r="G152" s="144">
        <v>1</v>
      </c>
      <c r="H152" s="139">
        <v>2365</v>
      </c>
      <c r="I152" s="49">
        <f t="shared" si="30"/>
        <v>2365</v>
      </c>
      <c r="J152" s="49">
        <f t="shared" si="35"/>
        <v>1</v>
      </c>
      <c r="K152" s="49">
        <v>0</v>
      </c>
      <c r="L152" s="49" t="str">
        <f t="shared" si="31"/>
        <v/>
      </c>
      <c r="M152" s="49">
        <f>[2]합산자재!J149</f>
        <v>0</v>
      </c>
      <c r="N152" s="49" t="str">
        <f t="shared" si="32"/>
        <v/>
      </c>
      <c r="O152" s="49"/>
      <c r="P152" s="49">
        <f t="shared" si="33"/>
        <v>2365</v>
      </c>
      <c r="Q152" s="78"/>
    </row>
    <row r="153" spans="1:26" ht="23.25" customHeight="1" x14ac:dyDescent="0.15">
      <c r="A153" s="21" t="s">
        <v>493</v>
      </c>
      <c r="B153" s="21" t="s">
        <v>483</v>
      </c>
      <c r="C153" s="1" t="s">
        <v>215</v>
      </c>
      <c r="D153" s="140" t="s">
        <v>807</v>
      </c>
      <c r="E153" s="140" t="s">
        <v>862</v>
      </c>
      <c r="F153" s="141" t="s">
        <v>190</v>
      </c>
      <c r="G153" s="144">
        <v>1</v>
      </c>
      <c r="H153" s="139">
        <v>627</v>
      </c>
      <c r="I153" s="49">
        <f t="shared" si="30"/>
        <v>627</v>
      </c>
      <c r="J153" s="49">
        <f t="shared" si="35"/>
        <v>1</v>
      </c>
      <c r="K153" s="49">
        <v>0</v>
      </c>
      <c r="L153" s="49" t="str">
        <f t="shared" si="31"/>
        <v/>
      </c>
      <c r="M153" s="49">
        <f>[2]합산자재!J118</f>
        <v>0</v>
      </c>
      <c r="N153" s="49" t="str">
        <f t="shared" si="32"/>
        <v/>
      </c>
      <c r="O153" s="49"/>
      <c r="P153" s="49">
        <f t="shared" si="33"/>
        <v>627</v>
      </c>
      <c r="Q153" s="78"/>
    </row>
    <row r="154" spans="1:26" ht="23.25" customHeight="1" x14ac:dyDescent="0.15">
      <c r="A154" s="21" t="s">
        <v>494</v>
      </c>
      <c r="B154" s="21" t="s">
        <v>483</v>
      </c>
      <c r="C154" s="1" t="s">
        <v>218</v>
      </c>
      <c r="D154" s="140" t="s">
        <v>863</v>
      </c>
      <c r="E154" s="140" t="s">
        <v>864</v>
      </c>
      <c r="F154" s="141" t="s">
        <v>190</v>
      </c>
      <c r="G154" s="144">
        <v>15</v>
      </c>
      <c r="H154" s="139">
        <v>45</v>
      </c>
      <c r="I154" s="49">
        <f t="shared" si="30"/>
        <v>675</v>
      </c>
      <c r="J154" s="49">
        <f t="shared" si="35"/>
        <v>15</v>
      </c>
      <c r="K154" s="49">
        <f>[2]합산자재!I119</f>
        <v>0</v>
      </c>
      <c r="L154" s="49" t="str">
        <f t="shared" si="31"/>
        <v/>
      </c>
      <c r="M154" s="49">
        <f>[2]합산자재!J119</f>
        <v>0</v>
      </c>
      <c r="N154" s="49" t="str">
        <f t="shared" si="32"/>
        <v/>
      </c>
      <c r="O154" s="49"/>
      <c r="P154" s="49">
        <f t="shared" si="33"/>
        <v>675</v>
      </c>
      <c r="Q154" s="78"/>
    </row>
    <row r="155" spans="1:26" ht="23.25" customHeight="1" x14ac:dyDescent="0.15">
      <c r="A155" s="21" t="s">
        <v>488</v>
      </c>
      <c r="B155" s="21" t="s">
        <v>483</v>
      </c>
      <c r="C155" s="1" t="s">
        <v>220</v>
      </c>
      <c r="D155" s="140" t="s">
        <v>819</v>
      </c>
      <c r="E155" s="140" t="s">
        <v>847</v>
      </c>
      <c r="F155" s="141" t="s">
        <v>190</v>
      </c>
      <c r="G155" s="144">
        <v>1</v>
      </c>
      <c r="H155" s="139">
        <v>60000</v>
      </c>
      <c r="I155" s="90">
        <f t="shared" si="30"/>
        <v>60000</v>
      </c>
      <c r="J155" s="49">
        <f t="shared" si="35"/>
        <v>1</v>
      </c>
      <c r="K155" s="49">
        <v>0</v>
      </c>
      <c r="L155" s="90" t="str">
        <f t="shared" si="31"/>
        <v/>
      </c>
      <c r="M155" s="49">
        <f>[2]합산자재!J126</f>
        <v>0</v>
      </c>
      <c r="N155" s="90" t="str">
        <f t="shared" si="32"/>
        <v/>
      </c>
      <c r="O155" s="49"/>
      <c r="P155" s="49">
        <f t="shared" si="33"/>
        <v>60000</v>
      </c>
      <c r="Q155" s="78"/>
    </row>
    <row r="156" spans="1:26" ht="23.25" customHeight="1" x14ac:dyDescent="0.15">
      <c r="A156" s="21" t="s">
        <v>489</v>
      </c>
      <c r="B156" s="21" t="s">
        <v>483</v>
      </c>
      <c r="C156" s="1" t="s">
        <v>241</v>
      </c>
      <c r="D156" s="140" t="s">
        <v>869</v>
      </c>
      <c r="E156" s="140" t="s">
        <v>870</v>
      </c>
      <c r="F156" s="141" t="s">
        <v>818</v>
      </c>
      <c r="G156" s="144">
        <v>2</v>
      </c>
      <c r="H156" s="139">
        <v>42300</v>
      </c>
      <c r="I156" s="49">
        <f t="shared" si="30"/>
        <v>84600</v>
      </c>
      <c r="J156" s="49">
        <f t="shared" si="35"/>
        <v>2</v>
      </c>
      <c r="K156" s="49">
        <f>[2]합산자재!I133</f>
        <v>0</v>
      </c>
      <c r="L156" s="49" t="str">
        <f t="shared" si="31"/>
        <v/>
      </c>
      <c r="M156" s="49">
        <f>[2]합산자재!J133</f>
        <v>0</v>
      </c>
      <c r="N156" s="49" t="str">
        <f t="shared" si="32"/>
        <v/>
      </c>
      <c r="O156" s="49"/>
      <c r="P156" s="49">
        <f t="shared" si="33"/>
        <v>84600</v>
      </c>
      <c r="Q156" s="78"/>
      <c r="Z156" s="2" t="s">
        <v>490</v>
      </c>
    </row>
    <row r="157" spans="1:26" ht="23.25" customHeight="1" x14ac:dyDescent="0.15">
      <c r="A157" s="21" t="s">
        <v>491</v>
      </c>
      <c r="B157" s="21" t="s">
        <v>483</v>
      </c>
      <c r="C157" s="1" t="s">
        <v>334</v>
      </c>
      <c r="D157" s="140" t="s">
        <v>816</v>
      </c>
      <c r="E157" s="140" t="s">
        <v>817</v>
      </c>
      <c r="F157" s="141" t="s">
        <v>818</v>
      </c>
      <c r="G157" s="144">
        <v>1</v>
      </c>
      <c r="H157" s="139">
        <v>23100</v>
      </c>
      <c r="I157" s="49">
        <f t="shared" si="30"/>
        <v>23100</v>
      </c>
      <c r="J157" s="49">
        <f t="shared" si="35"/>
        <v>1</v>
      </c>
      <c r="K157" s="49">
        <f>[2]합산자재!I154</f>
        <v>0</v>
      </c>
      <c r="L157" s="49" t="str">
        <f t="shared" si="31"/>
        <v/>
      </c>
      <c r="M157" s="49">
        <f>[2]합산자재!J154</f>
        <v>0</v>
      </c>
      <c r="N157" s="49" t="str">
        <f t="shared" si="32"/>
        <v/>
      </c>
      <c r="O157" s="49"/>
      <c r="P157" s="49">
        <f t="shared" si="33"/>
        <v>23100</v>
      </c>
      <c r="Q157" s="78"/>
    </row>
    <row r="158" spans="1:26" ht="23.25" customHeight="1" x14ac:dyDescent="0.15">
      <c r="A158" s="21" t="s">
        <v>492</v>
      </c>
      <c r="B158" s="21" t="s">
        <v>483</v>
      </c>
      <c r="C158" s="1" t="s">
        <v>338</v>
      </c>
      <c r="D158" s="140" t="s">
        <v>850</v>
      </c>
      <c r="E158" s="140"/>
      <c r="F158" s="141" t="s">
        <v>190</v>
      </c>
      <c r="G158" s="144">
        <v>1</v>
      </c>
      <c r="H158" s="139">
        <v>236250</v>
      </c>
      <c r="I158" s="49">
        <f t="shared" si="30"/>
        <v>236250</v>
      </c>
      <c r="J158" s="49">
        <f t="shared" si="35"/>
        <v>1</v>
      </c>
      <c r="K158" s="49">
        <f>[2]합산자재!I155</f>
        <v>0</v>
      </c>
      <c r="L158" s="49" t="str">
        <f t="shared" si="31"/>
        <v/>
      </c>
      <c r="M158" s="49">
        <f>[2]합산자재!J155</f>
        <v>0</v>
      </c>
      <c r="N158" s="49" t="str">
        <f t="shared" si="32"/>
        <v/>
      </c>
      <c r="O158" s="49"/>
      <c r="P158" s="49">
        <f t="shared" si="33"/>
        <v>236250</v>
      </c>
      <c r="Q158" s="78"/>
    </row>
    <row r="159" spans="1:26" ht="23.25" customHeight="1" x14ac:dyDescent="0.15">
      <c r="A159" s="21" t="s">
        <v>493</v>
      </c>
      <c r="B159" s="21" t="s">
        <v>483</v>
      </c>
      <c r="C159" s="1" t="s">
        <v>215</v>
      </c>
      <c r="D159" s="140" t="s">
        <v>851</v>
      </c>
      <c r="E159" s="140"/>
      <c r="F159" s="141" t="s">
        <v>190</v>
      </c>
      <c r="G159" s="144">
        <v>1</v>
      </c>
      <c r="H159" s="139">
        <v>18100</v>
      </c>
      <c r="I159" s="49">
        <f t="shared" si="30"/>
        <v>18100</v>
      </c>
      <c r="J159" s="49">
        <f t="shared" si="35"/>
        <v>1</v>
      </c>
      <c r="K159" s="49">
        <f>[2]합산자재!I124</f>
        <v>0</v>
      </c>
      <c r="L159" s="49" t="str">
        <f t="shared" si="31"/>
        <v/>
      </c>
      <c r="M159" s="49">
        <f>[2]합산자재!J124</f>
        <v>0</v>
      </c>
      <c r="N159" s="49" t="str">
        <f t="shared" si="32"/>
        <v/>
      </c>
      <c r="O159" s="49"/>
      <c r="P159" s="49">
        <f t="shared" si="33"/>
        <v>18100</v>
      </c>
      <c r="Q159" s="78"/>
    </row>
    <row r="160" spans="1:26" ht="23.25" customHeight="1" x14ac:dyDescent="0.15">
      <c r="A160" s="21" t="s">
        <v>488</v>
      </c>
      <c r="B160" s="21" t="s">
        <v>483</v>
      </c>
      <c r="C160" s="1" t="s">
        <v>220</v>
      </c>
      <c r="D160" s="140" t="s">
        <v>852</v>
      </c>
      <c r="E160" s="140" t="s">
        <v>871</v>
      </c>
      <c r="F160" s="141" t="s">
        <v>190</v>
      </c>
      <c r="G160" s="144">
        <v>1</v>
      </c>
      <c r="H160" s="139">
        <v>57500</v>
      </c>
      <c r="I160" s="90">
        <f t="shared" si="30"/>
        <v>57500</v>
      </c>
      <c r="J160" s="49">
        <f t="shared" si="35"/>
        <v>1</v>
      </c>
      <c r="K160" s="49">
        <f>[2]합산자재!I125</f>
        <v>0</v>
      </c>
      <c r="L160" s="90" t="str">
        <f t="shared" si="31"/>
        <v/>
      </c>
      <c r="M160" s="49">
        <f>[2]합산자재!J131</f>
        <v>0</v>
      </c>
      <c r="N160" s="90" t="str">
        <f t="shared" si="32"/>
        <v/>
      </c>
      <c r="O160" s="49"/>
      <c r="P160" s="49">
        <f t="shared" si="33"/>
        <v>57500</v>
      </c>
      <c r="Q160" s="78"/>
    </row>
    <row r="161" spans="1:31" ht="23.25" customHeight="1" x14ac:dyDescent="0.15">
      <c r="A161" s="21" t="s">
        <v>489</v>
      </c>
      <c r="B161" s="21" t="s">
        <v>483</v>
      </c>
      <c r="C161" s="1" t="s">
        <v>241</v>
      </c>
      <c r="D161" s="140" t="s">
        <v>853</v>
      </c>
      <c r="E161" s="140" t="s">
        <v>854</v>
      </c>
      <c r="F161" s="141" t="s">
        <v>190</v>
      </c>
      <c r="G161" s="144">
        <v>1</v>
      </c>
      <c r="H161" s="139">
        <v>3000</v>
      </c>
      <c r="I161" s="49">
        <f t="shared" si="30"/>
        <v>3000</v>
      </c>
      <c r="J161" s="49">
        <f t="shared" si="35"/>
        <v>1</v>
      </c>
      <c r="K161" s="49">
        <v>0</v>
      </c>
      <c r="L161" s="49" t="str">
        <f t="shared" si="31"/>
        <v/>
      </c>
      <c r="M161" s="49">
        <f>[2]합산자재!J138</f>
        <v>0</v>
      </c>
      <c r="N161" s="49" t="str">
        <f t="shared" si="32"/>
        <v/>
      </c>
      <c r="O161" s="49"/>
      <c r="P161" s="49">
        <f t="shared" si="33"/>
        <v>3000</v>
      </c>
      <c r="Q161" s="78"/>
      <c r="Z161" s="2" t="s">
        <v>490</v>
      </c>
    </row>
    <row r="162" spans="1:31" ht="23.25" customHeight="1" x14ac:dyDescent="0.15">
      <c r="A162" s="21" t="s">
        <v>491</v>
      </c>
      <c r="B162" s="21" t="s">
        <v>483</v>
      </c>
      <c r="C162" s="1" t="s">
        <v>334</v>
      </c>
      <c r="D162" s="140" t="s">
        <v>823</v>
      </c>
      <c r="E162" s="140" t="s">
        <v>824</v>
      </c>
      <c r="F162" s="141" t="s">
        <v>172</v>
      </c>
      <c r="G162" s="144">
        <v>2.8</v>
      </c>
      <c r="H162" s="139">
        <v>1733</v>
      </c>
      <c r="I162" s="49">
        <f t="shared" si="30"/>
        <v>4852.3999999999996</v>
      </c>
      <c r="J162" s="49">
        <f t="shared" si="35"/>
        <v>2.8</v>
      </c>
      <c r="K162" s="49">
        <f>[2]합산자재!I127</f>
        <v>0</v>
      </c>
      <c r="L162" s="49" t="str">
        <f t="shared" si="31"/>
        <v/>
      </c>
      <c r="M162" s="49">
        <f>[2]합산자재!J159</f>
        <v>0</v>
      </c>
      <c r="N162" s="49" t="str">
        <f t="shared" si="32"/>
        <v/>
      </c>
      <c r="O162" s="49"/>
      <c r="P162" s="49">
        <f t="shared" si="33"/>
        <v>4852.3999999999996</v>
      </c>
      <c r="Q162" s="78"/>
    </row>
    <row r="163" spans="1:31" ht="23.25" customHeight="1" x14ac:dyDescent="0.15">
      <c r="A163" s="21" t="s">
        <v>492</v>
      </c>
      <c r="B163" s="21" t="s">
        <v>483</v>
      </c>
      <c r="C163" s="1" t="s">
        <v>338</v>
      </c>
      <c r="D163" s="140" t="s">
        <v>823</v>
      </c>
      <c r="E163" s="140" t="s">
        <v>824</v>
      </c>
      <c r="F163" s="141" t="s">
        <v>172</v>
      </c>
      <c r="G163" s="144">
        <v>2.8</v>
      </c>
      <c r="H163" s="139">
        <v>1733</v>
      </c>
      <c r="I163" s="49">
        <f t="shared" si="30"/>
        <v>4852.3999999999996</v>
      </c>
      <c r="J163" s="49">
        <f t="shared" si="35"/>
        <v>2.8</v>
      </c>
      <c r="K163" s="49">
        <f>[2]합산자재!I128</f>
        <v>0</v>
      </c>
      <c r="L163" s="49" t="str">
        <f t="shared" si="31"/>
        <v/>
      </c>
      <c r="M163" s="49">
        <f>[2]합산자재!J160</f>
        <v>0</v>
      </c>
      <c r="N163" s="49" t="str">
        <f t="shared" si="32"/>
        <v/>
      </c>
      <c r="O163" s="49"/>
      <c r="P163" s="49">
        <f t="shared" si="33"/>
        <v>4852.3999999999996</v>
      </c>
      <c r="Q163" s="78"/>
    </row>
    <row r="164" spans="1:31" ht="23.25" customHeight="1" x14ac:dyDescent="0.15">
      <c r="A164" s="21" t="s">
        <v>493</v>
      </c>
      <c r="B164" s="21" t="s">
        <v>483</v>
      </c>
      <c r="C164" s="1" t="s">
        <v>215</v>
      </c>
      <c r="D164" s="140" t="s">
        <v>831</v>
      </c>
      <c r="E164" s="140" t="s">
        <v>832</v>
      </c>
      <c r="F164" s="141" t="s">
        <v>190</v>
      </c>
      <c r="G164" s="144">
        <v>1</v>
      </c>
      <c r="H164" s="139">
        <v>4400</v>
      </c>
      <c r="I164" s="49">
        <f t="shared" si="30"/>
        <v>4400</v>
      </c>
      <c r="J164" s="49">
        <f t="shared" si="35"/>
        <v>1</v>
      </c>
      <c r="K164" s="49">
        <f>[2]합산자재!I129</f>
        <v>0</v>
      </c>
      <c r="L164" s="49" t="str">
        <f t="shared" si="31"/>
        <v/>
      </c>
      <c r="M164" s="49">
        <f>[2]합산자재!J129</f>
        <v>0</v>
      </c>
      <c r="N164" s="49" t="str">
        <f t="shared" si="32"/>
        <v/>
      </c>
      <c r="O164" s="49"/>
      <c r="P164" s="49">
        <f t="shared" si="33"/>
        <v>4400</v>
      </c>
      <c r="Q164" s="78"/>
    </row>
    <row r="165" spans="1:31" ht="23.25" customHeight="1" x14ac:dyDescent="0.15">
      <c r="A165" s="21" t="s">
        <v>494</v>
      </c>
      <c r="B165" s="21" t="s">
        <v>483</v>
      </c>
      <c r="C165" s="1" t="s">
        <v>218</v>
      </c>
      <c r="D165" s="140" t="s">
        <v>856</v>
      </c>
      <c r="E165" s="140" t="s">
        <v>857</v>
      </c>
      <c r="F165" s="141" t="s">
        <v>190</v>
      </c>
      <c r="G165" s="144">
        <v>3</v>
      </c>
      <c r="H165" s="139">
        <v>16170</v>
      </c>
      <c r="I165" s="49">
        <f t="shared" si="30"/>
        <v>48510</v>
      </c>
      <c r="J165" s="49">
        <f t="shared" si="35"/>
        <v>3</v>
      </c>
      <c r="K165" s="49">
        <v>0</v>
      </c>
      <c r="L165" s="49" t="str">
        <f t="shared" si="31"/>
        <v/>
      </c>
      <c r="M165" s="49">
        <f>[2]합산자재!J130</f>
        <v>0</v>
      </c>
      <c r="N165" s="49" t="str">
        <f t="shared" si="32"/>
        <v/>
      </c>
      <c r="O165" s="49"/>
      <c r="P165" s="49">
        <f t="shared" si="33"/>
        <v>48510</v>
      </c>
      <c r="Q165" s="78"/>
    </row>
    <row r="166" spans="1:31" ht="23.25" customHeight="1" x14ac:dyDescent="0.15">
      <c r="A166" s="21" t="s">
        <v>488</v>
      </c>
      <c r="B166" s="21" t="s">
        <v>483</v>
      </c>
      <c r="C166" s="1" t="s">
        <v>220</v>
      </c>
      <c r="D166" s="140" t="s">
        <v>833</v>
      </c>
      <c r="E166" s="140" t="s">
        <v>834</v>
      </c>
      <c r="F166" s="141" t="s">
        <v>172</v>
      </c>
      <c r="G166" s="144">
        <v>30</v>
      </c>
      <c r="H166" s="139">
        <v>757</v>
      </c>
      <c r="I166" s="90">
        <f t="shared" si="30"/>
        <v>22710</v>
      </c>
      <c r="J166" s="49">
        <f t="shared" si="35"/>
        <v>30</v>
      </c>
      <c r="K166" s="49">
        <v>0</v>
      </c>
      <c r="L166" s="90" t="str">
        <f t="shared" si="31"/>
        <v/>
      </c>
      <c r="M166" s="49">
        <f>[2]합산자재!J137</f>
        <v>0</v>
      </c>
      <c r="N166" s="90" t="str">
        <f t="shared" si="32"/>
        <v/>
      </c>
      <c r="O166" s="49"/>
      <c r="P166" s="49">
        <f t="shared" si="33"/>
        <v>22710</v>
      </c>
      <c r="Q166" s="78"/>
    </row>
    <row r="167" spans="1:31" ht="23.25" customHeight="1" x14ac:dyDescent="0.15">
      <c r="A167" s="21" t="s">
        <v>489</v>
      </c>
      <c r="B167" s="21" t="s">
        <v>483</v>
      </c>
      <c r="C167" s="1" t="s">
        <v>241</v>
      </c>
      <c r="D167" s="140" t="s">
        <v>859</v>
      </c>
      <c r="E167" s="140" t="s">
        <v>860</v>
      </c>
      <c r="F167" s="141" t="s">
        <v>190</v>
      </c>
      <c r="G167" s="144">
        <v>1</v>
      </c>
      <c r="H167" s="139">
        <v>5550</v>
      </c>
      <c r="I167" s="49">
        <f t="shared" si="30"/>
        <v>5550</v>
      </c>
      <c r="J167" s="49">
        <f t="shared" si="35"/>
        <v>1</v>
      </c>
      <c r="K167" s="49">
        <f>[2]합산자재!I144</f>
        <v>0</v>
      </c>
      <c r="L167" s="49" t="str">
        <f t="shared" si="31"/>
        <v/>
      </c>
      <c r="M167" s="49">
        <f>[2]합산자재!J144</f>
        <v>0</v>
      </c>
      <c r="N167" s="49" t="str">
        <f t="shared" si="32"/>
        <v/>
      </c>
      <c r="O167" s="49"/>
      <c r="P167" s="49">
        <f t="shared" si="33"/>
        <v>5550</v>
      </c>
      <c r="Q167" s="78"/>
      <c r="Z167" s="2" t="s">
        <v>490</v>
      </c>
    </row>
    <row r="168" spans="1:31" ht="23.25" customHeight="1" x14ac:dyDescent="0.15">
      <c r="A168" s="21" t="s">
        <v>491</v>
      </c>
      <c r="B168" s="21" t="s">
        <v>483</v>
      </c>
      <c r="C168" s="1" t="s">
        <v>334</v>
      </c>
      <c r="D168" s="140" t="s">
        <v>827</v>
      </c>
      <c r="E168" s="140" t="s">
        <v>828</v>
      </c>
      <c r="F168" s="141" t="s">
        <v>190</v>
      </c>
      <c r="G168" s="144">
        <v>2</v>
      </c>
      <c r="H168" s="139">
        <v>5250</v>
      </c>
      <c r="I168" s="49">
        <f t="shared" si="30"/>
        <v>10500</v>
      </c>
      <c r="J168" s="49">
        <f t="shared" si="35"/>
        <v>2</v>
      </c>
      <c r="K168" s="49">
        <f>[2]합산자재!I165</f>
        <v>0</v>
      </c>
      <c r="L168" s="49" t="str">
        <f t="shared" si="31"/>
        <v/>
      </c>
      <c r="M168" s="49">
        <f>[2]합산자재!J165</f>
        <v>0</v>
      </c>
      <c r="N168" s="49" t="str">
        <f t="shared" si="32"/>
        <v/>
      </c>
      <c r="O168" s="49"/>
      <c r="P168" s="49">
        <f t="shared" si="33"/>
        <v>10500</v>
      </c>
      <c r="Q168" s="78"/>
    </row>
    <row r="169" spans="1:31" ht="23.25" customHeight="1" x14ac:dyDescent="0.15">
      <c r="A169" s="21" t="s">
        <v>488</v>
      </c>
      <c r="B169" s="21" t="s">
        <v>483</v>
      </c>
      <c r="C169" s="1" t="s">
        <v>220</v>
      </c>
      <c r="D169" s="140" t="s">
        <v>829</v>
      </c>
      <c r="E169" s="140" t="s">
        <v>861</v>
      </c>
      <c r="F169" s="141" t="s">
        <v>190</v>
      </c>
      <c r="G169" s="144">
        <v>1</v>
      </c>
      <c r="H169" s="139">
        <v>2365</v>
      </c>
      <c r="I169" s="90">
        <f t="shared" si="30"/>
        <v>2365</v>
      </c>
      <c r="J169" s="49">
        <f>G169</f>
        <v>1</v>
      </c>
      <c r="K169" s="49">
        <f>[2]합산자재!I140</f>
        <v>0</v>
      </c>
      <c r="L169" s="90" t="str">
        <f t="shared" si="31"/>
        <v/>
      </c>
      <c r="M169" s="49">
        <f>[2]합산자재!J140</f>
        <v>0</v>
      </c>
      <c r="N169" s="90" t="str">
        <f t="shared" si="32"/>
        <v/>
      </c>
      <c r="O169" s="49"/>
      <c r="P169" s="49">
        <f t="shared" si="33"/>
        <v>2365</v>
      </c>
      <c r="Q169" s="78"/>
    </row>
    <row r="170" spans="1:31" ht="23.25" customHeight="1" x14ac:dyDescent="0.15">
      <c r="A170" s="21" t="s">
        <v>489</v>
      </c>
      <c r="B170" s="21" t="s">
        <v>483</v>
      </c>
      <c r="C170" s="1" t="s">
        <v>241</v>
      </c>
      <c r="D170" s="140" t="s">
        <v>807</v>
      </c>
      <c r="E170" s="140" t="s">
        <v>862</v>
      </c>
      <c r="F170" s="141" t="s">
        <v>190</v>
      </c>
      <c r="G170" s="144">
        <v>1</v>
      </c>
      <c r="H170" s="139">
        <v>627</v>
      </c>
      <c r="I170" s="49">
        <f t="shared" si="30"/>
        <v>627</v>
      </c>
      <c r="J170" s="49">
        <f t="shared" ref="J170:J173" si="36">G170</f>
        <v>1</v>
      </c>
      <c r="K170" s="49">
        <f>[2]합산자재!I147</f>
        <v>0</v>
      </c>
      <c r="L170" s="49" t="str">
        <f t="shared" si="31"/>
        <v/>
      </c>
      <c r="M170" s="49">
        <f>[2]합산자재!J147</f>
        <v>0</v>
      </c>
      <c r="N170" s="49" t="str">
        <f t="shared" si="32"/>
        <v/>
      </c>
      <c r="O170" s="49"/>
      <c r="P170" s="49">
        <f t="shared" si="33"/>
        <v>627</v>
      </c>
      <c r="Q170" s="78"/>
      <c r="Z170" s="2" t="s">
        <v>490</v>
      </c>
    </row>
    <row r="171" spans="1:31" ht="23.25" customHeight="1" x14ac:dyDescent="0.15">
      <c r="A171" s="21" t="s">
        <v>491</v>
      </c>
      <c r="B171" s="21" t="s">
        <v>483</v>
      </c>
      <c r="C171" s="1" t="s">
        <v>334</v>
      </c>
      <c r="D171" s="140" t="s">
        <v>863</v>
      </c>
      <c r="E171" s="140" t="s">
        <v>872</v>
      </c>
      <c r="F171" s="141" t="s">
        <v>190</v>
      </c>
      <c r="G171" s="144">
        <v>37</v>
      </c>
      <c r="H171" s="139">
        <v>27</v>
      </c>
      <c r="I171" s="49">
        <f t="shared" si="30"/>
        <v>999</v>
      </c>
      <c r="J171" s="49">
        <f t="shared" si="36"/>
        <v>37</v>
      </c>
      <c r="K171" s="49">
        <f>[2]합산자재!I168</f>
        <v>0</v>
      </c>
      <c r="L171" s="49" t="str">
        <f t="shared" si="31"/>
        <v/>
      </c>
      <c r="M171" s="49">
        <f>[2]합산자재!J168</f>
        <v>0</v>
      </c>
      <c r="N171" s="49" t="str">
        <f t="shared" si="32"/>
        <v/>
      </c>
      <c r="O171" s="49"/>
      <c r="P171" s="49">
        <f t="shared" si="33"/>
        <v>999</v>
      </c>
      <c r="Q171" s="78"/>
    </row>
    <row r="172" spans="1:31" ht="23.25" customHeight="1" x14ac:dyDescent="0.15">
      <c r="A172" s="21" t="s">
        <v>492</v>
      </c>
      <c r="B172" s="21" t="s">
        <v>483</v>
      </c>
      <c r="C172" s="1" t="s">
        <v>338</v>
      </c>
      <c r="D172" s="140" t="s">
        <v>873</v>
      </c>
      <c r="E172" s="140" t="s">
        <v>874</v>
      </c>
      <c r="F172" s="141" t="s">
        <v>190</v>
      </c>
      <c r="G172" s="144">
        <v>1</v>
      </c>
      <c r="H172" s="139">
        <v>40930</v>
      </c>
      <c r="I172" s="49">
        <f t="shared" si="30"/>
        <v>40930</v>
      </c>
      <c r="J172" s="49">
        <f t="shared" si="36"/>
        <v>1</v>
      </c>
      <c r="K172" s="49">
        <v>0</v>
      </c>
      <c r="L172" s="49" t="str">
        <f t="shared" si="31"/>
        <v/>
      </c>
      <c r="M172" s="49">
        <f>[2]합산자재!J169</f>
        <v>0</v>
      </c>
      <c r="N172" s="49" t="str">
        <f t="shared" si="32"/>
        <v/>
      </c>
      <c r="O172" s="49"/>
      <c r="P172" s="49">
        <f t="shared" si="33"/>
        <v>40930</v>
      </c>
      <c r="Q172" s="78"/>
    </row>
    <row r="173" spans="1:31" ht="23.25" customHeight="1" x14ac:dyDescent="0.15">
      <c r="A173" s="21" t="s">
        <v>493</v>
      </c>
      <c r="B173" s="21" t="s">
        <v>483</v>
      </c>
      <c r="C173" s="1" t="s">
        <v>215</v>
      </c>
      <c r="D173" s="140" t="s">
        <v>863</v>
      </c>
      <c r="E173" s="140" t="s">
        <v>875</v>
      </c>
      <c r="F173" s="141" t="s">
        <v>190</v>
      </c>
      <c r="G173" s="144">
        <v>37</v>
      </c>
      <c r="H173" s="139">
        <v>52</v>
      </c>
      <c r="I173" s="49">
        <f t="shared" si="30"/>
        <v>1924</v>
      </c>
      <c r="J173" s="49">
        <f t="shared" si="36"/>
        <v>37</v>
      </c>
      <c r="K173" s="49">
        <f>[2]합산자재!I138</f>
        <v>0</v>
      </c>
      <c r="L173" s="49" t="str">
        <f t="shared" si="31"/>
        <v/>
      </c>
      <c r="M173" s="49">
        <f>[2]합산자재!J138</f>
        <v>0</v>
      </c>
      <c r="N173" s="49" t="str">
        <f t="shared" si="32"/>
        <v/>
      </c>
      <c r="O173" s="49"/>
      <c r="P173" s="49">
        <f t="shared" si="33"/>
        <v>1924</v>
      </c>
      <c r="Q173" s="78"/>
    </row>
    <row r="174" spans="1:31" ht="23.25" customHeight="1" x14ac:dyDescent="0.15">
      <c r="A174" s="21" t="s">
        <v>479</v>
      </c>
      <c r="B174" s="21" t="s">
        <v>483</v>
      </c>
      <c r="C174" s="1" t="s">
        <v>458</v>
      </c>
      <c r="D174" s="78" t="s">
        <v>459</v>
      </c>
      <c r="E174" s="78" t="s">
        <v>799</v>
      </c>
      <c r="F174" s="52" t="s">
        <v>461</v>
      </c>
      <c r="G174" s="49">
        <f>'일위노임 (2)'!G104</f>
        <v>6.3319999999999999</v>
      </c>
      <c r="H174" s="49">
        <f>[2]합산자재!H209</f>
        <v>0</v>
      </c>
      <c r="I174" s="49" t="str">
        <f t="shared" si="30"/>
        <v/>
      </c>
      <c r="J174" s="49">
        <f>G174</f>
        <v>6.3319999999999999</v>
      </c>
      <c r="K174" s="49">
        <v>122522</v>
      </c>
      <c r="L174" s="49">
        <f t="shared" si="31"/>
        <v>775809.3</v>
      </c>
      <c r="M174" s="49">
        <f>[2]합산자재!J209</f>
        <v>0</v>
      </c>
      <c r="N174" s="49" t="str">
        <f t="shared" si="32"/>
        <v/>
      </c>
      <c r="O174" s="49"/>
      <c r="P174" s="49">
        <f t="shared" si="33"/>
        <v>775809.3</v>
      </c>
      <c r="Q174" s="78"/>
      <c r="AE174" s="2">
        <f>L174</f>
        <v>775809.3</v>
      </c>
    </row>
    <row r="175" spans="1:31" ht="23.25" customHeight="1" x14ac:dyDescent="0.15">
      <c r="A175" s="21" t="s">
        <v>479</v>
      </c>
      <c r="B175" s="21" t="s">
        <v>483</v>
      </c>
      <c r="C175" s="1" t="s">
        <v>458</v>
      </c>
      <c r="D175" s="78" t="s">
        <v>459</v>
      </c>
      <c r="E175" s="78" t="s">
        <v>800</v>
      </c>
      <c r="F175" s="52" t="s">
        <v>461</v>
      </c>
      <c r="G175" s="49">
        <f>'일위노임 (2)'!G105</f>
        <v>3.5909999999999997</v>
      </c>
      <c r="H175" s="49">
        <f>[2]합산자재!H210</f>
        <v>0</v>
      </c>
      <c r="I175" s="49" t="str">
        <f t="shared" si="30"/>
        <v/>
      </c>
      <c r="J175" s="49">
        <f t="shared" ref="J175" si="37">G175</f>
        <v>3.5909999999999997</v>
      </c>
      <c r="K175" s="49">
        <v>99248</v>
      </c>
      <c r="L175" s="49">
        <f t="shared" si="31"/>
        <v>356399.5</v>
      </c>
      <c r="M175" s="49">
        <f>[2]합산자재!J210</f>
        <v>0</v>
      </c>
      <c r="N175" s="49" t="str">
        <f t="shared" si="32"/>
        <v/>
      </c>
      <c r="O175" s="49"/>
      <c r="P175" s="49">
        <f t="shared" si="33"/>
        <v>356399.5</v>
      </c>
      <c r="Q175" s="78"/>
      <c r="AE175" s="2">
        <f>L175</f>
        <v>356399.5</v>
      </c>
    </row>
    <row r="176" spans="1:31" ht="23.25" customHeight="1" x14ac:dyDescent="0.15">
      <c r="A176" s="21" t="s">
        <v>479</v>
      </c>
      <c r="B176" s="21" t="s">
        <v>483</v>
      </c>
      <c r="C176" s="1" t="s">
        <v>458</v>
      </c>
      <c r="D176" s="78" t="s">
        <v>459</v>
      </c>
      <c r="E176" s="78" t="s">
        <v>801</v>
      </c>
      <c r="F176" s="52" t="s">
        <v>461</v>
      </c>
      <c r="G176" s="49">
        <f t="shared" ref="G176" si="38">J176</f>
        <v>0</v>
      </c>
      <c r="H176" s="49">
        <f>[2]합산자재!H211</f>
        <v>0</v>
      </c>
      <c r="I176" s="49" t="str">
        <f t="shared" si="30"/>
        <v/>
      </c>
      <c r="J176" s="49">
        <v>0</v>
      </c>
      <c r="K176" s="49">
        <v>105323</v>
      </c>
      <c r="L176" s="49" t="str">
        <f t="shared" si="31"/>
        <v/>
      </c>
      <c r="M176" s="49">
        <f>[2]합산자재!J211</f>
        <v>0</v>
      </c>
      <c r="N176" s="49" t="str">
        <f t="shared" si="32"/>
        <v/>
      </c>
      <c r="O176" s="49"/>
      <c r="P176" s="49" t="str">
        <f t="shared" si="33"/>
        <v/>
      </c>
      <c r="Q176" s="78"/>
      <c r="AE176" s="2" t="str">
        <f>L176</f>
        <v/>
      </c>
    </row>
    <row r="177" spans="1:31" ht="23.25" customHeight="1" x14ac:dyDescent="0.15">
      <c r="A177" s="21" t="s">
        <v>479</v>
      </c>
      <c r="B177" s="21" t="s">
        <v>483</v>
      </c>
      <c r="C177" s="1" t="s">
        <v>458</v>
      </c>
      <c r="D177" s="78" t="s">
        <v>459</v>
      </c>
      <c r="E177" s="78" t="s">
        <v>802</v>
      </c>
      <c r="F177" s="52" t="s">
        <v>461</v>
      </c>
      <c r="G177" s="49">
        <f>'일위노임 (2)'!G106</f>
        <v>0.55999999999999994</v>
      </c>
      <c r="H177" s="49">
        <f>[2]합산자재!H212</f>
        <v>0</v>
      </c>
      <c r="I177" s="49" t="str">
        <f t="shared" si="30"/>
        <v/>
      </c>
      <c r="J177" s="49">
        <f t="shared" ref="J177" si="39">G177</f>
        <v>0.55999999999999994</v>
      </c>
      <c r="K177" s="49">
        <v>90694</v>
      </c>
      <c r="L177" s="49">
        <f t="shared" si="31"/>
        <v>50788.6</v>
      </c>
      <c r="M177" s="49">
        <f>[2]합산자재!J212</f>
        <v>0</v>
      </c>
      <c r="N177" s="49" t="str">
        <f t="shared" si="32"/>
        <v/>
      </c>
      <c r="O177" s="49"/>
      <c r="P177" s="49">
        <f t="shared" si="33"/>
        <v>50788.6</v>
      </c>
      <c r="Q177" s="78"/>
      <c r="AE177" s="2">
        <f>L177</f>
        <v>50788.6</v>
      </c>
    </row>
    <row r="178" spans="1:31" ht="23.25" customHeight="1" x14ac:dyDescent="0.15">
      <c r="B178" s="21" t="s">
        <v>499</v>
      </c>
      <c r="D178" s="78" t="s">
        <v>500</v>
      </c>
      <c r="E178" s="78"/>
      <c r="F178" s="52"/>
      <c r="G178" s="49"/>
      <c r="H178" s="49"/>
      <c r="I178" s="49">
        <f>TRUNC(SUM(I128:I177))</f>
        <v>2937106</v>
      </c>
      <c r="J178" s="49"/>
      <c r="K178" s="49"/>
      <c r="L178" s="49">
        <f>TRUNC(SUM(L128:L177))</f>
        <v>1182997</v>
      </c>
      <c r="M178" s="49"/>
      <c r="N178" s="49">
        <f>TRUNC(SUM(N128:N177))</f>
        <v>0</v>
      </c>
      <c r="O178" s="49"/>
      <c r="P178" s="49">
        <f t="shared" si="33"/>
        <v>4120103</v>
      </c>
      <c r="Q178" s="78"/>
      <c r="AC178" s="2">
        <f>TRUNC(AE178*[2]옵션!$B$36/100,1)</f>
        <v>35489.9</v>
      </c>
      <c r="AD178" s="2">
        <f>TRUNC(SUM(L128:L174))</f>
        <v>775809</v>
      </c>
      <c r="AE178" s="2">
        <f>TRUNC(SUM(AE128:AE177))</f>
        <v>1182997</v>
      </c>
    </row>
    <row r="179" spans="1:31" ht="23.25" customHeight="1" x14ac:dyDescent="0.15">
      <c r="B179" s="21" t="s">
        <v>487</v>
      </c>
      <c r="D179" s="264"/>
      <c r="E179" s="265"/>
      <c r="F179" s="265"/>
      <c r="G179" s="265"/>
      <c r="H179" s="265"/>
      <c r="I179" s="265"/>
      <c r="J179" s="265"/>
      <c r="K179" s="265"/>
      <c r="L179" s="265"/>
      <c r="M179" s="265"/>
      <c r="N179" s="265"/>
      <c r="O179" s="265"/>
      <c r="P179" s="265"/>
      <c r="Q179" s="266"/>
    </row>
    <row r="180" spans="1:31" ht="23.25" customHeight="1" x14ac:dyDescent="0.15">
      <c r="A180" s="21" t="s">
        <v>482</v>
      </c>
      <c r="B180" s="21" t="s">
        <v>487</v>
      </c>
      <c r="C180" s="1" t="s">
        <v>483</v>
      </c>
      <c r="D180" s="264" t="s">
        <v>1019</v>
      </c>
      <c r="E180" s="265"/>
      <c r="F180" s="265"/>
      <c r="G180" s="265"/>
      <c r="H180" s="265"/>
      <c r="I180" s="265"/>
      <c r="J180" s="265"/>
      <c r="K180" s="265"/>
      <c r="L180" s="265"/>
      <c r="M180" s="265"/>
      <c r="N180" s="265"/>
      <c r="O180" s="265"/>
      <c r="P180" s="265"/>
      <c r="Q180" s="266"/>
    </row>
    <row r="181" spans="1:31" ht="23.25" customHeight="1" x14ac:dyDescent="0.15">
      <c r="A181" s="21" t="s">
        <v>488</v>
      </c>
      <c r="B181" s="21" t="s">
        <v>483</v>
      </c>
      <c r="C181" s="1" t="s">
        <v>220</v>
      </c>
      <c r="D181" s="140" t="s">
        <v>835</v>
      </c>
      <c r="E181" s="140" t="s">
        <v>877</v>
      </c>
      <c r="F181" s="141" t="s">
        <v>345</v>
      </c>
      <c r="G181" s="144">
        <v>1</v>
      </c>
      <c r="H181" s="139">
        <v>951033</v>
      </c>
      <c r="I181" s="90">
        <f t="shared" ref="I181:I229" si="40">IF(G181*H181&lt;&gt;0, TRUNC(G181*H181,1),"")</f>
        <v>951033</v>
      </c>
      <c r="J181" s="49">
        <f>G181</f>
        <v>1</v>
      </c>
      <c r="K181" s="49">
        <f>[2]합산자재!I152</f>
        <v>0</v>
      </c>
      <c r="L181" s="90" t="str">
        <f t="shared" ref="L181:L229" si="41">IF(G181*K181&lt;&gt;0, TRUNC(G181*K181,1),"")</f>
        <v/>
      </c>
      <c r="M181" s="49">
        <f>[2]합산자재!J152</f>
        <v>0</v>
      </c>
      <c r="N181" s="90" t="str">
        <f t="shared" ref="N181:N229" si="42">IF(G181*M181&lt;&gt;0, TRUNC(G181*M181,1),"")</f>
        <v/>
      </c>
      <c r="O181" s="49"/>
      <c r="P181" s="49">
        <f t="shared" ref="P181:P230" si="43">IF(SUM(I181,L181,N181)&lt;&gt;0,TRUNC(SUM(I181,L181,N181),1),"")</f>
        <v>951033</v>
      </c>
      <c r="Q181" s="78"/>
    </row>
    <row r="182" spans="1:31" ht="23.25" customHeight="1" x14ac:dyDescent="0.15">
      <c r="A182" s="21" t="s">
        <v>489</v>
      </c>
      <c r="B182" s="21" t="s">
        <v>483</v>
      </c>
      <c r="C182" s="1" t="s">
        <v>241</v>
      </c>
      <c r="D182" s="140" t="s">
        <v>808</v>
      </c>
      <c r="E182" s="140" t="s">
        <v>837</v>
      </c>
      <c r="F182" s="141" t="s">
        <v>190</v>
      </c>
      <c r="G182" s="144">
        <v>1</v>
      </c>
      <c r="H182" s="139">
        <v>4703</v>
      </c>
      <c r="I182" s="49">
        <f t="shared" si="40"/>
        <v>4703</v>
      </c>
      <c r="J182" s="49">
        <f t="shared" ref="J182:J200" si="44">G182</f>
        <v>1</v>
      </c>
      <c r="K182" s="49">
        <f>[2]합산자재!I159</f>
        <v>0</v>
      </c>
      <c r="L182" s="49" t="str">
        <f t="shared" si="41"/>
        <v/>
      </c>
      <c r="M182" s="49">
        <f>[2]합산자재!J159</f>
        <v>0</v>
      </c>
      <c r="N182" s="49" t="str">
        <f t="shared" si="42"/>
        <v/>
      </c>
      <c r="O182" s="49"/>
      <c r="P182" s="49">
        <f t="shared" si="43"/>
        <v>4703</v>
      </c>
      <c r="Q182" s="78"/>
      <c r="Z182" s="2" t="s">
        <v>490</v>
      </c>
    </row>
    <row r="183" spans="1:31" ht="23.25" customHeight="1" x14ac:dyDescent="0.15">
      <c r="A183" s="21" t="s">
        <v>491</v>
      </c>
      <c r="B183" s="21" t="s">
        <v>483</v>
      </c>
      <c r="C183" s="1" t="s">
        <v>334</v>
      </c>
      <c r="D183" s="140" t="s">
        <v>807</v>
      </c>
      <c r="E183" s="140" t="s">
        <v>838</v>
      </c>
      <c r="F183" s="141" t="s">
        <v>190</v>
      </c>
      <c r="G183" s="144">
        <v>2</v>
      </c>
      <c r="H183" s="139">
        <v>4703</v>
      </c>
      <c r="I183" s="49">
        <f t="shared" si="40"/>
        <v>9406</v>
      </c>
      <c r="J183" s="49">
        <f t="shared" si="44"/>
        <v>2</v>
      </c>
      <c r="K183" s="49">
        <f>[2]합산자재!I180</f>
        <v>0</v>
      </c>
      <c r="L183" s="49" t="str">
        <f t="shared" si="41"/>
        <v/>
      </c>
      <c r="M183" s="49">
        <f>[2]합산자재!J180</f>
        <v>0</v>
      </c>
      <c r="N183" s="49" t="str">
        <f t="shared" si="42"/>
        <v/>
      </c>
      <c r="O183" s="49"/>
      <c r="P183" s="49">
        <f t="shared" si="43"/>
        <v>9406</v>
      </c>
      <c r="Q183" s="78"/>
    </row>
    <row r="184" spans="1:31" ht="23.25" customHeight="1" x14ac:dyDescent="0.15">
      <c r="A184" s="21" t="s">
        <v>492</v>
      </c>
      <c r="B184" s="21" t="s">
        <v>483</v>
      </c>
      <c r="C184" s="1" t="s">
        <v>338</v>
      </c>
      <c r="D184" s="140" t="s">
        <v>839</v>
      </c>
      <c r="E184" s="140" t="s">
        <v>840</v>
      </c>
      <c r="F184" s="141" t="s">
        <v>190</v>
      </c>
      <c r="G184" s="144">
        <v>3</v>
      </c>
      <c r="H184" s="139">
        <v>4320</v>
      </c>
      <c r="I184" s="49">
        <f t="shared" si="40"/>
        <v>12960</v>
      </c>
      <c r="J184" s="49">
        <f t="shared" si="44"/>
        <v>3</v>
      </c>
      <c r="K184" s="49">
        <v>0</v>
      </c>
      <c r="L184" s="49" t="str">
        <f t="shared" si="41"/>
        <v/>
      </c>
      <c r="M184" s="49">
        <f>[2]합산자재!J181</f>
        <v>0</v>
      </c>
      <c r="N184" s="49" t="str">
        <f t="shared" si="42"/>
        <v/>
      </c>
      <c r="O184" s="49"/>
      <c r="P184" s="49">
        <f t="shared" si="43"/>
        <v>12960</v>
      </c>
      <c r="Q184" s="78"/>
    </row>
    <row r="185" spans="1:31" ht="23.25" customHeight="1" x14ac:dyDescent="0.15">
      <c r="A185" s="21" t="s">
        <v>493</v>
      </c>
      <c r="B185" s="21" t="s">
        <v>483</v>
      </c>
      <c r="C185" s="1" t="s">
        <v>215</v>
      </c>
      <c r="D185" s="140" t="s">
        <v>841</v>
      </c>
      <c r="E185" s="140" t="s">
        <v>842</v>
      </c>
      <c r="F185" s="141" t="s">
        <v>172</v>
      </c>
      <c r="G185" s="144">
        <v>0.7</v>
      </c>
      <c r="H185" s="139">
        <v>46550</v>
      </c>
      <c r="I185" s="49">
        <f t="shared" si="40"/>
        <v>32585</v>
      </c>
      <c r="J185" s="49">
        <f t="shared" si="44"/>
        <v>0.7</v>
      </c>
      <c r="K185" s="49">
        <f>[2]합산자재!I150</f>
        <v>0</v>
      </c>
      <c r="L185" s="49" t="str">
        <f t="shared" si="41"/>
        <v/>
      </c>
      <c r="M185" s="49">
        <f>[2]합산자재!J150</f>
        <v>0</v>
      </c>
      <c r="N185" s="49" t="str">
        <f t="shared" si="42"/>
        <v/>
      </c>
      <c r="O185" s="49"/>
      <c r="P185" s="49">
        <f t="shared" si="43"/>
        <v>32585</v>
      </c>
      <c r="Q185" s="78"/>
    </row>
    <row r="186" spans="1:31" ht="23.25" customHeight="1" x14ac:dyDescent="0.15">
      <c r="A186" s="21" t="s">
        <v>494</v>
      </c>
      <c r="B186" s="21" t="s">
        <v>483</v>
      </c>
      <c r="C186" s="1" t="s">
        <v>218</v>
      </c>
      <c r="D186" s="140" t="s">
        <v>833</v>
      </c>
      <c r="E186" s="140" t="s">
        <v>834</v>
      </c>
      <c r="F186" s="141" t="s">
        <v>172</v>
      </c>
      <c r="G186" s="144">
        <v>13</v>
      </c>
      <c r="H186" s="139">
        <v>757</v>
      </c>
      <c r="I186" s="49">
        <f t="shared" si="40"/>
        <v>9841</v>
      </c>
      <c r="J186" s="49">
        <f t="shared" si="44"/>
        <v>13</v>
      </c>
      <c r="K186" s="49">
        <f>[2]합산자재!I151</f>
        <v>0</v>
      </c>
      <c r="L186" s="49" t="str">
        <f t="shared" si="41"/>
        <v/>
      </c>
      <c r="M186" s="49">
        <f>[2]합산자재!J151</f>
        <v>0</v>
      </c>
      <c r="N186" s="49" t="str">
        <f t="shared" si="42"/>
        <v/>
      </c>
      <c r="O186" s="49"/>
      <c r="P186" s="49">
        <f t="shared" si="43"/>
        <v>9841</v>
      </c>
      <c r="Q186" s="78"/>
    </row>
    <row r="187" spans="1:31" ht="23.25" customHeight="1" x14ac:dyDescent="0.15">
      <c r="A187" s="21" t="s">
        <v>488</v>
      </c>
      <c r="B187" s="21" t="s">
        <v>483</v>
      </c>
      <c r="C187" s="1" t="s">
        <v>220</v>
      </c>
      <c r="D187" s="140" t="s">
        <v>843</v>
      </c>
      <c r="E187" s="140"/>
      <c r="F187" s="141" t="s">
        <v>818</v>
      </c>
      <c r="G187" s="144">
        <v>1</v>
      </c>
      <c r="H187" s="139">
        <v>550550</v>
      </c>
      <c r="I187" s="90">
        <f t="shared" si="40"/>
        <v>550550</v>
      </c>
      <c r="J187" s="49">
        <f t="shared" si="44"/>
        <v>1</v>
      </c>
      <c r="K187" s="49">
        <v>0</v>
      </c>
      <c r="L187" s="90" t="str">
        <f t="shared" si="41"/>
        <v/>
      </c>
      <c r="M187" s="49">
        <f>[2]합산자재!J158</f>
        <v>0</v>
      </c>
      <c r="N187" s="90" t="str">
        <f t="shared" si="42"/>
        <v/>
      </c>
      <c r="O187" s="49"/>
      <c r="P187" s="49">
        <f t="shared" si="43"/>
        <v>550550</v>
      </c>
      <c r="Q187" s="78"/>
    </row>
    <row r="188" spans="1:31" ht="23.25" customHeight="1" x14ac:dyDescent="0.15">
      <c r="A188" s="21" t="s">
        <v>489</v>
      </c>
      <c r="B188" s="21" t="s">
        <v>483</v>
      </c>
      <c r="C188" s="1" t="s">
        <v>241</v>
      </c>
      <c r="D188" s="140" t="s">
        <v>819</v>
      </c>
      <c r="E188" s="140" t="s">
        <v>844</v>
      </c>
      <c r="F188" s="141" t="s">
        <v>190</v>
      </c>
      <c r="G188" s="144">
        <v>1</v>
      </c>
      <c r="H188" s="139">
        <v>145000</v>
      </c>
      <c r="I188" s="49">
        <f t="shared" si="40"/>
        <v>145000</v>
      </c>
      <c r="J188" s="49">
        <f t="shared" si="44"/>
        <v>1</v>
      </c>
      <c r="K188" s="49">
        <f>[2]합산자재!I165</f>
        <v>0</v>
      </c>
      <c r="L188" s="49" t="str">
        <f t="shared" si="41"/>
        <v/>
      </c>
      <c r="M188" s="49">
        <f>[2]합산자재!J165</f>
        <v>0</v>
      </c>
      <c r="N188" s="49" t="str">
        <f t="shared" si="42"/>
        <v/>
      </c>
      <c r="O188" s="49"/>
      <c r="P188" s="49">
        <f t="shared" si="43"/>
        <v>145000</v>
      </c>
      <c r="Q188" s="78"/>
      <c r="Z188" s="2" t="s">
        <v>490</v>
      </c>
    </row>
    <row r="189" spans="1:31" ht="23.25" customHeight="1" x14ac:dyDescent="0.15">
      <c r="A189" s="21" t="s">
        <v>491</v>
      </c>
      <c r="B189" s="21" t="s">
        <v>483</v>
      </c>
      <c r="C189" s="1" t="s">
        <v>334</v>
      </c>
      <c r="D189" s="140" t="s">
        <v>820</v>
      </c>
      <c r="E189" s="140" t="s">
        <v>798</v>
      </c>
      <c r="F189" s="141" t="s">
        <v>190</v>
      </c>
      <c r="G189" s="144">
        <v>1</v>
      </c>
      <c r="H189" s="139">
        <v>18000</v>
      </c>
      <c r="I189" s="49">
        <f t="shared" si="40"/>
        <v>18000</v>
      </c>
      <c r="J189" s="49">
        <f t="shared" si="44"/>
        <v>1</v>
      </c>
      <c r="K189" s="49">
        <f>[2]합산자재!I186</f>
        <v>0</v>
      </c>
      <c r="L189" s="49" t="str">
        <f t="shared" si="41"/>
        <v/>
      </c>
      <c r="M189" s="49">
        <f>[2]합산자재!J186</f>
        <v>0</v>
      </c>
      <c r="N189" s="49" t="str">
        <f t="shared" si="42"/>
        <v/>
      </c>
      <c r="O189" s="49"/>
      <c r="P189" s="49">
        <f t="shared" si="43"/>
        <v>18000</v>
      </c>
      <c r="Q189" s="78"/>
    </row>
    <row r="190" spans="1:31" ht="23.25" customHeight="1" x14ac:dyDescent="0.15">
      <c r="A190" s="21" t="s">
        <v>492</v>
      </c>
      <c r="B190" s="21" t="s">
        <v>483</v>
      </c>
      <c r="C190" s="1" t="s">
        <v>338</v>
      </c>
      <c r="D190" s="140" t="s">
        <v>845</v>
      </c>
      <c r="E190" s="140" t="s">
        <v>846</v>
      </c>
      <c r="F190" s="141" t="s">
        <v>190</v>
      </c>
      <c r="G190" s="144">
        <v>3</v>
      </c>
      <c r="H190" s="139">
        <v>21450</v>
      </c>
      <c r="I190" s="49">
        <f t="shared" si="40"/>
        <v>64350</v>
      </c>
      <c r="J190" s="49">
        <f t="shared" si="44"/>
        <v>3</v>
      </c>
      <c r="K190" s="49">
        <f>[2]합산자재!I187</f>
        <v>0</v>
      </c>
      <c r="L190" s="49" t="str">
        <f t="shared" si="41"/>
        <v/>
      </c>
      <c r="M190" s="49">
        <f>[2]합산자재!J187</f>
        <v>0</v>
      </c>
      <c r="N190" s="49" t="str">
        <f t="shared" si="42"/>
        <v/>
      </c>
      <c r="O190" s="49"/>
      <c r="P190" s="49">
        <f t="shared" si="43"/>
        <v>64350</v>
      </c>
      <c r="Q190" s="78"/>
    </row>
    <row r="191" spans="1:31" ht="23.25" customHeight="1" x14ac:dyDescent="0.15">
      <c r="A191" s="21" t="s">
        <v>493</v>
      </c>
      <c r="B191" s="21" t="s">
        <v>483</v>
      </c>
      <c r="C191" s="1" t="s">
        <v>215</v>
      </c>
      <c r="D191" s="140" t="s">
        <v>819</v>
      </c>
      <c r="E191" s="140" t="s">
        <v>847</v>
      </c>
      <c r="F191" s="141" t="s">
        <v>190</v>
      </c>
      <c r="G191" s="144">
        <v>1</v>
      </c>
      <c r="H191" s="139">
        <v>60000</v>
      </c>
      <c r="I191" s="49">
        <f t="shared" si="40"/>
        <v>60000</v>
      </c>
      <c r="J191" s="49">
        <f t="shared" si="44"/>
        <v>1</v>
      </c>
      <c r="K191" s="49">
        <f>[2]합산자재!I156</f>
        <v>0</v>
      </c>
      <c r="L191" s="49" t="str">
        <f t="shared" si="41"/>
        <v/>
      </c>
      <c r="M191" s="49">
        <f>[2]합산자재!J156</f>
        <v>0</v>
      </c>
      <c r="N191" s="49" t="str">
        <f t="shared" si="42"/>
        <v/>
      </c>
      <c r="O191" s="49"/>
      <c r="P191" s="49">
        <f t="shared" si="43"/>
        <v>60000</v>
      </c>
      <c r="Q191" s="78"/>
    </row>
    <row r="192" spans="1:31" ht="23.25" customHeight="1" x14ac:dyDescent="0.15">
      <c r="A192" s="21" t="s">
        <v>488</v>
      </c>
      <c r="B192" s="21" t="s">
        <v>483</v>
      </c>
      <c r="C192" s="1" t="s">
        <v>220</v>
      </c>
      <c r="D192" s="140" t="s">
        <v>866</v>
      </c>
      <c r="E192" s="140" t="s">
        <v>867</v>
      </c>
      <c r="F192" s="141" t="s">
        <v>818</v>
      </c>
      <c r="G192" s="144">
        <v>1</v>
      </c>
      <c r="H192" s="139">
        <v>14500</v>
      </c>
      <c r="I192" s="90">
        <f t="shared" si="40"/>
        <v>14500</v>
      </c>
      <c r="J192" s="49">
        <f t="shared" si="44"/>
        <v>1</v>
      </c>
      <c r="K192" s="49">
        <f>[2]합산자재!I157</f>
        <v>0</v>
      </c>
      <c r="L192" s="90" t="str">
        <f t="shared" si="41"/>
        <v/>
      </c>
      <c r="M192" s="49">
        <f>[2]합산자재!J163</f>
        <v>0</v>
      </c>
      <c r="N192" s="90" t="str">
        <f t="shared" si="42"/>
        <v/>
      </c>
      <c r="O192" s="49"/>
      <c r="P192" s="49">
        <f t="shared" si="43"/>
        <v>14500</v>
      </c>
      <c r="Q192" s="78"/>
    </row>
    <row r="193" spans="1:26" ht="23.25" customHeight="1" x14ac:dyDescent="0.15">
      <c r="A193" s="21" t="s">
        <v>489</v>
      </c>
      <c r="B193" s="21" t="s">
        <v>483</v>
      </c>
      <c r="C193" s="1" t="s">
        <v>241</v>
      </c>
      <c r="D193" s="140" t="s">
        <v>850</v>
      </c>
      <c r="E193" s="140"/>
      <c r="F193" s="141" t="s">
        <v>190</v>
      </c>
      <c r="G193" s="144">
        <v>1</v>
      </c>
      <c r="H193" s="139">
        <v>236250</v>
      </c>
      <c r="I193" s="49">
        <f t="shared" si="40"/>
        <v>236250</v>
      </c>
      <c r="J193" s="49">
        <f t="shared" si="44"/>
        <v>1</v>
      </c>
      <c r="K193" s="49">
        <v>0</v>
      </c>
      <c r="L193" s="49" t="str">
        <f t="shared" si="41"/>
        <v/>
      </c>
      <c r="M193" s="49">
        <f>[2]합산자재!J170</f>
        <v>0</v>
      </c>
      <c r="N193" s="49" t="str">
        <f t="shared" si="42"/>
        <v/>
      </c>
      <c r="O193" s="49"/>
      <c r="P193" s="49">
        <f t="shared" si="43"/>
        <v>236250</v>
      </c>
      <c r="Q193" s="78"/>
      <c r="Z193" s="2" t="s">
        <v>490</v>
      </c>
    </row>
    <row r="194" spans="1:26" ht="23.25" customHeight="1" x14ac:dyDescent="0.15">
      <c r="A194" s="21" t="s">
        <v>491</v>
      </c>
      <c r="B194" s="21" t="s">
        <v>483</v>
      </c>
      <c r="C194" s="1" t="s">
        <v>334</v>
      </c>
      <c r="D194" s="140" t="s">
        <v>851</v>
      </c>
      <c r="E194" s="140"/>
      <c r="F194" s="141" t="s">
        <v>190</v>
      </c>
      <c r="G194" s="144">
        <v>1</v>
      </c>
      <c r="H194" s="139">
        <v>18100</v>
      </c>
      <c r="I194" s="49">
        <f t="shared" si="40"/>
        <v>18100</v>
      </c>
      <c r="J194" s="49">
        <f t="shared" si="44"/>
        <v>1</v>
      </c>
      <c r="K194" s="49">
        <f>[2]합산자재!I159</f>
        <v>0</v>
      </c>
      <c r="L194" s="49" t="str">
        <f t="shared" si="41"/>
        <v/>
      </c>
      <c r="M194" s="49">
        <f>[2]합산자재!J191</f>
        <v>0</v>
      </c>
      <c r="N194" s="49" t="str">
        <f t="shared" si="42"/>
        <v/>
      </c>
      <c r="O194" s="49"/>
      <c r="P194" s="49">
        <f t="shared" si="43"/>
        <v>18100</v>
      </c>
      <c r="Q194" s="78"/>
    </row>
    <row r="195" spans="1:26" ht="23.25" customHeight="1" x14ac:dyDescent="0.15">
      <c r="A195" s="21" t="s">
        <v>492</v>
      </c>
      <c r="B195" s="21" t="s">
        <v>483</v>
      </c>
      <c r="C195" s="1" t="s">
        <v>338</v>
      </c>
      <c r="D195" s="140" t="s">
        <v>852</v>
      </c>
      <c r="E195" s="140" t="s">
        <v>868</v>
      </c>
      <c r="F195" s="141" t="s">
        <v>190</v>
      </c>
      <c r="G195" s="144">
        <v>1</v>
      </c>
      <c r="H195" s="139">
        <v>16100</v>
      </c>
      <c r="I195" s="49">
        <f t="shared" si="40"/>
        <v>16100</v>
      </c>
      <c r="J195" s="49">
        <f t="shared" si="44"/>
        <v>1</v>
      </c>
      <c r="K195" s="49">
        <f>[2]합산자재!I160</f>
        <v>0</v>
      </c>
      <c r="L195" s="49" t="str">
        <f t="shared" si="41"/>
        <v/>
      </c>
      <c r="M195" s="49">
        <f>[2]합산자재!J192</f>
        <v>0</v>
      </c>
      <c r="N195" s="49" t="str">
        <f t="shared" si="42"/>
        <v/>
      </c>
      <c r="O195" s="49"/>
      <c r="P195" s="49">
        <f t="shared" si="43"/>
        <v>16100</v>
      </c>
      <c r="Q195" s="78"/>
    </row>
    <row r="196" spans="1:26" ht="23.25" customHeight="1" x14ac:dyDescent="0.15">
      <c r="A196" s="21" t="s">
        <v>493</v>
      </c>
      <c r="B196" s="21" t="s">
        <v>483</v>
      </c>
      <c r="C196" s="1" t="s">
        <v>215</v>
      </c>
      <c r="D196" s="140" t="s">
        <v>853</v>
      </c>
      <c r="E196" s="140" t="s">
        <v>854</v>
      </c>
      <c r="F196" s="141" t="s">
        <v>190</v>
      </c>
      <c r="G196" s="144">
        <v>1</v>
      </c>
      <c r="H196" s="139">
        <v>3000</v>
      </c>
      <c r="I196" s="49">
        <f t="shared" si="40"/>
        <v>3000</v>
      </c>
      <c r="J196" s="49">
        <f t="shared" si="44"/>
        <v>1</v>
      </c>
      <c r="K196" s="49">
        <f>[2]합산자재!I161</f>
        <v>0</v>
      </c>
      <c r="L196" s="49" t="str">
        <f t="shared" si="41"/>
        <v/>
      </c>
      <c r="M196" s="49">
        <f>[2]합산자재!J161</f>
        <v>0</v>
      </c>
      <c r="N196" s="49" t="str">
        <f t="shared" si="42"/>
        <v/>
      </c>
      <c r="O196" s="49"/>
      <c r="P196" s="49">
        <f t="shared" si="43"/>
        <v>3000</v>
      </c>
      <c r="Q196" s="78"/>
    </row>
    <row r="197" spans="1:26" ht="23.25" customHeight="1" x14ac:dyDescent="0.15">
      <c r="A197" s="21" t="s">
        <v>494</v>
      </c>
      <c r="B197" s="21" t="s">
        <v>483</v>
      </c>
      <c r="C197" s="1" t="s">
        <v>218</v>
      </c>
      <c r="D197" s="140" t="s">
        <v>823</v>
      </c>
      <c r="E197" s="140" t="s">
        <v>855</v>
      </c>
      <c r="F197" s="141" t="s">
        <v>172</v>
      </c>
      <c r="G197" s="144">
        <v>3.5</v>
      </c>
      <c r="H197" s="139">
        <v>1170</v>
      </c>
      <c r="I197" s="49">
        <f t="shared" si="40"/>
        <v>4095</v>
      </c>
      <c r="J197" s="49">
        <f t="shared" si="44"/>
        <v>3.5</v>
      </c>
      <c r="K197" s="49">
        <v>0</v>
      </c>
      <c r="L197" s="49" t="str">
        <f t="shared" si="41"/>
        <v/>
      </c>
      <c r="M197" s="49">
        <f>[2]합산자재!J162</f>
        <v>0</v>
      </c>
      <c r="N197" s="49" t="str">
        <f t="shared" si="42"/>
        <v/>
      </c>
      <c r="O197" s="49"/>
      <c r="P197" s="49">
        <f t="shared" si="43"/>
        <v>4095</v>
      </c>
      <c r="Q197" s="78"/>
    </row>
    <row r="198" spans="1:26" ht="23.25" customHeight="1" x14ac:dyDescent="0.15">
      <c r="A198" s="21" t="s">
        <v>488</v>
      </c>
      <c r="B198" s="21" t="s">
        <v>483</v>
      </c>
      <c r="C198" s="1" t="s">
        <v>220</v>
      </c>
      <c r="D198" s="140" t="s">
        <v>831</v>
      </c>
      <c r="E198" s="140" t="s">
        <v>832</v>
      </c>
      <c r="F198" s="141" t="s">
        <v>190</v>
      </c>
      <c r="G198" s="144">
        <v>1</v>
      </c>
      <c r="H198" s="139">
        <v>4400</v>
      </c>
      <c r="I198" s="90">
        <f t="shared" si="40"/>
        <v>4400</v>
      </c>
      <c r="J198" s="49">
        <f t="shared" si="44"/>
        <v>1</v>
      </c>
      <c r="K198" s="49">
        <v>0</v>
      </c>
      <c r="L198" s="90" t="str">
        <f t="shared" si="41"/>
        <v/>
      </c>
      <c r="M198" s="49">
        <f>[2]합산자재!J169</f>
        <v>0</v>
      </c>
      <c r="N198" s="90" t="str">
        <f t="shared" si="42"/>
        <v/>
      </c>
      <c r="O198" s="49"/>
      <c r="P198" s="49">
        <f t="shared" si="43"/>
        <v>4400</v>
      </c>
      <c r="Q198" s="78"/>
    </row>
    <row r="199" spans="1:26" ht="23.25" customHeight="1" x14ac:dyDescent="0.15">
      <c r="A199" s="21" t="s">
        <v>489</v>
      </c>
      <c r="B199" s="21" t="s">
        <v>483</v>
      </c>
      <c r="C199" s="1" t="s">
        <v>241</v>
      </c>
      <c r="D199" s="140" t="s">
        <v>856</v>
      </c>
      <c r="E199" s="140" t="s">
        <v>857</v>
      </c>
      <c r="F199" s="141" t="s">
        <v>190</v>
      </c>
      <c r="G199" s="144">
        <v>1</v>
      </c>
      <c r="H199" s="139">
        <v>16170</v>
      </c>
      <c r="I199" s="49">
        <f t="shared" si="40"/>
        <v>16170</v>
      </c>
      <c r="J199" s="49">
        <f t="shared" si="44"/>
        <v>1</v>
      </c>
      <c r="K199" s="49">
        <f>[2]합산자재!I176</f>
        <v>0</v>
      </c>
      <c r="L199" s="49" t="str">
        <f t="shared" si="41"/>
        <v/>
      </c>
      <c r="M199" s="49">
        <f>[2]합산자재!J176</f>
        <v>0</v>
      </c>
      <c r="N199" s="49" t="str">
        <f t="shared" si="42"/>
        <v/>
      </c>
      <c r="O199" s="49"/>
      <c r="P199" s="49">
        <f t="shared" si="43"/>
        <v>16170</v>
      </c>
      <c r="Q199" s="78"/>
      <c r="Z199" s="2" t="s">
        <v>490</v>
      </c>
    </row>
    <row r="200" spans="1:26" ht="23.25" customHeight="1" x14ac:dyDescent="0.15">
      <c r="A200" s="21" t="s">
        <v>491</v>
      </c>
      <c r="B200" s="21" t="s">
        <v>483</v>
      </c>
      <c r="C200" s="1" t="s">
        <v>334</v>
      </c>
      <c r="D200" s="140" t="s">
        <v>833</v>
      </c>
      <c r="E200" s="140" t="s">
        <v>834</v>
      </c>
      <c r="F200" s="141" t="s">
        <v>172</v>
      </c>
      <c r="G200" s="144">
        <v>15</v>
      </c>
      <c r="H200" s="139">
        <v>757</v>
      </c>
      <c r="I200" s="49">
        <f t="shared" si="40"/>
        <v>11355</v>
      </c>
      <c r="J200" s="49">
        <f t="shared" si="44"/>
        <v>15</v>
      </c>
      <c r="K200" s="49">
        <f>[2]합산자재!I197</f>
        <v>0</v>
      </c>
      <c r="L200" s="49" t="str">
        <f t="shared" si="41"/>
        <v/>
      </c>
      <c r="M200" s="49">
        <f>[2]합산자재!J197</f>
        <v>0</v>
      </c>
      <c r="N200" s="49" t="str">
        <f t="shared" si="42"/>
        <v/>
      </c>
      <c r="O200" s="49"/>
      <c r="P200" s="49">
        <f t="shared" si="43"/>
        <v>11355</v>
      </c>
      <c r="Q200" s="78"/>
    </row>
    <row r="201" spans="1:26" ht="23.25" customHeight="1" x14ac:dyDescent="0.15">
      <c r="A201" s="21" t="s">
        <v>488</v>
      </c>
      <c r="B201" s="21" t="s">
        <v>483</v>
      </c>
      <c r="C201" s="1" t="s">
        <v>220</v>
      </c>
      <c r="D201" s="140" t="s">
        <v>825</v>
      </c>
      <c r="E201" s="140" t="s">
        <v>858</v>
      </c>
      <c r="F201" s="141" t="s">
        <v>190</v>
      </c>
      <c r="G201" s="144">
        <v>2</v>
      </c>
      <c r="H201" s="139">
        <v>1430</v>
      </c>
      <c r="I201" s="90">
        <f t="shared" si="40"/>
        <v>2860</v>
      </c>
      <c r="J201" s="49">
        <f>G201</f>
        <v>2</v>
      </c>
      <c r="K201" s="49">
        <f>[2]합산자재!I172</f>
        <v>0</v>
      </c>
      <c r="L201" s="90" t="str">
        <f t="shared" si="41"/>
        <v/>
      </c>
      <c r="M201" s="49">
        <f>[2]합산자재!J172</f>
        <v>0</v>
      </c>
      <c r="N201" s="90" t="str">
        <f t="shared" si="42"/>
        <v/>
      </c>
      <c r="O201" s="49"/>
      <c r="P201" s="49">
        <f t="shared" si="43"/>
        <v>2860</v>
      </c>
      <c r="Q201" s="78"/>
    </row>
    <row r="202" spans="1:26" ht="23.25" customHeight="1" x14ac:dyDescent="0.15">
      <c r="A202" s="21" t="s">
        <v>489</v>
      </c>
      <c r="B202" s="21" t="s">
        <v>483</v>
      </c>
      <c r="C202" s="1" t="s">
        <v>241</v>
      </c>
      <c r="D202" s="140" t="s">
        <v>859</v>
      </c>
      <c r="E202" s="140" t="s">
        <v>860</v>
      </c>
      <c r="F202" s="141" t="s">
        <v>190</v>
      </c>
      <c r="G202" s="144">
        <v>1</v>
      </c>
      <c r="H202" s="139">
        <v>5550</v>
      </c>
      <c r="I202" s="49">
        <f t="shared" si="40"/>
        <v>5550</v>
      </c>
      <c r="J202" s="49">
        <f t="shared" ref="J202:J220" si="45">G202</f>
        <v>1</v>
      </c>
      <c r="K202" s="49">
        <f>[2]합산자재!I179</f>
        <v>0</v>
      </c>
      <c r="L202" s="49" t="str">
        <f t="shared" si="41"/>
        <v/>
      </c>
      <c r="M202" s="49">
        <f>[2]합산자재!J179</f>
        <v>0</v>
      </c>
      <c r="N202" s="49" t="str">
        <f t="shared" si="42"/>
        <v/>
      </c>
      <c r="O202" s="49"/>
      <c r="P202" s="49">
        <f t="shared" si="43"/>
        <v>5550</v>
      </c>
      <c r="Q202" s="78"/>
      <c r="Z202" s="2" t="s">
        <v>490</v>
      </c>
    </row>
    <row r="203" spans="1:26" ht="23.25" customHeight="1" x14ac:dyDescent="0.15">
      <c r="A203" s="21" t="s">
        <v>491</v>
      </c>
      <c r="B203" s="21" t="s">
        <v>483</v>
      </c>
      <c r="C203" s="1" t="s">
        <v>334</v>
      </c>
      <c r="D203" s="140" t="s">
        <v>827</v>
      </c>
      <c r="E203" s="140" t="s">
        <v>828</v>
      </c>
      <c r="F203" s="141" t="s">
        <v>190</v>
      </c>
      <c r="G203" s="144">
        <v>2</v>
      </c>
      <c r="H203" s="139">
        <v>5250</v>
      </c>
      <c r="I203" s="49">
        <f t="shared" si="40"/>
        <v>10500</v>
      </c>
      <c r="J203" s="49">
        <f t="shared" si="45"/>
        <v>2</v>
      </c>
      <c r="K203" s="49">
        <f>[2]합산자재!I200</f>
        <v>0</v>
      </c>
      <c r="L203" s="49" t="str">
        <f t="shared" si="41"/>
        <v/>
      </c>
      <c r="M203" s="49">
        <f>[2]합산자재!J200</f>
        <v>0</v>
      </c>
      <c r="N203" s="49" t="str">
        <f t="shared" si="42"/>
        <v/>
      </c>
      <c r="O203" s="49"/>
      <c r="P203" s="49">
        <f t="shared" si="43"/>
        <v>10500</v>
      </c>
      <c r="Q203" s="78"/>
    </row>
    <row r="204" spans="1:26" ht="23.25" customHeight="1" x14ac:dyDescent="0.15">
      <c r="A204" s="21" t="s">
        <v>492</v>
      </c>
      <c r="B204" s="21" t="s">
        <v>483</v>
      </c>
      <c r="C204" s="1" t="s">
        <v>338</v>
      </c>
      <c r="D204" s="140" t="s">
        <v>829</v>
      </c>
      <c r="E204" s="140" t="s">
        <v>861</v>
      </c>
      <c r="F204" s="141" t="s">
        <v>190</v>
      </c>
      <c r="G204" s="144">
        <v>1</v>
      </c>
      <c r="H204" s="139">
        <v>2365</v>
      </c>
      <c r="I204" s="49">
        <f t="shared" si="40"/>
        <v>2365</v>
      </c>
      <c r="J204" s="49">
        <f t="shared" si="45"/>
        <v>1</v>
      </c>
      <c r="K204" s="49">
        <v>0</v>
      </c>
      <c r="L204" s="49" t="str">
        <f t="shared" si="41"/>
        <v/>
      </c>
      <c r="M204" s="49">
        <f>[2]합산자재!J201</f>
        <v>0</v>
      </c>
      <c r="N204" s="49" t="str">
        <f t="shared" si="42"/>
        <v/>
      </c>
      <c r="O204" s="49"/>
      <c r="P204" s="49">
        <f t="shared" si="43"/>
        <v>2365</v>
      </c>
      <c r="Q204" s="78"/>
    </row>
    <row r="205" spans="1:26" ht="23.25" customHeight="1" x14ac:dyDescent="0.15">
      <c r="A205" s="21" t="s">
        <v>493</v>
      </c>
      <c r="B205" s="21" t="s">
        <v>483</v>
      </c>
      <c r="C205" s="1" t="s">
        <v>215</v>
      </c>
      <c r="D205" s="140" t="s">
        <v>807</v>
      </c>
      <c r="E205" s="140" t="s">
        <v>862</v>
      </c>
      <c r="F205" s="141" t="s">
        <v>190</v>
      </c>
      <c r="G205" s="144">
        <v>1</v>
      </c>
      <c r="H205" s="139">
        <v>627</v>
      </c>
      <c r="I205" s="49">
        <f t="shared" si="40"/>
        <v>627</v>
      </c>
      <c r="J205" s="49">
        <f t="shared" si="45"/>
        <v>1</v>
      </c>
      <c r="K205" s="49">
        <v>0</v>
      </c>
      <c r="L205" s="49" t="str">
        <f t="shared" si="41"/>
        <v/>
      </c>
      <c r="M205" s="49">
        <f>[2]합산자재!J170</f>
        <v>0</v>
      </c>
      <c r="N205" s="49" t="str">
        <f t="shared" si="42"/>
        <v/>
      </c>
      <c r="O205" s="49"/>
      <c r="P205" s="49">
        <f t="shared" si="43"/>
        <v>627</v>
      </c>
      <c r="Q205" s="78"/>
    </row>
    <row r="206" spans="1:26" ht="23.25" customHeight="1" x14ac:dyDescent="0.15">
      <c r="A206" s="21" t="s">
        <v>494</v>
      </c>
      <c r="B206" s="21" t="s">
        <v>483</v>
      </c>
      <c r="C206" s="1" t="s">
        <v>218</v>
      </c>
      <c r="D206" s="140" t="s">
        <v>863</v>
      </c>
      <c r="E206" s="140" t="s">
        <v>864</v>
      </c>
      <c r="F206" s="141" t="s">
        <v>190</v>
      </c>
      <c r="G206" s="144">
        <v>15</v>
      </c>
      <c r="H206" s="139">
        <v>45</v>
      </c>
      <c r="I206" s="49">
        <f t="shared" si="40"/>
        <v>675</v>
      </c>
      <c r="J206" s="49">
        <f t="shared" si="45"/>
        <v>15</v>
      </c>
      <c r="K206" s="49">
        <f>[2]합산자재!I171</f>
        <v>0</v>
      </c>
      <c r="L206" s="49" t="str">
        <f t="shared" si="41"/>
        <v/>
      </c>
      <c r="M206" s="49">
        <f>[2]합산자재!J171</f>
        <v>0</v>
      </c>
      <c r="N206" s="49" t="str">
        <f t="shared" si="42"/>
        <v/>
      </c>
      <c r="O206" s="49"/>
      <c r="P206" s="49">
        <f t="shared" si="43"/>
        <v>675</v>
      </c>
      <c r="Q206" s="78"/>
    </row>
    <row r="207" spans="1:26" ht="23.25" customHeight="1" x14ac:dyDescent="0.15">
      <c r="A207" s="21" t="s">
        <v>488</v>
      </c>
      <c r="B207" s="21" t="s">
        <v>483</v>
      </c>
      <c r="C207" s="1" t="s">
        <v>220</v>
      </c>
      <c r="D207" s="140" t="s">
        <v>819</v>
      </c>
      <c r="E207" s="140" t="s">
        <v>878</v>
      </c>
      <c r="F207" s="141" t="s">
        <v>190</v>
      </c>
      <c r="G207" s="144">
        <v>1</v>
      </c>
      <c r="H207" s="139">
        <v>117000</v>
      </c>
      <c r="I207" s="90">
        <f t="shared" si="40"/>
        <v>117000</v>
      </c>
      <c r="J207" s="49">
        <f t="shared" si="45"/>
        <v>1</v>
      </c>
      <c r="K207" s="49">
        <v>0</v>
      </c>
      <c r="L207" s="90" t="str">
        <f t="shared" si="41"/>
        <v/>
      </c>
      <c r="M207" s="49">
        <f>[2]합산자재!J178</f>
        <v>0</v>
      </c>
      <c r="N207" s="90" t="str">
        <f t="shared" si="42"/>
        <v/>
      </c>
      <c r="O207" s="49"/>
      <c r="P207" s="49">
        <f t="shared" si="43"/>
        <v>117000</v>
      </c>
      <c r="Q207" s="78"/>
    </row>
    <row r="208" spans="1:26" ht="23.25" customHeight="1" x14ac:dyDescent="0.15">
      <c r="A208" s="21" t="s">
        <v>489</v>
      </c>
      <c r="B208" s="21" t="s">
        <v>483</v>
      </c>
      <c r="C208" s="1" t="s">
        <v>241</v>
      </c>
      <c r="D208" s="140" t="s">
        <v>879</v>
      </c>
      <c r="E208" s="140" t="s">
        <v>880</v>
      </c>
      <c r="F208" s="141" t="s">
        <v>818</v>
      </c>
      <c r="G208" s="144">
        <v>2</v>
      </c>
      <c r="H208" s="139">
        <v>61700</v>
      </c>
      <c r="I208" s="49">
        <f t="shared" si="40"/>
        <v>123400</v>
      </c>
      <c r="J208" s="49">
        <f t="shared" si="45"/>
        <v>2</v>
      </c>
      <c r="K208" s="49">
        <f>[2]합산자재!I185</f>
        <v>0</v>
      </c>
      <c r="L208" s="49" t="str">
        <f t="shared" si="41"/>
        <v/>
      </c>
      <c r="M208" s="49">
        <f>[2]합산자재!J185</f>
        <v>0</v>
      </c>
      <c r="N208" s="49" t="str">
        <f t="shared" si="42"/>
        <v/>
      </c>
      <c r="O208" s="49"/>
      <c r="P208" s="49">
        <f t="shared" si="43"/>
        <v>123400</v>
      </c>
      <c r="Q208" s="78"/>
      <c r="Z208" s="2" t="s">
        <v>490</v>
      </c>
    </row>
    <row r="209" spans="1:26" ht="23.25" customHeight="1" x14ac:dyDescent="0.15">
      <c r="A209" s="21" t="s">
        <v>491</v>
      </c>
      <c r="B209" s="21" t="s">
        <v>483</v>
      </c>
      <c r="C209" s="1" t="s">
        <v>334</v>
      </c>
      <c r="D209" s="140" t="s">
        <v>881</v>
      </c>
      <c r="E209" s="140" t="s">
        <v>882</v>
      </c>
      <c r="F209" s="141" t="s">
        <v>818</v>
      </c>
      <c r="G209" s="144">
        <v>1</v>
      </c>
      <c r="H209" s="139">
        <v>49900</v>
      </c>
      <c r="I209" s="49">
        <f t="shared" si="40"/>
        <v>49900</v>
      </c>
      <c r="J209" s="49">
        <f t="shared" si="45"/>
        <v>1</v>
      </c>
      <c r="K209" s="49">
        <f>[2]합산자재!I206</f>
        <v>0</v>
      </c>
      <c r="L209" s="49" t="str">
        <f t="shared" si="41"/>
        <v/>
      </c>
      <c r="M209" s="49">
        <f>[2]합산자재!J206</f>
        <v>0</v>
      </c>
      <c r="N209" s="49" t="str">
        <f t="shared" si="42"/>
        <v/>
      </c>
      <c r="O209" s="49"/>
      <c r="P209" s="49">
        <f t="shared" si="43"/>
        <v>49900</v>
      </c>
      <c r="Q209" s="78"/>
    </row>
    <row r="210" spans="1:26" ht="23.25" customHeight="1" x14ac:dyDescent="0.15">
      <c r="A210" s="21" t="s">
        <v>492</v>
      </c>
      <c r="B210" s="21" t="s">
        <v>483</v>
      </c>
      <c r="C210" s="1" t="s">
        <v>338</v>
      </c>
      <c r="D210" s="140" t="s">
        <v>850</v>
      </c>
      <c r="E210" s="140"/>
      <c r="F210" s="141" t="s">
        <v>190</v>
      </c>
      <c r="G210" s="144">
        <v>1</v>
      </c>
      <c r="H210" s="139">
        <v>236250</v>
      </c>
      <c r="I210" s="49">
        <f t="shared" si="40"/>
        <v>236250</v>
      </c>
      <c r="J210" s="49">
        <f t="shared" si="45"/>
        <v>1</v>
      </c>
      <c r="K210" s="49">
        <f>[2]합산자재!I207</f>
        <v>0</v>
      </c>
      <c r="L210" s="49" t="str">
        <f t="shared" si="41"/>
        <v/>
      </c>
      <c r="M210" s="49">
        <f>[2]합산자재!J207</f>
        <v>0</v>
      </c>
      <c r="N210" s="49" t="str">
        <f t="shared" si="42"/>
        <v/>
      </c>
      <c r="O210" s="49"/>
      <c r="P210" s="49">
        <f t="shared" si="43"/>
        <v>236250</v>
      </c>
      <c r="Q210" s="78"/>
    </row>
    <row r="211" spans="1:26" ht="23.25" customHeight="1" x14ac:dyDescent="0.15">
      <c r="A211" s="21" t="s">
        <v>493</v>
      </c>
      <c r="B211" s="21" t="s">
        <v>483</v>
      </c>
      <c r="C211" s="1" t="s">
        <v>215</v>
      </c>
      <c r="D211" s="140" t="s">
        <v>851</v>
      </c>
      <c r="E211" s="140"/>
      <c r="F211" s="141" t="s">
        <v>190</v>
      </c>
      <c r="G211" s="144">
        <v>1</v>
      </c>
      <c r="H211" s="139">
        <v>18100</v>
      </c>
      <c r="I211" s="49">
        <f t="shared" si="40"/>
        <v>18100</v>
      </c>
      <c r="J211" s="49">
        <f t="shared" si="45"/>
        <v>1</v>
      </c>
      <c r="K211" s="49">
        <f>[2]합산자재!I176</f>
        <v>0</v>
      </c>
      <c r="L211" s="49" t="str">
        <f t="shared" si="41"/>
        <v/>
      </c>
      <c r="M211" s="49">
        <f>[2]합산자재!J176</f>
        <v>0</v>
      </c>
      <c r="N211" s="49" t="str">
        <f t="shared" si="42"/>
        <v/>
      </c>
      <c r="O211" s="49"/>
      <c r="P211" s="49">
        <f t="shared" si="43"/>
        <v>18100</v>
      </c>
      <c r="Q211" s="78"/>
    </row>
    <row r="212" spans="1:26" ht="23.25" customHeight="1" x14ac:dyDescent="0.15">
      <c r="A212" s="21" t="s">
        <v>488</v>
      </c>
      <c r="B212" s="21" t="s">
        <v>483</v>
      </c>
      <c r="C212" s="1" t="s">
        <v>220</v>
      </c>
      <c r="D212" s="140" t="s">
        <v>852</v>
      </c>
      <c r="E212" s="140" t="s">
        <v>883</v>
      </c>
      <c r="F212" s="141" t="s">
        <v>190</v>
      </c>
      <c r="G212" s="144">
        <v>1</v>
      </c>
      <c r="H212" s="139">
        <v>87400</v>
      </c>
      <c r="I212" s="90">
        <f t="shared" si="40"/>
        <v>87400</v>
      </c>
      <c r="J212" s="49">
        <f t="shared" si="45"/>
        <v>1</v>
      </c>
      <c r="K212" s="49">
        <f>[2]합산자재!I177</f>
        <v>0</v>
      </c>
      <c r="L212" s="90" t="str">
        <f t="shared" si="41"/>
        <v/>
      </c>
      <c r="M212" s="49">
        <f>[2]합산자재!J183</f>
        <v>0</v>
      </c>
      <c r="N212" s="90" t="str">
        <f t="shared" si="42"/>
        <v/>
      </c>
      <c r="O212" s="49"/>
      <c r="P212" s="49">
        <f t="shared" si="43"/>
        <v>87400</v>
      </c>
      <c r="Q212" s="78"/>
    </row>
    <row r="213" spans="1:26" ht="23.25" customHeight="1" x14ac:dyDescent="0.15">
      <c r="A213" s="21" t="s">
        <v>489</v>
      </c>
      <c r="B213" s="21" t="s">
        <v>483</v>
      </c>
      <c r="C213" s="1" t="s">
        <v>241</v>
      </c>
      <c r="D213" s="140" t="s">
        <v>853</v>
      </c>
      <c r="E213" s="140" t="s">
        <v>884</v>
      </c>
      <c r="F213" s="141" t="s">
        <v>190</v>
      </c>
      <c r="G213" s="144">
        <v>1</v>
      </c>
      <c r="H213" s="139">
        <v>3850</v>
      </c>
      <c r="I213" s="49">
        <f t="shared" si="40"/>
        <v>3850</v>
      </c>
      <c r="J213" s="49">
        <f t="shared" si="45"/>
        <v>1</v>
      </c>
      <c r="K213" s="49">
        <v>0</v>
      </c>
      <c r="L213" s="49" t="str">
        <f t="shared" si="41"/>
        <v/>
      </c>
      <c r="M213" s="49">
        <f>[2]합산자재!J190</f>
        <v>0</v>
      </c>
      <c r="N213" s="49" t="str">
        <f t="shared" si="42"/>
        <v/>
      </c>
      <c r="O213" s="49"/>
      <c r="P213" s="49">
        <f t="shared" si="43"/>
        <v>3850</v>
      </c>
      <c r="Q213" s="78"/>
      <c r="Z213" s="2" t="s">
        <v>490</v>
      </c>
    </row>
    <row r="214" spans="1:26" ht="23.25" customHeight="1" x14ac:dyDescent="0.15">
      <c r="A214" s="21" t="s">
        <v>491</v>
      </c>
      <c r="B214" s="21" t="s">
        <v>483</v>
      </c>
      <c r="C214" s="1" t="s">
        <v>334</v>
      </c>
      <c r="D214" s="140" t="s">
        <v>823</v>
      </c>
      <c r="E214" s="140" t="s">
        <v>885</v>
      </c>
      <c r="F214" s="141" t="s">
        <v>172</v>
      </c>
      <c r="G214" s="144">
        <v>3.9</v>
      </c>
      <c r="H214" s="139">
        <v>4560</v>
      </c>
      <c r="I214" s="49">
        <f t="shared" si="40"/>
        <v>17784</v>
      </c>
      <c r="J214" s="49">
        <f t="shared" si="45"/>
        <v>3.9</v>
      </c>
      <c r="K214" s="49">
        <f>[2]합산자재!I179</f>
        <v>0</v>
      </c>
      <c r="L214" s="49" t="str">
        <f t="shared" si="41"/>
        <v/>
      </c>
      <c r="M214" s="49">
        <f>[2]합산자재!J211</f>
        <v>0</v>
      </c>
      <c r="N214" s="49" t="str">
        <f t="shared" si="42"/>
        <v/>
      </c>
      <c r="O214" s="49"/>
      <c r="P214" s="49">
        <f t="shared" si="43"/>
        <v>17784</v>
      </c>
      <c r="Q214" s="78"/>
    </row>
    <row r="215" spans="1:26" ht="23.25" customHeight="1" x14ac:dyDescent="0.15">
      <c r="A215" s="21" t="s">
        <v>492</v>
      </c>
      <c r="B215" s="21" t="s">
        <v>483</v>
      </c>
      <c r="C215" s="1" t="s">
        <v>338</v>
      </c>
      <c r="D215" s="140" t="s">
        <v>823</v>
      </c>
      <c r="E215" s="140" t="s">
        <v>270</v>
      </c>
      <c r="F215" s="141" t="s">
        <v>172</v>
      </c>
      <c r="G215" s="144">
        <v>3.9</v>
      </c>
      <c r="H215" s="139">
        <v>2932</v>
      </c>
      <c r="I215" s="49">
        <f t="shared" si="40"/>
        <v>11434.8</v>
      </c>
      <c r="J215" s="49">
        <f t="shared" si="45"/>
        <v>3.9</v>
      </c>
      <c r="K215" s="49">
        <f>[2]합산자재!I180</f>
        <v>0</v>
      </c>
      <c r="L215" s="49" t="str">
        <f t="shared" si="41"/>
        <v/>
      </c>
      <c r="M215" s="49">
        <f>[2]합산자재!J212</f>
        <v>0</v>
      </c>
      <c r="N215" s="49" t="str">
        <f t="shared" si="42"/>
        <v/>
      </c>
      <c r="O215" s="49"/>
      <c r="P215" s="49">
        <f t="shared" si="43"/>
        <v>11434.8</v>
      </c>
      <c r="Q215" s="78"/>
    </row>
    <row r="216" spans="1:26" ht="23.25" customHeight="1" x14ac:dyDescent="0.15">
      <c r="A216" s="21" t="s">
        <v>493</v>
      </c>
      <c r="B216" s="21" t="s">
        <v>483</v>
      </c>
      <c r="C216" s="1" t="s">
        <v>215</v>
      </c>
      <c r="D216" s="140" t="s">
        <v>831</v>
      </c>
      <c r="E216" s="140" t="s">
        <v>832</v>
      </c>
      <c r="F216" s="141" t="s">
        <v>190</v>
      </c>
      <c r="G216" s="144">
        <v>1</v>
      </c>
      <c r="H216" s="139">
        <v>4400</v>
      </c>
      <c r="I216" s="49">
        <f t="shared" si="40"/>
        <v>4400</v>
      </c>
      <c r="J216" s="49">
        <f t="shared" si="45"/>
        <v>1</v>
      </c>
      <c r="K216" s="49">
        <f>[2]합산자재!I181</f>
        <v>0</v>
      </c>
      <c r="L216" s="49" t="str">
        <f t="shared" si="41"/>
        <v/>
      </c>
      <c r="M216" s="49">
        <f>[2]합산자재!J181</f>
        <v>0</v>
      </c>
      <c r="N216" s="49" t="str">
        <f t="shared" si="42"/>
        <v/>
      </c>
      <c r="O216" s="49"/>
      <c r="P216" s="49">
        <f t="shared" si="43"/>
        <v>4400</v>
      </c>
      <c r="Q216" s="78"/>
    </row>
    <row r="217" spans="1:26" ht="23.25" customHeight="1" x14ac:dyDescent="0.15">
      <c r="A217" s="21" t="s">
        <v>494</v>
      </c>
      <c r="B217" s="21" t="s">
        <v>483</v>
      </c>
      <c r="C217" s="1" t="s">
        <v>218</v>
      </c>
      <c r="D217" s="140" t="s">
        <v>856</v>
      </c>
      <c r="E217" s="140" t="s">
        <v>857</v>
      </c>
      <c r="F217" s="141" t="s">
        <v>190</v>
      </c>
      <c r="G217" s="144">
        <v>3</v>
      </c>
      <c r="H217" s="139">
        <v>16170</v>
      </c>
      <c r="I217" s="49">
        <f t="shared" si="40"/>
        <v>48510</v>
      </c>
      <c r="J217" s="49">
        <f t="shared" si="45"/>
        <v>3</v>
      </c>
      <c r="K217" s="49">
        <v>0</v>
      </c>
      <c r="L217" s="49" t="str">
        <f t="shared" si="41"/>
        <v/>
      </c>
      <c r="M217" s="49">
        <f>[2]합산자재!J182</f>
        <v>0</v>
      </c>
      <c r="N217" s="49" t="str">
        <f t="shared" si="42"/>
        <v/>
      </c>
      <c r="O217" s="49"/>
      <c r="P217" s="49">
        <f t="shared" si="43"/>
        <v>48510</v>
      </c>
      <c r="Q217" s="78"/>
    </row>
    <row r="218" spans="1:26" ht="23.25" customHeight="1" x14ac:dyDescent="0.15">
      <c r="A218" s="21" t="s">
        <v>488</v>
      </c>
      <c r="B218" s="21" t="s">
        <v>483</v>
      </c>
      <c r="C218" s="1" t="s">
        <v>220</v>
      </c>
      <c r="D218" s="140" t="s">
        <v>833</v>
      </c>
      <c r="E218" s="140" t="s">
        <v>834</v>
      </c>
      <c r="F218" s="141" t="s">
        <v>172</v>
      </c>
      <c r="G218" s="144">
        <v>35</v>
      </c>
      <c r="H218" s="139">
        <v>757</v>
      </c>
      <c r="I218" s="90">
        <f t="shared" si="40"/>
        <v>26495</v>
      </c>
      <c r="J218" s="49">
        <f t="shared" si="45"/>
        <v>35</v>
      </c>
      <c r="K218" s="49">
        <v>0</v>
      </c>
      <c r="L218" s="90" t="str">
        <f t="shared" si="41"/>
        <v/>
      </c>
      <c r="M218" s="49">
        <f>[2]합산자재!J189</f>
        <v>0</v>
      </c>
      <c r="N218" s="90" t="str">
        <f t="shared" si="42"/>
        <v/>
      </c>
      <c r="O218" s="49"/>
      <c r="P218" s="49">
        <f t="shared" si="43"/>
        <v>26495</v>
      </c>
      <c r="Q218" s="78"/>
    </row>
    <row r="219" spans="1:26" ht="23.25" customHeight="1" x14ac:dyDescent="0.15">
      <c r="A219" s="21" t="s">
        <v>489</v>
      </c>
      <c r="B219" s="21" t="s">
        <v>483</v>
      </c>
      <c r="C219" s="1" t="s">
        <v>241</v>
      </c>
      <c r="D219" s="140" t="s">
        <v>859</v>
      </c>
      <c r="E219" s="140" t="s">
        <v>860</v>
      </c>
      <c r="F219" s="141" t="s">
        <v>190</v>
      </c>
      <c r="G219" s="144">
        <v>1</v>
      </c>
      <c r="H219" s="139">
        <v>5550</v>
      </c>
      <c r="I219" s="49">
        <f t="shared" si="40"/>
        <v>5550</v>
      </c>
      <c r="J219" s="49">
        <f t="shared" si="45"/>
        <v>1</v>
      </c>
      <c r="K219" s="49">
        <f>[2]합산자재!I196</f>
        <v>0</v>
      </c>
      <c r="L219" s="49" t="str">
        <f t="shared" si="41"/>
        <v/>
      </c>
      <c r="M219" s="49">
        <f>[2]합산자재!J196</f>
        <v>0</v>
      </c>
      <c r="N219" s="49" t="str">
        <f t="shared" si="42"/>
        <v/>
      </c>
      <c r="O219" s="49"/>
      <c r="P219" s="49">
        <f t="shared" si="43"/>
        <v>5550</v>
      </c>
      <c r="Q219" s="78"/>
      <c r="Z219" s="2" t="s">
        <v>490</v>
      </c>
    </row>
    <row r="220" spans="1:26" ht="23.25" customHeight="1" x14ac:dyDescent="0.15">
      <c r="A220" s="21" t="s">
        <v>491</v>
      </c>
      <c r="B220" s="21" t="s">
        <v>483</v>
      </c>
      <c r="C220" s="1" t="s">
        <v>334</v>
      </c>
      <c r="D220" s="140" t="s">
        <v>827</v>
      </c>
      <c r="E220" s="140" t="s">
        <v>828</v>
      </c>
      <c r="F220" s="141" t="s">
        <v>190</v>
      </c>
      <c r="G220" s="144">
        <v>2</v>
      </c>
      <c r="H220" s="139">
        <v>5250</v>
      </c>
      <c r="I220" s="49">
        <f t="shared" si="40"/>
        <v>10500</v>
      </c>
      <c r="J220" s="49">
        <f t="shared" si="45"/>
        <v>2</v>
      </c>
      <c r="K220" s="49">
        <f>[2]합산자재!I217</f>
        <v>0</v>
      </c>
      <c r="L220" s="49" t="str">
        <f t="shared" si="41"/>
        <v/>
      </c>
      <c r="M220" s="49">
        <f>[2]합산자재!J217</f>
        <v>0</v>
      </c>
      <c r="N220" s="49" t="str">
        <f t="shared" si="42"/>
        <v/>
      </c>
      <c r="O220" s="49"/>
      <c r="P220" s="49">
        <f t="shared" si="43"/>
        <v>10500</v>
      </c>
      <c r="Q220" s="78"/>
    </row>
    <row r="221" spans="1:26" ht="23.25" customHeight="1" x14ac:dyDescent="0.15">
      <c r="A221" s="21" t="s">
        <v>488</v>
      </c>
      <c r="B221" s="21" t="s">
        <v>483</v>
      </c>
      <c r="C221" s="1" t="s">
        <v>220</v>
      </c>
      <c r="D221" s="140" t="s">
        <v>829</v>
      </c>
      <c r="E221" s="140" t="s">
        <v>861</v>
      </c>
      <c r="F221" s="141" t="s">
        <v>190</v>
      </c>
      <c r="G221" s="144">
        <v>1</v>
      </c>
      <c r="H221" s="139">
        <v>2365</v>
      </c>
      <c r="I221" s="90">
        <f t="shared" si="40"/>
        <v>2365</v>
      </c>
      <c r="J221" s="49">
        <f>G221</f>
        <v>1</v>
      </c>
      <c r="K221" s="49">
        <f>[2]합산자재!I192</f>
        <v>0</v>
      </c>
      <c r="L221" s="90" t="str">
        <f t="shared" si="41"/>
        <v/>
      </c>
      <c r="M221" s="49">
        <f>[2]합산자재!J192</f>
        <v>0</v>
      </c>
      <c r="N221" s="90" t="str">
        <f t="shared" si="42"/>
        <v/>
      </c>
      <c r="O221" s="49"/>
      <c r="P221" s="49">
        <f t="shared" si="43"/>
        <v>2365</v>
      </c>
      <c r="Q221" s="78"/>
    </row>
    <row r="222" spans="1:26" ht="23.25" customHeight="1" x14ac:dyDescent="0.15">
      <c r="A222" s="21" t="s">
        <v>489</v>
      </c>
      <c r="B222" s="21" t="s">
        <v>483</v>
      </c>
      <c r="C222" s="1" t="s">
        <v>241</v>
      </c>
      <c r="D222" s="140" t="s">
        <v>807</v>
      </c>
      <c r="E222" s="140" t="s">
        <v>862</v>
      </c>
      <c r="F222" s="141" t="s">
        <v>190</v>
      </c>
      <c r="G222" s="144">
        <v>1</v>
      </c>
      <c r="H222" s="139">
        <v>627</v>
      </c>
      <c r="I222" s="49">
        <f t="shared" si="40"/>
        <v>627</v>
      </c>
      <c r="J222" s="49">
        <f t="shared" ref="J222:J225" si="46">G222</f>
        <v>1</v>
      </c>
      <c r="K222" s="49">
        <f>[2]합산자재!I199</f>
        <v>0</v>
      </c>
      <c r="L222" s="49" t="str">
        <f t="shared" si="41"/>
        <v/>
      </c>
      <c r="M222" s="49">
        <f>[2]합산자재!J199</f>
        <v>0</v>
      </c>
      <c r="N222" s="49" t="str">
        <f t="shared" si="42"/>
        <v/>
      </c>
      <c r="O222" s="49"/>
      <c r="P222" s="49">
        <f t="shared" si="43"/>
        <v>627</v>
      </c>
      <c r="Q222" s="78"/>
      <c r="Z222" s="2" t="s">
        <v>490</v>
      </c>
    </row>
    <row r="223" spans="1:26" ht="23.25" customHeight="1" x14ac:dyDescent="0.15">
      <c r="A223" s="21" t="s">
        <v>491</v>
      </c>
      <c r="B223" s="21" t="s">
        <v>483</v>
      </c>
      <c r="C223" s="1" t="s">
        <v>334</v>
      </c>
      <c r="D223" s="140" t="s">
        <v>863</v>
      </c>
      <c r="E223" s="140" t="s">
        <v>872</v>
      </c>
      <c r="F223" s="141" t="s">
        <v>190</v>
      </c>
      <c r="G223" s="144">
        <v>37</v>
      </c>
      <c r="H223" s="139">
        <v>27</v>
      </c>
      <c r="I223" s="49">
        <f t="shared" si="40"/>
        <v>999</v>
      </c>
      <c r="J223" s="49">
        <f t="shared" si="46"/>
        <v>37</v>
      </c>
      <c r="K223" s="49">
        <f>[2]합산자재!I220</f>
        <v>0</v>
      </c>
      <c r="L223" s="49" t="str">
        <f t="shared" si="41"/>
        <v/>
      </c>
      <c r="M223" s="49">
        <f>[2]합산자재!J220</f>
        <v>0</v>
      </c>
      <c r="N223" s="49" t="str">
        <f t="shared" si="42"/>
        <v/>
      </c>
      <c r="O223" s="49"/>
      <c r="P223" s="49">
        <f t="shared" si="43"/>
        <v>999</v>
      </c>
      <c r="Q223" s="78"/>
    </row>
    <row r="224" spans="1:26" ht="23.25" customHeight="1" x14ac:dyDescent="0.15">
      <c r="A224" s="21" t="s">
        <v>492</v>
      </c>
      <c r="B224" s="21" t="s">
        <v>483</v>
      </c>
      <c r="C224" s="1" t="s">
        <v>338</v>
      </c>
      <c r="D224" s="140" t="s">
        <v>873</v>
      </c>
      <c r="E224" s="140" t="s">
        <v>874</v>
      </c>
      <c r="F224" s="141" t="s">
        <v>190</v>
      </c>
      <c r="G224" s="144">
        <v>1</v>
      </c>
      <c r="H224" s="139">
        <v>40930</v>
      </c>
      <c r="I224" s="49">
        <f t="shared" si="40"/>
        <v>40930</v>
      </c>
      <c r="J224" s="49">
        <f t="shared" si="46"/>
        <v>1</v>
      </c>
      <c r="K224" s="49">
        <v>0</v>
      </c>
      <c r="L224" s="49" t="str">
        <f t="shared" si="41"/>
        <v/>
      </c>
      <c r="M224" s="49">
        <f>[2]합산자재!J221</f>
        <v>0</v>
      </c>
      <c r="N224" s="49" t="str">
        <f t="shared" si="42"/>
        <v/>
      </c>
      <c r="O224" s="49"/>
      <c r="P224" s="49">
        <f t="shared" si="43"/>
        <v>40930</v>
      </c>
      <c r="Q224" s="78"/>
    </row>
    <row r="225" spans="1:31" ht="23.25" customHeight="1" x14ac:dyDescent="0.15">
      <c r="A225" s="21" t="s">
        <v>493</v>
      </c>
      <c r="B225" s="21" t="s">
        <v>483</v>
      </c>
      <c r="C225" s="1" t="s">
        <v>215</v>
      </c>
      <c r="D225" s="140" t="s">
        <v>863</v>
      </c>
      <c r="E225" s="140" t="s">
        <v>257</v>
      </c>
      <c r="F225" s="141" t="s">
        <v>190</v>
      </c>
      <c r="G225" s="144">
        <v>37</v>
      </c>
      <c r="H225" s="139">
        <v>130</v>
      </c>
      <c r="I225" s="49">
        <f t="shared" si="40"/>
        <v>4810</v>
      </c>
      <c r="J225" s="49">
        <f t="shared" si="46"/>
        <v>37</v>
      </c>
      <c r="K225" s="49">
        <f>[2]합산자재!I190</f>
        <v>0</v>
      </c>
      <c r="L225" s="49" t="str">
        <f t="shared" si="41"/>
        <v/>
      </c>
      <c r="M225" s="49">
        <f>[2]합산자재!J190</f>
        <v>0</v>
      </c>
      <c r="N225" s="49" t="str">
        <f t="shared" si="42"/>
        <v/>
      </c>
      <c r="O225" s="49"/>
      <c r="P225" s="49">
        <f t="shared" si="43"/>
        <v>4810</v>
      </c>
      <c r="Q225" s="78"/>
    </row>
    <row r="226" spans="1:31" ht="23.25" customHeight="1" x14ac:dyDescent="0.15">
      <c r="A226" s="21" t="s">
        <v>479</v>
      </c>
      <c r="B226" s="21" t="s">
        <v>483</v>
      </c>
      <c r="C226" s="1" t="s">
        <v>458</v>
      </c>
      <c r="D226" s="78" t="s">
        <v>459</v>
      </c>
      <c r="E226" s="78" t="s">
        <v>799</v>
      </c>
      <c r="F226" s="52" t="s">
        <v>461</v>
      </c>
      <c r="G226" s="49">
        <f>'일위노임 (2)'!G138</f>
        <v>6.5529999999999999</v>
      </c>
      <c r="H226" s="49">
        <f>[2]합산자재!H261</f>
        <v>0</v>
      </c>
      <c r="I226" s="49" t="str">
        <f t="shared" si="40"/>
        <v/>
      </c>
      <c r="J226" s="49">
        <f>G226</f>
        <v>6.5529999999999999</v>
      </c>
      <c r="K226" s="49">
        <v>122522</v>
      </c>
      <c r="L226" s="49">
        <f t="shared" si="41"/>
        <v>802886.6</v>
      </c>
      <c r="M226" s="49">
        <f>[2]합산자재!J261</f>
        <v>0</v>
      </c>
      <c r="N226" s="49" t="str">
        <f t="shared" si="42"/>
        <v/>
      </c>
      <c r="O226" s="49"/>
      <c r="P226" s="49">
        <f t="shared" si="43"/>
        <v>802886.6</v>
      </c>
      <c r="Q226" s="78"/>
      <c r="AE226" s="2">
        <f>L226</f>
        <v>802886.6</v>
      </c>
    </row>
    <row r="227" spans="1:31" ht="23.25" customHeight="1" x14ac:dyDescent="0.15">
      <c r="A227" s="21" t="s">
        <v>479</v>
      </c>
      <c r="B227" s="21" t="s">
        <v>483</v>
      </c>
      <c r="C227" s="1" t="s">
        <v>458</v>
      </c>
      <c r="D227" s="78" t="s">
        <v>459</v>
      </c>
      <c r="E227" s="78" t="s">
        <v>800</v>
      </c>
      <c r="F227" s="52" t="s">
        <v>461</v>
      </c>
      <c r="G227" s="49">
        <f>'일위노임 (2)'!G139</f>
        <v>6.1650000000000009</v>
      </c>
      <c r="H227" s="49">
        <f>[2]합산자재!H262</f>
        <v>0</v>
      </c>
      <c r="I227" s="49" t="str">
        <f t="shared" si="40"/>
        <v/>
      </c>
      <c r="J227" s="49">
        <f t="shared" ref="J227" si="47">G227</f>
        <v>6.1650000000000009</v>
      </c>
      <c r="K227" s="49">
        <v>99248</v>
      </c>
      <c r="L227" s="49">
        <f t="shared" si="41"/>
        <v>611863.9</v>
      </c>
      <c r="M227" s="49">
        <f>[2]합산자재!J262</f>
        <v>0</v>
      </c>
      <c r="N227" s="49" t="str">
        <f t="shared" si="42"/>
        <v/>
      </c>
      <c r="O227" s="49"/>
      <c r="P227" s="49">
        <f t="shared" si="43"/>
        <v>611863.9</v>
      </c>
      <c r="Q227" s="78"/>
      <c r="AE227" s="2">
        <f>L227</f>
        <v>611863.9</v>
      </c>
    </row>
    <row r="228" spans="1:31" ht="23.25" customHeight="1" x14ac:dyDescent="0.15">
      <c r="A228" s="21" t="s">
        <v>479</v>
      </c>
      <c r="B228" s="21" t="s">
        <v>483</v>
      </c>
      <c r="C228" s="1" t="s">
        <v>458</v>
      </c>
      <c r="D228" s="78" t="s">
        <v>459</v>
      </c>
      <c r="E228" s="78" t="s">
        <v>801</v>
      </c>
      <c r="F228" s="52" t="s">
        <v>461</v>
      </c>
      <c r="G228" s="49">
        <f t="shared" ref="G228" si="48">J228</f>
        <v>0</v>
      </c>
      <c r="H228" s="49">
        <f>[2]합산자재!H263</f>
        <v>0</v>
      </c>
      <c r="I228" s="49" t="str">
        <f t="shared" si="40"/>
        <v/>
      </c>
      <c r="J228" s="49">
        <v>0</v>
      </c>
      <c r="K228" s="49">
        <v>105323</v>
      </c>
      <c r="L228" s="49" t="str">
        <f t="shared" si="41"/>
        <v/>
      </c>
      <c r="M228" s="49">
        <f>[2]합산자재!J263</f>
        <v>0</v>
      </c>
      <c r="N228" s="49" t="str">
        <f t="shared" si="42"/>
        <v/>
      </c>
      <c r="O228" s="49"/>
      <c r="P228" s="49" t="str">
        <f t="shared" si="43"/>
        <v/>
      </c>
      <c r="Q228" s="78"/>
      <c r="AE228" s="2" t="str">
        <f>L228</f>
        <v/>
      </c>
    </row>
    <row r="229" spans="1:31" ht="23.25" customHeight="1" x14ac:dyDescent="0.15">
      <c r="A229" s="21" t="s">
        <v>479</v>
      </c>
      <c r="B229" s="21" t="s">
        <v>483</v>
      </c>
      <c r="C229" s="1" t="s">
        <v>458</v>
      </c>
      <c r="D229" s="78" t="s">
        <v>459</v>
      </c>
      <c r="E229" s="78" t="s">
        <v>802</v>
      </c>
      <c r="F229" s="52" t="s">
        <v>461</v>
      </c>
      <c r="G229" s="49">
        <f>'일위노임 (2)'!G140</f>
        <v>0.48999999999999994</v>
      </c>
      <c r="H229" s="49">
        <f>[2]합산자재!H264</f>
        <v>0</v>
      </c>
      <c r="I229" s="49" t="str">
        <f t="shared" si="40"/>
        <v/>
      </c>
      <c r="J229" s="49">
        <f t="shared" ref="J229" si="49">G229</f>
        <v>0.48999999999999994</v>
      </c>
      <c r="K229" s="49">
        <v>90694</v>
      </c>
      <c r="L229" s="49">
        <f t="shared" si="41"/>
        <v>44440</v>
      </c>
      <c r="M229" s="49">
        <f>[2]합산자재!J264</f>
        <v>0</v>
      </c>
      <c r="N229" s="49" t="str">
        <f t="shared" si="42"/>
        <v/>
      </c>
      <c r="O229" s="49"/>
      <c r="P229" s="49">
        <f t="shared" si="43"/>
        <v>44440</v>
      </c>
      <c r="Q229" s="78"/>
      <c r="AE229" s="2">
        <f>L229</f>
        <v>44440</v>
      </c>
    </row>
    <row r="230" spans="1:31" ht="23.25" customHeight="1" x14ac:dyDescent="0.15">
      <c r="B230" s="21" t="s">
        <v>499</v>
      </c>
      <c r="D230" s="78" t="s">
        <v>500</v>
      </c>
      <c r="E230" s="78"/>
      <c r="F230" s="52"/>
      <c r="G230" s="49"/>
      <c r="H230" s="49"/>
      <c r="I230" s="49">
        <f>TRUNC(SUM(I180:I229))</f>
        <v>3015279</v>
      </c>
      <c r="J230" s="49"/>
      <c r="K230" s="49"/>
      <c r="L230" s="49">
        <f>TRUNC(SUM(L180:L229))</f>
        <v>1459190</v>
      </c>
      <c r="M230" s="49"/>
      <c r="N230" s="49">
        <f>TRUNC(SUM(N180:N229))</f>
        <v>0</v>
      </c>
      <c r="O230" s="49"/>
      <c r="P230" s="49">
        <f t="shared" si="43"/>
        <v>4474469</v>
      </c>
      <c r="Q230" s="78"/>
      <c r="AC230" s="2">
        <f>TRUNC(AE230*[2]옵션!$B$36/100,1)</f>
        <v>43775.7</v>
      </c>
      <c r="AD230" s="2">
        <f>TRUNC(SUM(L180:L226))</f>
        <v>802886</v>
      </c>
      <c r="AE230" s="2">
        <f>TRUNC(SUM(AE180:AE229))</f>
        <v>1459190</v>
      </c>
    </row>
    <row r="231" spans="1:31" ht="23.25" customHeight="1" x14ac:dyDescent="0.15">
      <c r="D231" s="78"/>
      <c r="E231" s="78"/>
      <c r="F231" s="52"/>
      <c r="G231" s="49"/>
      <c r="H231" s="49"/>
      <c r="I231" s="49"/>
      <c r="J231" s="49"/>
      <c r="K231" s="49"/>
      <c r="L231" s="49"/>
      <c r="M231" s="49"/>
      <c r="N231" s="49"/>
      <c r="O231" s="49"/>
      <c r="P231" s="49"/>
      <c r="Q231" s="78"/>
    </row>
    <row r="232" spans="1:31" ht="23.25" customHeight="1" x14ac:dyDescent="0.15">
      <c r="A232" s="21" t="s">
        <v>482</v>
      </c>
      <c r="B232" s="21" t="s">
        <v>487</v>
      </c>
      <c r="C232" s="1" t="s">
        <v>483</v>
      </c>
      <c r="D232" s="264" t="s">
        <v>1020</v>
      </c>
      <c r="E232" s="265"/>
      <c r="F232" s="265"/>
      <c r="G232" s="265"/>
      <c r="H232" s="265"/>
      <c r="I232" s="265"/>
      <c r="J232" s="265"/>
      <c r="K232" s="265"/>
      <c r="L232" s="265"/>
      <c r="M232" s="265"/>
      <c r="N232" s="265"/>
      <c r="O232" s="265"/>
      <c r="P232" s="265"/>
      <c r="Q232" s="266"/>
    </row>
    <row r="233" spans="1:31" ht="23.25" customHeight="1" x14ac:dyDescent="0.15">
      <c r="A233" s="21" t="s">
        <v>489</v>
      </c>
      <c r="B233" s="21" t="s">
        <v>483</v>
      </c>
      <c r="C233" s="1" t="s">
        <v>241</v>
      </c>
      <c r="D233" s="140" t="s">
        <v>1100</v>
      </c>
      <c r="E233" s="140" t="s">
        <v>1024</v>
      </c>
      <c r="F233" s="141" t="s">
        <v>345</v>
      </c>
      <c r="G233" s="142">
        <v>1</v>
      </c>
      <c r="H233" s="143">
        <v>351648</v>
      </c>
      <c r="I233" s="49">
        <f t="shared" ref="I233:I250" si="50">IF(G233*H233&lt;&gt;0, TRUNC(G233*H233,1),"")</f>
        <v>351648</v>
      </c>
      <c r="J233" s="49">
        <f t="shared" ref="J233:J246" si="51">G233</f>
        <v>1</v>
      </c>
      <c r="K233" s="49">
        <f>[2]합산자재!I253</f>
        <v>0</v>
      </c>
      <c r="L233" s="49" t="str">
        <f t="shared" ref="L233:L250" si="52">IF(G233*K233&lt;&gt;0, TRUNC(G233*K233,1),"")</f>
        <v/>
      </c>
      <c r="M233" s="49">
        <f>[2]합산자재!J253</f>
        <v>0</v>
      </c>
      <c r="N233" s="49" t="str">
        <f t="shared" ref="N233:N250" si="53">IF(G233*M233&lt;&gt;0, TRUNC(G233*M233,1),"")</f>
        <v/>
      </c>
      <c r="O233" s="49"/>
      <c r="P233" s="49">
        <f t="shared" ref="P233:P251" si="54">IF(SUM(I233,L233,N233)&lt;&gt;0,TRUNC(SUM(I233,L233,N233),1),"")</f>
        <v>351648</v>
      </c>
      <c r="Q233" s="78"/>
      <c r="Z233" s="2" t="s">
        <v>490</v>
      </c>
    </row>
    <row r="234" spans="1:31" ht="23.25" customHeight="1" x14ac:dyDescent="0.15">
      <c r="A234" s="21" t="s">
        <v>491</v>
      </c>
      <c r="B234" s="21" t="s">
        <v>483</v>
      </c>
      <c r="C234" s="1" t="s">
        <v>334</v>
      </c>
      <c r="D234" s="140" t="s">
        <v>807</v>
      </c>
      <c r="E234" s="140" t="s">
        <v>786</v>
      </c>
      <c r="F234" s="141" t="s">
        <v>190</v>
      </c>
      <c r="G234" s="142">
        <v>1</v>
      </c>
      <c r="H234" s="143">
        <v>2475</v>
      </c>
      <c r="I234" s="49">
        <f t="shared" si="50"/>
        <v>2475</v>
      </c>
      <c r="J234" s="49">
        <f t="shared" si="51"/>
        <v>1</v>
      </c>
      <c r="K234" s="49">
        <f>[2]합산자재!I274</f>
        <v>0</v>
      </c>
      <c r="L234" s="49" t="str">
        <f t="shared" si="52"/>
        <v/>
      </c>
      <c r="M234" s="49">
        <f>[2]합산자재!J274</f>
        <v>0</v>
      </c>
      <c r="N234" s="49" t="str">
        <f t="shared" si="53"/>
        <v/>
      </c>
      <c r="O234" s="49"/>
      <c r="P234" s="49">
        <f t="shared" si="54"/>
        <v>2475</v>
      </c>
      <c r="Q234" s="78"/>
    </row>
    <row r="235" spans="1:31" ht="23.25" customHeight="1" x14ac:dyDescent="0.15">
      <c r="A235" s="21" t="s">
        <v>492</v>
      </c>
      <c r="B235" s="21" t="s">
        <v>483</v>
      </c>
      <c r="C235" s="1" t="s">
        <v>338</v>
      </c>
      <c r="D235" s="140" t="s">
        <v>807</v>
      </c>
      <c r="E235" s="140" t="s">
        <v>788</v>
      </c>
      <c r="F235" s="141" t="s">
        <v>190</v>
      </c>
      <c r="G235" s="142">
        <v>19</v>
      </c>
      <c r="H235" s="143">
        <v>220</v>
      </c>
      <c r="I235" s="49">
        <f t="shared" si="50"/>
        <v>4180</v>
      </c>
      <c r="J235" s="49">
        <f t="shared" si="51"/>
        <v>19</v>
      </c>
      <c r="K235" s="49">
        <v>0</v>
      </c>
      <c r="L235" s="49" t="str">
        <f t="shared" si="52"/>
        <v/>
      </c>
      <c r="M235" s="49">
        <f>[2]합산자재!J275</f>
        <v>0</v>
      </c>
      <c r="N235" s="49" t="str">
        <f t="shared" si="53"/>
        <v/>
      </c>
      <c r="O235" s="49"/>
      <c r="P235" s="49">
        <f t="shared" si="54"/>
        <v>4180</v>
      </c>
      <c r="Q235" s="78"/>
    </row>
    <row r="236" spans="1:31" ht="23.25" customHeight="1" x14ac:dyDescent="0.15">
      <c r="A236" s="21" t="s">
        <v>493</v>
      </c>
      <c r="B236" s="21" t="s">
        <v>483</v>
      </c>
      <c r="C236" s="1" t="s">
        <v>215</v>
      </c>
      <c r="D236" s="140" t="s">
        <v>808</v>
      </c>
      <c r="E236" s="140" t="s">
        <v>790</v>
      </c>
      <c r="F236" s="141" t="s">
        <v>190</v>
      </c>
      <c r="G236" s="142">
        <v>1</v>
      </c>
      <c r="H236" s="143">
        <v>2343</v>
      </c>
      <c r="I236" s="49">
        <f t="shared" si="50"/>
        <v>2343</v>
      </c>
      <c r="J236" s="49">
        <f t="shared" si="51"/>
        <v>1</v>
      </c>
      <c r="K236" s="49">
        <f>[2]합산자재!I244</f>
        <v>0</v>
      </c>
      <c r="L236" s="49" t="str">
        <f t="shared" si="52"/>
        <v/>
      </c>
      <c r="M236" s="49">
        <f>[2]합산자재!J244</f>
        <v>0</v>
      </c>
      <c r="N236" s="49" t="str">
        <f t="shared" si="53"/>
        <v/>
      </c>
      <c r="O236" s="49"/>
      <c r="P236" s="49">
        <f t="shared" si="54"/>
        <v>2343</v>
      </c>
      <c r="Q236" s="78"/>
    </row>
    <row r="237" spans="1:31" ht="23.25" customHeight="1" x14ac:dyDescent="0.15">
      <c r="A237" s="21" t="s">
        <v>494</v>
      </c>
      <c r="B237" s="21" t="s">
        <v>483</v>
      </c>
      <c r="C237" s="1" t="s">
        <v>218</v>
      </c>
      <c r="D237" s="140" t="s">
        <v>809</v>
      </c>
      <c r="E237" s="140" t="s">
        <v>1023</v>
      </c>
      <c r="F237" s="141" t="s">
        <v>190</v>
      </c>
      <c r="G237" s="142">
        <v>1</v>
      </c>
      <c r="H237" s="143">
        <v>14250</v>
      </c>
      <c r="I237" s="49">
        <f t="shared" si="50"/>
        <v>14250</v>
      </c>
      <c r="J237" s="49">
        <f t="shared" si="51"/>
        <v>1</v>
      </c>
      <c r="K237" s="49">
        <f>[2]합산자재!I245</f>
        <v>0</v>
      </c>
      <c r="L237" s="49" t="str">
        <f t="shared" si="52"/>
        <v/>
      </c>
      <c r="M237" s="49">
        <f>[2]합산자재!J245</f>
        <v>0</v>
      </c>
      <c r="N237" s="49" t="str">
        <f t="shared" si="53"/>
        <v/>
      </c>
      <c r="O237" s="49"/>
      <c r="P237" s="49">
        <f t="shared" si="54"/>
        <v>14250</v>
      </c>
      <c r="Q237" s="78"/>
    </row>
    <row r="238" spans="1:31" ht="23.25" customHeight="1" x14ac:dyDescent="0.15">
      <c r="A238" s="21" t="s">
        <v>488</v>
      </c>
      <c r="B238" s="21" t="s">
        <v>483</v>
      </c>
      <c r="C238" s="1" t="s">
        <v>220</v>
      </c>
      <c r="D238" s="140" t="s">
        <v>811</v>
      </c>
      <c r="E238" s="140" t="s">
        <v>1022</v>
      </c>
      <c r="F238" s="141" t="s">
        <v>172</v>
      </c>
      <c r="G238" s="142">
        <v>3.1</v>
      </c>
      <c r="H238" s="143">
        <v>21000</v>
      </c>
      <c r="I238" s="90">
        <f t="shared" si="50"/>
        <v>65100</v>
      </c>
      <c r="J238" s="49">
        <f t="shared" si="51"/>
        <v>3.1</v>
      </c>
      <c r="K238" s="49">
        <v>0</v>
      </c>
      <c r="L238" s="90" t="str">
        <f t="shared" si="52"/>
        <v/>
      </c>
      <c r="M238" s="49">
        <f>[2]합산자재!J252</f>
        <v>0</v>
      </c>
      <c r="N238" s="90" t="str">
        <f t="shared" si="53"/>
        <v/>
      </c>
      <c r="O238" s="49"/>
      <c r="P238" s="49">
        <f t="shared" si="54"/>
        <v>65100</v>
      </c>
      <c r="Q238" s="78"/>
    </row>
    <row r="239" spans="1:31" ht="23.25" customHeight="1" x14ac:dyDescent="0.15">
      <c r="A239" s="21" t="s">
        <v>489</v>
      </c>
      <c r="B239" s="21" t="s">
        <v>483</v>
      </c>
      <c r="C239" s="1" t="s">
        <v>241</v>
      </c>
      <c r="D239" s="140" t="s">
        <v>812</v>
      </c>
      <c r="E239" s="140" t="s">
        <v>793</v>
      </c>
      <c r="F239" s="141" t="s">
        <v>172</v>
      </c>
      <c r="G239" s="142">
        <v>1.2</v>
      </c>
      <c r="H239" s="143">
        <v>14000</v>
      </c>
      <c r="I239" s="49">
        <f t="shared" si="50"/>
        <v>16800</v>
      </c>
      <c r="J239" s="49">
        <f t="shared" si="51"/>
        <v>1.2</v>
      </c>
      <c r="K239" s="49">
        <f>[2]합산자재!I259</f>
        <v>0</v>
      </c>
      <c r="L239" s="49" t="str">
        <f t="shared" si="52"/>
        <v/>
      </c>
      <c r="M239" s="49">
        <f>[2]합산자재!J259</f>
        <v>0</v>
      </c>
      <c r="N239" s="49" t="str">
        <f t="shared" si="53"/>
        <v/>
      </c>
      <c r="O239" s="49"/>
      <c r="P239" s="49">
        <f t="shared" si="54"/>
        <v>16800</v>
      </c>
      <c r="Q239" s="78"/>
      <c r="Z239" s="2" t="s">
        <v>490</v>
      </c>
    </row>
    <row r="240" spans="1:31" ht="23.25" customHeight="1" x14ac:dyDescent="0.15">
      <c r="A240" s="21" t="s">
        <v>491</v>
      </c>
      <c r="B240" s="21" t="s">
        <v>483</v>
      </c>
      <c r="C240" s="1" t="s">
        <v>334</v>
      </c>
      <c r="D240" s="140" t="s">
        <v>813</v>
      </c>
      <c r="E240" s="140" t="s">
        <v>794</v>
      </c>
      <c r="F240" s="141" t="s">
        <v>172</v>
      </c>
      <c r="G240" s="142">
        <v>4.5</v>
      </c>
      <c r="H240" s="143">
        <v>1320</v>
      </c>
      <c r="I240" s="49">
        <f t="shared" si="50"/>
        <v>5940</v>
      </c>
      <c r="J240" s="49">
        <f t="shared" si="51"/>
        <v>4.5</v>
      </c>
      <c r="K240" s="49">
        <f>[2]합산자재!I280</f>
        <v>0</v>
      </c>
      <c r="L240" s="49" t="str">
        <f t="shared" si="52"/>
        <v/>
      </c>
      <c r="M240" s="49">
        <f>[2]합산자재!J280</f>
        <v>0</v>
      </c>
      <c r="N240" s="49" t="str">
        <f t="shared" si="53"/>
        <v/>
      </c>
      <c r="O240" s="49"/>
      <c r="P240" s="49">
        <f t="shared" si="54"/>
        <v>5940</v>
      </c>
      <c r="Q240" s="78"/>
    </row>
    <row r="241" spans="1:31" ht="23.25" customHeight="1" x14ac:dyDescent="0.15">
      <c r="A241" s="21" t="s">
        <v>492</v>
      </c>
      <c r="B241" s="21" t="s">
        <v>483</v>
      </c>
      <c r="C241" s="1" t="s">
        <v>338</v>
      </c>
      <c r="D241" s="140" t="s">
        <v>814</v>
      </c>
      <c r="E241" s="140"/>
      <c r="F241" s="141" t="s">
        <v>815</v>
      </c>
      <c r="G241" s="142">
        <v>2.79</v>
      </c>
      <c r="H241" s="143">
        <v>1980</v>
      </c>
      <c r="I241" s="49">
        <f t="shared" si="50"/>
        <v>5524.2</v>
      </c>
      <c r="J241" s="49">
        <f t="shared" si="51"/>
        <v>2.79</v>
      </c>
      <c r="K241" s="49">
        <f>[2]합산자재!I281</f>
        <v>0</v>
      </c>
      <c r="L241" s="49" t="str">
        <f t="shared" si="52"/>
        <v/>
      </c>
      <c r="M241" s="49">
        <f>[2]합산자재!J281</f>
        <v>0</v>
      </c>
      <c r="N241" s="49" t="str">
        <f t="shared" si="53"/>
        <v/>
      </c>
      <c r="O241" s="49"/>
      <c r="P241" s="49">
        <f t="shared" si="54"/>
        <v>5524.2</v>
      </c>
      <c r="Q241" s="78"/>
    </row>
    <row r="242" spans="1:31" ht="23.25" customHeight="1" x14ac:dyDescent="0.15">
      <c r="A242" s="21" t="s">
        <v>488</v>
      </c>
      <c r="B242" s="21" t="s">
        <v>483</v>
      </c>
      <c r="C242" s="1" t="s">
        <v>220</v>
      </c>
      <c r="D242" s="140" t="s">
        <v>819</v>
      </c>
      <c r="E242" s="140" t="s">
        <v>966</v>
      </c>
      <c r="F242" s="141" t="s">
        <v>190</v>
      </c>
      <c r="G242" s="142">
        <v>1</v>
      </c>
      <c r="H242" s="143">
        <v>145000</v>
      </c>
      <c r="I242" s="90">
        <f t="shared" si="50"/>
        <v>145000</v>
      </c>
      <c r="J242" s="49">
        <f t="shared" si="51"/>
        <v>1</v>
      </c>
      <c r="K242" s="49">
        <f>[2]합산자재!I251</f>
        <v>0</v>
      </c>
      <c r="L242" s="90" t="str">
        <f t="shared" si="52"/>
        <v/>
      </c>
      <c r="M242" s="49">
        <f>[2]합산자재!J257</f>
        <v>0</v>
      </c>
      <c r="N242" s="90" t="str">
        <f t="shared" si="53"/>
        <v/>
      </c>
      <c r="O242" s="49"/>
      <c r="P242" s="49">
        <f t="shared" si="54"/>
        <v>145000</v>
      </c>
      <c r="Q242" s="78"/>
    </row>
    <row r="243" spans="1:31" ht="23.25" customHeight="1" x14ac:dyDescent="0.15">
      <c r="A243" s="21" t="s">
        <v>489</v>
      </c>
      <c r="B243" s="21" t="s">
        <v>483</v>
      </c>
      <c r="C243" s="1" t="s">
        <v>241</v>
      </c>
      <c r="D243" s="140" t="s">
        <v>820</v>
      </c>
      <c r="E243" s="140" t="s">
        <v>931</v>
      </c>
      <c r="F243" s="141" t="s">
        <v>190</v>
      </c>
      <c r="G243" s="142">
        <v>7</v>
      </c>
      <c r="H243" s="143">
        <v>171842</v>
      </c>
      <c r="I243" s="49">
        <f t="shared" si="50"/>
        <v>1202894</v>
      </c>
      <c r="J243" s="49">
        <f t="shared" si="51"/>
        <v>7</v>
      </c>
      <c r="K243" s="49">
        <v>0</v>
      </c>
      <c r="L243" s="49" t="str">
        <f t="shared" si="52"/>
        <v/>
      </c>
      <c r="M243" s="49">
        <f>[2]합산자재!J264</f>
        <v>0</v>
      </c>
      <c r="N243" s="49" t="str">
        <f t="shared" si="53"/>
        <v/>
      </c>
      <c r="O243" s="49"/>
      <c r="P243" s="49">
        <f t="shared" si="54"/>
        <v>1202894</v>
      </c>
      <c r="Q243" s="78"/>
      <c r="Z243" s="2" t="s">
        <v>490</v>
      </c>
    </row>
    <row r="244" spans="1:31" ht="23.25" customHeight="1" x14ac:dyDescent="0.15">
      <c r="A244" s="21" t="s">
        <v>491</v>
      </c>
      <c r="B244" s="21" t="s">
        <v>483</v>
      </c>
      <c r="C244" s="1" t="s">
        <v>334</v>
      </c>
      <c r="D244" s="140" t="s">
        <v>820</v>
      </c>
      <c r="E244" s="140" t="s">
        <v>798</v>
      </c>
      <c r="F244" s="141" t="s">
        <v>190</v>
      </c>
      <c r="G244" s="142">
        <v>10</v>
      </c>
      <c r="H244" s="143">
        <v>18000</v>
      </c>
      <c r="I244" s="49">
        <f t="shared" si="50"/>
        <v>180000</v>
      </c>
      <c r="J244" s="49">
        <f t="shared" si="51"/>
        <v>10</v>
      </c>
      <c r="K244" s="49">
        <f>[2]합산자재!I253</f>
        <v>0</v>
      </c>
      <c r="L244" s="49" t="str">
        <f t="shared" si="52"/>
        <v/>
      </c>
      <c r="M244" s="49">
        <f>[2]합산자재!J285</f>
        <v>0</v>
      </c>
      <c r="N244" s="49" t="str">
        <f t="shared" si="53"/>
        <v/>
      </c>
      <c r="O244" s="49"/>
      <c r="P244" s="49">
        <f t="shared" si="54"/>
        <v>180000</v>
      </c>
      <c r="Q244" s="78"/>
    </row>
    <row r="245" spans="1:31" ht="23.25" customHeight="1" x14ac:dyDescent="0.15">
      <c r="A245" s="21" t="s">
        <v>492</v>
      </c>
      <c r="B245" s="21" t="s">
        <v>483</v>
      </c>
      <c r="C245" s="1" t="s">
        <v>338</v>
      </c>
      <c r="D245" s="140" t="s">
        <v>933</v>
      </c>
      <c r="E245" s="140" t="s">
        <v>1025</v>
      </c>
      <c r="F245" s="141" t="s">
        <v>190</v>
      </c>
      <c r="G245" s="142">
        <v>1</v>
      </c>
      <c r="H245" s="143">
        <v>47300</v>
      </c>
      <c r="I245" s="49">
        <f t="shared" si="50"/>
        <v>47300</v>
      </c>
      <c r="J245" s="49">
        <f t="shared" si="51"/>
        <v>1</v>
      </c>
      <c r="K245" s="49">
        <f>[2]합산자재!I254</f>
        <v>0</v>
      </c>
      <c r="L245" s="49" t="str">
        <f t="shared" si="52"/>
        <v/>
      </c>
      <c r="M245" s="49">
        <f>[2]합산자재!J286</f>
        <v>0</v>
      </c>
      <c r="N245" s="49" t="str">
        <f t="shared" si="53"/>
        <v/>
      </c>
      <c r="O245" s="49"/>
      <c r="P245" s="49">
        <f t="shared" si="54"/>
        <v>47300</v>
      </c>
      <c r="Q245" s="78"/>
    </row>
    <row r="246" spans="1:31" ht="23.25" customHeight="1" x14ac:dyDescent="0.15">
      <c r="A246" s="21" t="s">
        <v>493</v>
      </c>
      <c r="B246" s="21" t="s">
        <v>483</v>
      </c>
      <c r="C246" s="1" t="s">
        <v>215</v>
      </c>
      <c r="D246" s="140" t="s">
        <v>819</v>
      </c>
      <c r="E246" s="140" t="s">
        <v>1026</v>
      </c>
      <c r="F246" s="141" t="s">
        <v>190</v>
      </c>
      <c r="G246" s="142">
        <v>1</v>
      </c>
      <c r="H246" s="143">
        <v>43100</v>
      </c>
      <c r="I246" s="49">
        <f t="shared" si="50"/>
        <v>43100</v>
      </c>
      <c r="J246" s="49">
        <f t="shared" si="51"/>
        <v>1</v>
      </c>
      <c r="K246" s="49">
        <f>[2]합산자재!I255</f>
        <v>0</v>
      </c>
      <c r="L246" s="49" t="str">
        <f t="shared" si="52"/>
        <v/>
      </c>
      <c r="M246" s="49">
        <f>[2]합산자재!J255</f>
        <v>0</v>
      </c>
      <c r="N246" s="49" t="str">
        <f t="shared" si="53"/>
        <v/>
      </c>
      <c r="O246" s="49"/>
      <c r="P246" s="49">
        <f t="shared" si="54"/>
        <v>43100</v>
      </c>
      <c r="Q246" s="78"/>
    </row>
    <row r="247" spans="1:31" ht="23.25" customHeight="1" x14ac:dyDescent="0.15">
      <c r="A247" s="21" t="s">
        <v>479</v>
      </c>
      <c r="B247" s="21" t="s">
        <v>483</v>
      </c>
      <c r="C247" s="1" t="s">
        <v>458</v>
      </c>
      <c r="D247" s="78" t="s">
        <v>459</v>
      </c>
      <c r="E247" s="78" t="s">
        <v>799</v>
      </c>
      <c r="F247" s="52" t="s">
        <v>461</v>
      </c>
      <c r="G247" s="49">
        <f>'일위노임 (2)'!G153</f>
        <v>0.43400000000000005</v>
      </c>
      <c r="H247" s="49">
        <f>[2]합산자재!H315</f>
        <v>0</v>
      </c>
      <c r="I247" s="49" t="str">
        <f t="shared" si="50"/>
        <v/>
      </c>
      <c r="J247" s="49">
        <f>G247</f>
        <v>0.43400000000000005</v>
      </c>
      <c r="K247" s="49">
        <v>122522</v>
      </c>
      <c r="L247" s="49">
        <f t="shared" si="52"/>
        <v>53174.5</v>
      </c>
      <c r="M247" s="49">
        <f>[2]합산자재!J315</f>
        <v>0</v>
      </c>
      <c r="N247" s="49" t="str">
        <f t="shared" si="53"/>
        <v/>
      </c>
      <c r="O247" s="49"/>
      <c r="P247" s="49">
        <f t="shared" si="54"/>
        <v>53174.5</v>
      </c>
      <c r="Q247" s="78"/>
      <c r="AE247" s="2">
        <f>L247</f>
        <v>53174.5</v>
      </c>
    </row>
    <row r="248" spans="1:31" ht="23.25" customHeight="1" x14ac:dyDescent="0.15">
      <c r="A248" s="21" t="s">
        <v>479</v>
      </c>
      <c r="B248" s="21" t="s">
        <v>483</v>
      </c>
      <c r="C248" s="1" t="s">
        <v>458</v>
      </c>
      <c r="D248" s="78" t="s">
        <v>459</v>
      </c>
      <c r="E248" s="78" t="s">
        <v>800</v>
      </c>
      <c r="F248" s="52" t="s">
        <v>461</v>
      </c>
      <c r="G248" s="49">
        <f>'일위노임 (2)'!G154</f>
        <v>4.5</v>
      </c>
      <c r="H248" s="49">
        <f>[2]합산자재!H316</f>
        <v>0</v>
      </c>
      <c r="I248" s="49" t="str">
        <f t="shared" si="50"/>
        <v/>
      </c>
      <c r="J248" s="49">
        <f t="shared" ref="J248" si="55">G248</f>
        <v>4.5</v>
      </c>
      <c r="K248" s="49">
        <v>99248</v>
      </c>
      <c r="L248" s="49">
        <f t="shared" si="52"/>
        <v>446616</v>
      </c>
      <c r="M248" s="49">
        <f>[2]합산자재!J316</f>
        <v>0</v>
      </c>
      <c r="N248" s="49" t="str">
        <f t="shared" si="53"/>
        <v/>
      </c>
      <c r="O248" s="49"/>
      <c r="P248" s="49">
        <f t="shared" si="54"/>
        <v>446616</v>
      </c>
      <c r="Q248" s="78"/>
      <c r="AE248" s="2">
        <f>L248</f>
        <v>446616</v>
      </c>
    </row>
    <row r="249" spans="1:31" ht="23.25" customHeight="1" x14ac:dyDescent="0.15">
      <c r="A249" s="21" t="s">
        <v>479</v>
      </c>
      <c r="B249" s="21" t="s">
        <v>483</v>
      </c>
      <c r="C249" s="1" t="s">
        <v>458</v>
      </c>
      <c r="D249" s="78" t="s">
        <v>459</v>
      </c>
      <c r="E249" s="78" t="s">
        <v>801</v>
      </c>
      <c r="F249" s="52" t="s">
        <v>461</v>
      </c>
      <c r="G249" s="49">
        <f t="shared" ref="G249" si="56">J249</f>
        <v>0</v>
      </c>
      <c r="H249" s="49">
        <f>[2]합산자재!H317</f>
        <v>0</v>
      </c>
      <c r="I249" s="49" t="str">
        <f t="shared" si="50"/>
        <v/>
      </c>
      <c r="J249" s="49">
        <v>0</v>
      </c>
      <c r="K249" s="49">
        <v>105323</v>
      </c>
      <c r="L249" s="49" t="str">
        <f t="shared" si="52"/>
        <v/>
      </c>
      <c r="M249" s="49">
        <f>[2]합산자재!J317</f>
        <v>0</v>
      </c>
      <c r="N249" s="49" t="str">
        <f t="shared" si="53"/>
        <v/>
      </c>
      <c r="O249" s="49"/>
      <c r="P249" s="49" t="str">
        <f t="shared" si="54"/>
        <v/>
      </c>
      <c r="Q249" s="78"/>
      <c r="AE249" s="2" t="str">
        <f>L249</f>
        <v/>
      </c>
    </row>
    <row r="250" spans="1:31" ht="23.25" customHeight="1" x14ac:dyDescent="0.15">
      <c r="A250" s="21" t="s">
        <v>479</v>
      </c>
      <c r="B250" s="21" t="s">
        <v>483</v>
      </c>
      <c r="C250" s="1" t="s">
        <v>458</v>
      </c>
      <c r="D250" s="78" t="s">
        <v>459</v>
      </c>
      <c r="E250" s="78" t="s">
        <v>802</v>
      </c>
      <c r="F250" s="52" t="s">
        <v>461</v>
      </c>
      <c r="G250" s="49">
        <f>'일위노임 (2)'!G155</f>
        <v>0.25800000000000001</v>
      </c>
      <c r="H250" s="49">
        <f>[2]합산자재!H318</f>
        <v>0</v>
      </c>
      <c r="I250" s="49" t="str">
        <f t="shared" si="50"/>
        <v/>
      </c>
      <c r="J250" s="49">
        <f t="shared" ref="J250" si="57">G250</f>
        <v>0.25800000000000001</v>
      </c>
      <c r="K250" s="49">
        <v>90694</v>
      </c>
      <c r="L250" s="49">
        <f t="shared" si="52"/>
        <v>23399</v>
      </c>
      <c r="M250" s="49">
        <f>[2]합산자재!J318</f>
        <v>0</v>
      </c>
      <c r="N250" s="49" t="str">
        <f t="shared" si="53"/>
        <v/>
      </c>
      <c r="O250" s="49"/>
      <c r="P250" s="49">
        <f t="shared" si="54"/>
        <v>23399</v>
      </c>
      <c r="Q250" s="78"/>
      <c r="AE250" s="2">
        <f>L250</f>
        <v>23399</v>
      </c>
    </row>
    <row r="251" spans="1:31" ht="23.25" customHeight="1" x14ac:dyDescent="0.15">
      <c r="B251" s="21" t="s">
        <v>499</v>
      </c>
      <c r="D251" s="78" t="s">
        <v>500</v>
      </c>
      <c r="E251" s="78"/>
      <c r="F251" s="52"/>
      <c r="G251" s="49"/>
      <c r="H251" s="49"/>
      <c r="I251" s="49">
        <f>TRUNC(SUM(I232:I250))</f>
        <v>2086554</v>
      </c>
      <c r="J251" s="49"/>
      <c r="K251" s="49"/>
      <c r="L251" s="49">
        <f>TRUNC(SUM(L232:L250))</f>
        <v>523189</v>
      </c>
      <c r="M251" s="49"/>
      <c r="N251" s="49">
        <f>TRUNC(SUM(N232:N250))</f>
        <v>0</v>
      </c>
      <c r="O251" s="49"/>
      <c r="P251" s="49">
        <f t="shared" si="54"/>
        <v>2609743</v>
      </c>
      <c r="Q251" s="78"/>
      <c r="AC251" s="2">
        <f>TRUNC(AE251*[2]옵션!$B$36/100,1)</f>
        <v>15695.6</v>
      </c>
      <c r="AD251" s="2">
        <f>TRUNC(SUM(L232:L247))</f>
        <v>53174</v>
      </c>
      <c r="AE251" s="2">
        <f>TRUNC(SUM(AE232:AE250))</f>
        <v>523189</v>
      </c>
    </row>
    <row r="252" spans="1:31" ht="23.25" customHeight="1" x14ac:dyDescent="0.15">
      <c r="D252" s="78"/>
      <c r="E252" s="78"/>
      <c r="F252" s="52"/>
      <c r="G252" s="49"/>
      <c r="H252" s="49"/>
      <c r="I252" s="49"/>
      <c r="J252" s="49"/>
      <c r="K252" s="49"/>
      <c r="L252" s="49"/>
      <c r="M252" s="49"/>
      <c r="N252" s="49"/>
      <c r="O252" s="49"/>
      <c r="P252" s="49"/>
      <c r="Q252" s="78"/>
    </row>
    <row r="253" spans="1:31" ht="23.25" customHeight="1" x14ac:dyDescent="0.15">
      <c r="A253" s="21" t="s">
        <v>482</v>
      </c>
      <c r="B253" s="21" t="s">
        <v>487</v>
      </c>
      <c r="C253" s="1" t="s">
        <v>483</v>
      </c>
      <c r="D253" s="264" t="s">
        <v>1029</v>
      </c>
      <c r="E253" s="265"/>
      <c r="F253" s="265"/>
      <c r="G253" s="265"/>
      <c r="H253" s="265"/>
      <c r="I253" s="265"/>
      <c r="J253" s="265"/>
      <c r="K253" s="265"/>
      <c r="L253" s="265"/>
      <c r="M253" s="265"/>
      <c r="N253" s="265"/>
      <c r="O253" s="265"/>
      <c r="P253" s="265"/>
      <c r="Q253" s="266"/>
    </row>
    <row r="254" spans="1:31" ht="23.25" customHeight="1" x14ac:dyDescent="0.15">
      <c r="A254" s="21" t="s">
        <v>492</v>
      </c>
      <c r="B254" s="21" t="s">
        <v>483</v>
      </c>
      <c r="C254" s="1" t="s">
        <v>338</v>
      </c>
      <c r="D254" s="140" t="s">
        <v>807</v>
      </c>
      <c r="E254" s="140" t="s">
        <v>788</v>
      </c>
      <c r="F254" s="141" t="s">
        <v>190</v>
      </c>
      <c r="G254" s="142">
        <v>10</v>
      </c>
      <c r="H254" s="143">
        <v>220</v>
      </c>
      <c r="I254" s="49">
        <f t="shared" ref="I254:I267" si="58">IF(G254*H254&lt;&gt;0, TRUNC(G254*H254,1),"")</f>
        <v>2200</v>
      </c>
      <c r="J254" s="49">
        <f t="shared" ref="J254:J263" si="59">G254</f>
        <v>10</v>
      </c>
      <c r="K254" s="49">
        <v>0</v>
      </c>
      <c r="L254" s="49" t="str">
        <f t="shared" ref="L254:L267" si="60">IF(G254*K254&lt;&gt;0, TRUNC(G254*K254,1),"")</f>
        <v/>
      </c>
      <c r="M254" s="49">
        <f>[2]합산자재!J298</f>
        <v>0</v>
      </c>
      <c r="N254" s="49" t="str">
        <f t="shared" ref="N254:N267" si="61">IF(G254*M254&lt;&gt;0, TRUNC(G254*M254,1),"")</f>
        <v/>
      </c>
      <c r="O254" s="49"/>
      <c r="P254" s="49">
        <f t="shared" ref="P254:P268" si="62">IF(SUM(I254,L254,N254)&lt;&gt;0,TRUNC(SUM(I254,L254,N254),1),"")</f>
        <v>2200</v>
      </c>
      <c r="Q254" s="78"/>
    </row>
    <row r="255" spans="1:31" ht="23.25" customHeight="1" x14ac:dyDescent="0.15">
      <c r="A255" s="21" t="s">
        <v>494</v>
      </c>
      <c r="B255" s="21" t="s">
        <v>483</v>
      </c>
      <c r="C255" s="1" t="s">
        <v>218</v>
      </c>
      <c r="D255" s="140" t="s">
        <v>809</v>
      </c>
      <c r="E255" s="140" t="s">
        <v>1030</v>
      </c>
      <c r="F255" s="141" t="s">
        <v>190</v>
      </c>
      <c r="G255" s="142">
        <v>1</v>
      </c>
      <c r="H255" s="143">
        <v>12000</v>
      </c>
      <c r="I255" s="49">
        <f t="shared" si="58"/>
        <v>12000</v>
      </c>
      <c r="J255" s="49">
        <f t="shared" si="59"/>
        <v>1</v>
      </c>
      <c r="K255" s="49">
        <f>[2]합산자재!I268</f>
        <v>0</v>
      </c>
      <c r="L255" s="49" t="str">
        <f t="shared" si="60"/>
        <v/>
      </c>
      <c r="M255" s="49">
        <f>[2]합산자재!J268</f>
        <v>0</v>
      </c>
      <c r="N255" s="49" t="str">
        <f t="shared" si="61"/>
        <v/>
      </c>
      <c r="O255" s="49"/>
      <c r="P255" s="49">
        <f t="shared" si="62"/>
        <v>12000</v>
      </c>
      <c r="Q255" s="78"/>
    </row>
    <row r="256" spans="1:31" ht="23.25" customHeight="1" x14ac:dyDescent="0.15">
      <c r="A256" s="21" t="s">
        <v>488</v>
      </c>
      <c r="B256" s="21" t="s">
        <v>483</v>
      </c>
      <c r="C256" s="1" t="s">
        <v>220</v>
      </c>
      <c r="D256" s="140" t="s">
        <v>811</v>
      </c>
      <c r="E256" s="140" t="s">
        <v>1022</v>
      </c>
      <c r="F256" s="141" t="s">
        <v>172</v>
      </c>
      <c r="G256" s="142">
        <v>2.8</v>
      </c>
      <c r="H256" s="143">
        <v>21000</v>
      </c>
      <c r="I256" s="90">
        <f t="shared" si="58"/>
        <v>58800</v>
      </c>
      <c r="J256" s="49">
        <f t="shared" si="59"/>
        <v>2.8</v>
      </c>
      <c r="K256" s="49">
        <v>0</v>
      </c>
      <c r="L256" s="90" t="str">
        <f t="shared" si="60"/>
        <v/>
      </c>
      <c r="M256" s="49">
        <f>[2]합산자재!J275</f>
        <v>0</v>
      </c>
      <c r="N256" s="90" t="str">
        <f t="shared" si="61"/>
        <v/>
      </c>
      <c r="O256" s="49"/>
      <c r="P256" s="49">
        <f t="shared" si="62"/>
        <v>58800</v>
      </c>
      <c r="Q256" s="78"/>
    </row>
    <row r="257" spans="1:31" ht="23.25" customHeight="1" x14ac:dyDescent="0.15">
      <c r="A257" s="21" t="s">
        <v>489</v>
      </c>
      <c r="B257" s="21" t="s">
        <v>483</v>
      </c>
      <c r="C257" s="1" t="s">
        <v>241</v>
      </c>
      <c r="D257" s="140" t="s">
        <v>812</v>
      </c>
      <c r="E257" s="140" t="s">
        <v>793</v>
      </c>
      <c r="F257" s="141" t="s">
        <v>172</v>
      </c>
      <c r="G257" s="142">
        <v>1.2</v>
      </c>
      <c r="H257" s="143">
        <v>14000</v>
      </c>
      <c r="I257" s="49">
        <f t="shared" si="58"/>
        <v>16800</v>
      </c>
      <c r="J257" s="49">
        <f t="shared" si="59"/>
        <v>1.2</v>
      </c>
      <c r="K257" s="49">
        <f>[2]합산자재!I282</f>
        <v>0</v>
      </c>
      <c r="L257" s="49" t="str">
        <f t="shared" si="60"/>
        <v/>
      </c>
      <c r="M257" s="49">
        <f>[2]합산자재!J282</f>
        <v>0</v>
      </c>
      <c r="N257" s="49" t="str">
        <f t="shared" si="61"/>
        <v/>
      </c>
      <c r="O257" s="49"/>
      <c r="P257" s="49">
        <f t="shared" si="62"/>
        <v>16800</v>
      </c>
      <c r="Q257" s="78"/>
      <c r="Z257" s="2" t="s">
        <v>490</v>
      </c>
    </row>
    <row r="258" spans="1:31" ht="23.25" customHeight="1" x14ac:dyDescent="0.15">
      <c r="A258" s="21" t="s">
        <v>491</v>
      </c>
      <c r="B258" s="21" t="s">
        <v>483</v>
      </c>
      <c r="C258" s="1" t="s">
        <v>334</v>
      </c>
      <c r="D258" s="140" t="s">
        <v>813</v>
      </c>
      <c r="E258" s="140" t="s">
        <v>794</v>
      </c>
      <c r="F258" s="141" t="s">
        <v>172</v>
      </c>
      <c r="G258" s="142">
        <v>2.2000000000000002</v>
      </c>
      <c r="H258" s="143">
        <v>1320</v>
      </c>
      <c r="I258" s="49">
        <f t="shared" si="58"/>
        <v>2904</v>
      </c>
      <c r="J258" s="49">
        <f t="shared" si="59"/>
        <v>2.2000000000000002</v>
      </c>
      <c r="K258" s="49">
        <f>[2]합산자재!I303</f>
        <v>0</v>
      </c>
      <c r="L258" s="49" t="str">
        <f t="shared" si="60"/>
        <v/>
      </c>
      <c r="M258" s="49">
        <f>[2]합산자재!J303</f>
        <v>0</v>
      </c>
      <c r="N258" s="49" t="str">
        <f t="shared" si="61"/>
        <v/>
      </c>
      <c r="O258" s="49"/>
      <c r="P258" s="49">
        <f t="shared" si="62"/>
        <v>2904</v>
      </c>
      <c r="Q258" s="78"/>
    </row>
    <row r="259" spans="1:31" ht="23.25" customHeight="1" x14ac:dyDescent="0.15">
      <c r="A259" s="21" t="s">
        <v>492</v>
      </c>
      <c r="B259" s="21" t="s">
        <v>483</v>
      </c>
      <c r="C259" s="1" t="s">
        <v>338</v>
      </c>
      <c r="D259" s="140" t="s">
        <v>814</v>
      </c>
      <c r="E259" s="140"/>
      <c r="F259" s="141" t="s">
        <v>815</v>
      </c>
      <c r="G259" s="142">
        <v>2.44</v>
      </c>
      <c r="H259" s="143">
        <v>1980</v>
      </c>
      <c r="I259" s="49">
        <f t="shared" si="58"/>
        <v>4831.2</v>
      </c>
      <c r="J259" s="49">
        <f t="shared" si="59"/>
        <v>2.44</v>
      </c>
      <c r="K259" s="49">
        <f>[2]합산자재!I304</f>
        <v>0</v>
      </c>
      <c r="L259" s="49" t="str">
        <f t="shared" si="60"/>
        <v/>
      </c>
      <c r="M259" s="49">
        <f>[2]합산자재!J304</f>
        <v>0</v>
      </c>
      <c r="N259" s="49" t="str">
        <f t="shared" si="61"/>
        <v/>
      </c>
      <c r="O259" s="49"/>
      <c r="P259" s="49">
        <f t="shared" si="62"/>
        <v>4831.2</v>
      </c>
      <c r="Q259" s="78"/>
    </row>
    <row r="260" spans="1:31" ht="23.25" customHeight="1" x14ac:dyDescent="0.15">
      <c r="A260" s="21" t="s">
        <v>488</v>
      </c>
      <c r="B260" s="21" t="s">
        <v>483</v>
      </c>
      <c r="C260" s="1" t="s">
        <v>220</v>
      </c>
      <c r="D260" s="140" t="s">
        <v>819</v>
      </c>
      <c r="E260" s="140" t="s">
        <v>966</v>
      </c>
      <c r="F260" s="141" t="s">
        <v>190</v>
      </c>
      <c r="G260" s="142">
        <v>1</v>
      </c>
      <c r="H260" s="143">
        <v>145000</v>
      </c>
      <c r="I260" s="90">
        <f t="shared" si="58"/>
        <v>145000</v>
      </c>
      <c r="J260" s="49">
        <f t="shared" si="59"/>
        <v>1</v>
      </c>
      <c r="K260" s="49">
        <f>[2]합산자재!I274</f>
        <v>0</v>
      </c>
      <c r="L260" s="90" t="str">
        <f t="shared" si="60"/>
        <v/>
      </c>
      <c r="M260" s="49">
        <f>[2]합산자재!J280</f>
        <v>0</v>
      </c>
      <c r="N260" s="90" t="str">
        <f t="shared" si="61"/>
        <v/>
      </c>
      <c r="O260" s="49"/>
      <c r="P260" s="49">
        <f t="shared" si="62"/>
        <v>145000</v>
      </c>
      <c r="Q260" s="78"/>
    </row>
    <row r="261" spans="1:31" ht="23.25" customHeight="1" x14ac:dyDescent="0.15">
      <c r="A261" s="21" t="s">
        <v>489</v>
      </c>
      <c r="B261" s="21" t="s">
        <v>483</v>
      </c>
      <c r="C261" s="1" t="s">
        <v>241</v>
      </c>
      <c r="D261" s="140" t="s">
        <v>820</v>
      </c>
      <c r="E261" s="140" t="s">
        <v>931</v>
      </c>
      <c r="F261" s="141" t="s">
        <v>190</v>
      </c>
      <c r="G261" s="142">
        <v>4</v>
      </c>
      <c r="H261" s="143">
        <v>75000</v>
      </c>
      <c r="I261" s="49">
        <f t="shared" si="58"/>
        <v>300000</v>
      </c>
      <c r="J261" s="49">
        <f t="shared" si="59"/>
        <v>4</v>
      </c>
      <c r="K261" s="49">
        <v>0</v>
      </c>
      <c r="L261" s="49" t="str">
        <f t="shared" si="60"/>
        <v/>
      </c>
      <c r="M261" s="49">
        <f>[2]합산자재!J287</f>
        <v>0</v>
      </c>
      <c r="N261" s="49" t="str">
        <f t="shared" si="61"/>
        <v/>
      </c>
      <c r="O261" s="49"/>
      <c r="P261" s="49">
        <f t="shared" si="62"/>
        <v>300000</v>
      </c>
      <c r="Q261" s="78"/>
      <c r="Z261" s="2" t="s">
        <v>490</v>
      </c>
    </row>
    <row r="262" spans="1:31" ht="23.25" customHeight="1" x14ac:dyDescent="0.15">
      <c r="A262" s="21" t="s">
        <v>491</v>
      </c>
      <c r="B262" s="21" t="s">
        <v>483</v>
      </c>
      <c r="C262" s="1" t="s">
        <v>334</v>
      </c>
      <c r="D262" s="140" t="s">
        <v>820</v>
      </c>
      <c r="E262" s="140" t="s">
        <v>798</v>
      </c>
      <c r="F262" s="141" t="s">
        <v>190</v>
      </c>
      <c r="G262" s="142">
        <v>5</v>
      </c>
      <c r="H262" s="143">
        <v>18000</v>
      </c>
      <c r="I262" s="49">
        <f t="shared" si="58"/>
        <v>90000</v>
      </c>
      <c r="J262" s="49">
        <f t="shared" si="59"/>
        <v>5</v>
      </c>
      <c r="K262" s="49">
        <f>[2]합산자재!I276</f>
        <v>0</v>
      </c>
      <c r="L262" s="49" t="str">
        <f t="shared" si="60"/>
        <v/>
      </c>
      <c r="M262" s="49">
        <f>[2]합산자재!J308</f>
        <v>0</v>
      </c>
      <c r="N262" s="49" t="str">
        <f t="shared" si="61"/>
        <v/>
      </c>
      <c r="O262" s="49"/>
      <c r="P262" s="49">
        <f t="shared" si="62"/>
        <v>90000</v>
      </c>
      <c r="Q262" s="78"/>
    </row>
    <row r="263" spans="1:31" ht="23.25" customHeight="1" x14ac:dyDescent="0.15">
      <c r="A263" s="21" t="s">
        <v>493</v>
      </c>
      <c r="B263" s="21" t="s">
        <v>483</v>
      </c>
      <c r="C263" s="1" t="s">
        <v>215</v>
      </c>
      <c r="D263" s="140" t="s">
        <v>819</v>
      </c>
      <c r="E263" s="140" t="s">
        <v>1025</v>
      </c>
      <c r="F263" s="141" t="s">
        <v>190</v>
      </c>
      <c r="G263" s="142">
        <v>1</v>
      </c>
      <c r="H263" s="143">
        <v>18000</v>
      </c>
      <c r="I263" s="49">
        <f t="shared" si="58"/>
        <v>18000</v>
      </c>
      <c r="J263" s="49">
        <f t="shared" si="59"/>
        <v>1</v>
      </c>
      <c r="K263" s="49">
        <f>[2]합산자재!I278</f>
        <v>0</v>
      </c>
      <c r="L263" s="49" t="str">
        <f t="shared" si="60"/>
        <v/>
      </c>
      <c r="M263" s="49">
        <f>[2]합산자재!J278</f>
        <v>0</v>
      </c>
      <c r="N263" s="49" t="str">
        <f t="shared" si="61"/>
        <v/>
      </c>
      <c r="O263" s="49"/>
      <c r="P263" s="49">
        <f t="shared" si="62"/>
        <v>18000</v>
      </c>
      <c r="Q263" s="78"/>
    </row>
    <row r="264" spans="1:31" ht="23.25" customHeight="1" x14ac:dyDescent="0.15">
      <c r="A264" s="21" t="s">
        <v>479</v>
      </c>
      <c r="B264" s="21" t="s">
        <v>483</v>
      </c>
      <c r="C264" s="1" t="s">
        <v>458</v>
      </c>
      <c r="D264" s="78" t="s">
        <v>459</v>
      </c>
      <c r="E264" s="78" t="s">
        <v>799</v>
      </c>
      <c r="F264" s="52" t="s">
        <v>461</v>
      </c>
      <c r="G264" s="49">
        <f>'일위노임 (2)'!G167</f>
        <v>0.36399999999999993</v>
      </c>
      <c r="H264" s="49">
        <f>[2]합산자재!H338</f>
        <v>0</v>
      </c>
      <c r="I264" s="49" t="str">
        <f t="shared" si="58"/>
        <v/>
      </c>
      <c r="J264" s="49">
        <f>G264</f>
        <v>0.36399999999999993</v>
      </c>
      <c r="K264" s="49">
        <v>122522</v>
      </c>
      <c r="L264" s="49">
        <f t="shared" si="60"/>
        <v>44598</v>
      </c>
      <c r="M264" s="49">
        <f>[2]합산자재!J338</f>
        <v>0</v>
      </c>
      <c r="N264" s="49" t="str">
        <f t="shared" si="61"/>
        <v/>
      </c>
      <c r="O264" s="49"/>
      <c r="P264" s="49">
        <f t="shared" si="62"/>
        <v>44598</v>
      </c>
      <c r="Q264" s="78"/>
      <c r="AE264" s="2">
        <f>L264</f>
        <v>44598</v>
      </c>
    </row>
    <row r="265" spans="1:31" ht="23.25" customHeight="1" x14ac:dyDescent="0.15">
      <c r="A265" s="21" t="s">
        <v>479</v>
      </c>
      <c r="B265" s="21" t="s">
        <v>483</v>
      </c>
      <c r="C265" s="1" t="s">
        <v>458</v>
      </c>
      <c r="D265" s="78" t="s">
        <v>459</v>
      </c>
      <c r="E265" s="78" t="s">
        <v>800</v>
      </c>
      <c r="F265" s="52" t="s">
        <v>461</v>
      </c>
      <c r="G265" s="49">
        <f>'일위노임 (2)'!G168</f>
        <v>2.6100000000000003</v>
      </c>
      <c r="H265" s="49">
        <f>[2]합산자재!H339</f>
        <v>0</v>
      </c>
      <c r="I265" s="49" t="str">
        <f t="shared" si="58"/>
        <v/>
      </c>
      <c r="J265" s="49">
        <f t="shared" ref="J265" si="63">G265</f>
        <v>2.6100000000000003</v>
      </c>
      <c r="K265" s="49">
        <v>99248</v>
      </c>
      <c r="L265" s="49">
        <f t="shared" si="60"/>
        <v>259037.2</v>
      </c>
      <c r="M265" s="49">
        <f>[2]합산자재!J339</f>
        <v>0</v>
      </c>
      <c r="N265" s="49" t="str">
        <f t="shared" si="61"/>
        <v/>
      </c>
      <c r="O265" s="49"/>
      <c r="P265" s="49">
        <f t="shared" si="62"/>
        <v>259037.2</v>
      </c>
      <c r="Q265" s="78"/>
      <c r="AE265" s="2">
        <f>L265</f>
        <v>259037.2</v>
      </c>
    </row>
    <row r="266" spans="1:31" ht="23.25" customHeight="1" x14ac:dyDescent="0.15">
      <c r="A266" s="21" t="s">
        <v>479</v>
      </c>
      <c r="B266" s="21" t="s">
        <v>483</v>
      </c>
      <c r="C266" s="1" t="s">
        <v>458</v>
      </c>
      <c r="D266" s="78" t="s">
        <v>459</v>
      </c>
      <c r="E266" s="78" t="s">
        <v>801</v>
      </c>
      <c r="F266" s="52" t="s">
        <v>461</v>
      </c>
      <c r="G266" s="49">
        <f t="shared" ref="G266" si="64">J266</f>
        <v>0</v>
      </c>
      <c r="H266" s="49">
        <f>[2]합산자재!H340</f>
        <v>0</v>
      </c>
      <c r="I266" s="49" t="str">
        <f t="shared" si="58"/>
        <v/>
      </c>
      <c r="J266" s="49">
        <v>0</v>
      </c>
      <c r="K266" s="49">
        <v>105323</v>
      </c>
      <c r="L266" s="49" t="str">
        <f t="shared" si="60"/>
        <v/>
      </c>
      <c r="M266" s="49">
        <f>[2]합산자재!J340</f>
        <v>0</v>
      </c>
      <c r="N266" s="49" t="str">
        <f t="shared" si="61"/>
        <v/>
      </c>
      <c r="O266" s="49"/>
      <c r="P266" s="49" t="str">
        <f t="shared" si="62"/>
        <v/>
      </c>
      <c r="Q266" s="78"/>
      <c r="AE266" s="2" t="str">
        <f>L266</f>
        <v/>
      </c>
    </row>
    <row r="267" spans="1:31" ht="23.25" customHeight="1" x14ac:dyDescent="0.15">
      <c r="A267" s="21" t="s">
        <v>479</v>
      </c>
      <c r="B267" s="21" t="s">
        <v>483</v>
      </c>
      <c r="C267" s="1" t="s">
        <v>458</v>
      </c>
      <c r="D267" s="78" t="s">
        <v>459</v>
      </c>
      <c r="E267" s="78" t="s">
        <v>802</v>
      </c>
      <c r="F267" s="52" t="s">
        <v>461</v>
      </c>
      <c r="G267" s="49">
        <f>'일위노임 (2)'!G169</f>
        <v>0.24</v>
      </c>
      <c r="H267" s="49">
        <f>[2]합산자재!H341</f>
        <v>0</v>
      </c>
      <c r="I267" s="49" t="str">
        <f t="shared" si="58"/>
        <v/>
      </c>
      <c r="J267" s="49">
        <f t="shared" ref="J267" si="65">G267</f>
        <v>0.24</v>
      </c>
      <c r="K267" s="49">
        <v>90694</v>
      </c>
      <c r="L267" s="49">
        <f t="shared" si="60"/>
        <v>21766.5</v>
      </c>
      <c r="M267" s="49">
        <f>[2]합산자재!J341</f>
        <v>0</v>
      </c>
      <c r="N267" s="49" t="str">
        <f t="shared" si="61"/>
        <v/>
      </c>
      <c r="O267" s="49"/>
      <c r="P267" s="49">
        <f t="shared" si="62"/>
        <v>21766.5</v>
      </c>
      <c r="Q267" s="78"/>
      <c r="AE267" s="2">
        <f>L267</f>
        <v>21766.5</v>
      </c>
    </row>
    <row r="268" spans="1:31" ht="23.25" customHeight="1" x14ac:dyDescent="0.15">
      <c r="B268" s="21" t="s">
        <v>499</v>
      </c>
      <c r="D268" s="78" t="s">
        <v>500</v>
      </c>
      <c r="E268" s="78"/>
      <c r="F268" s="52"/>
      <c r="G268" s="49"/>
      <c r="H268" s="49"/>
      <c r="I268" s="49">
        <f>TRUNC(SUM(I253:I267))</f>
        <v>650535</v>
      </c>
      <c r="J268" s="49"/>
      <c r="K268" s="49"/>
      <c r="L268" s="49">
        <f>TRUNC(SUM(L253:L267))</f>
        <v>325401</v>
      </c>
      <c r="M268" s="49"/>
      <c r="N268" s="49">
        <f>TRUNC(SUM(N253:N267))</f>
        <v>0</v>
      </c>
      <c r="O268" s="49"/>
      <c r="P268" s="49">
        <f t="shared" si="62"/>
        <v>975936</v>
      </c>
      <c r="Q268" s="78"/>
      <c r="AC268" s="2">
        <f>TRUNC(AE268*[2]옵션!$B$36/100,1)</f>
        <v>9762</v>
      </c>
      <c r="AD268" s="2">
        <f>TRUNC(SUM(L253:L264))</f>
        <v>44598</v>
      </c>
      <c r="AE268" s="2">
        <f>TRUNC(SUM(AE253:AE267))</f>
        <v>325401</v>
      </c>
    </row>
    <row r="269" spans="1:31" ht="23.25" customHeight="1" x14ac:dyDescent="0.15">
      <c r="D269" s="78"/>
      <c r="E269" s="78"/>
      <c r="F269" s="52"/>
      <c r="G269" s="49"/>
      <c r="H269" s="49"/>
      <c r="I269" s="49"/>
      <c r="J269" s="49"/>
      <c r="K269" s="49"/>
      <c r="L269" s="49"/>
      <c r="M269" s="49"/>
      <c r="N269" s="49"/>
      <c r="O269" s="49"/>
      <c r="P269" s="49"/>
      <c r="Q269" s="78"/>
    </row>
    <row r="270" spans="1:31" ht="23.25" customHeight="1" x14ac:dyDescent="0.15">
      <c r="D270" s="78"/>
      <c r="E270" s="78"/>
      <c r="F270" s="52"/>
      <c r="G270" s="49"/>
      <c r="H270" s="49"/>
      <c r="I270" s="49"/>
      <c r="J270" s="49"/>
      <c r="K270" s="49"/>
      <c r="L270" s="49"/>
      <c r="M270" s="49"/>
      <c r="N270" s="49"/>
      <c r="O270" s="49"/>
      <c r="P270" s="49"/>
      <c r="Q270" s="78"/>
    </row>
    <row r="271" spans="1:31" ht="23.25" customHeight="1" x14ac:dyDescent="0.15">
      <c r="A271" s="21" t="s">
        <v>482</v>
      </c>
      <c r="B271" s="21" t="s">
        <v>487</v>
      </c>
      <c r="C271" s="1" t="s">
        <v>483</v>
      </c>
      <c r="D271" s="264" t="s">
        <v>1032</v>
      </c>
      <c r="E271" s="265"/>
      <c r="F271" s="265"/>
      <c r="G271" s="265"/>
      <c r="H271" s="265"/>
      <c r="I271" s="265"/>
      <c r="J271" s="265"/>
      <c r="K271" s="265"/>
      <c r="L271" s="265"/>
      <c r="M271" s="265"/>
      <c r="N271" s="265"/>
      <c r="O271" s="265"/>
      <c r="P271" s="265"/>
      <c r="Q271" s="266"/>
    </row>
    <row r="272" spans="1:31" ht="23.25" customHeight="1" x14ac:dyDescent="0.15">
      <c r="A272" s="21" t="s">
        <v>492</v>
      </c>
      <c r="B272" s="21" t="s">
        <v>483</v>
      </c>
      <c r="C272" s="1" t="s">
        <v>338</v>
      </c>
      <c r="D272" s="140" t="s">
        <v>807</v>
      </c>
      <c r="E272" s="140" t="s">
        <v>788</v>
      </c>
      <c r="F272" s="141" t="s">
        <v>190</v>
      </c>
      <c r="G272" s="142">
        <v>12</v>
      </c>
      <c r="H272" s="143">
        <v>220</v>
      </c>
      <c r="I272" s="49">
        <f t="shared" ref="I272:I285" si="66">IF(G272*H272&lt;&gt;0, TRUNC(G272*H272,1),"")</f>
        <v>2640</v>
      </c>
      <c r="J272" s="49">
        <f t="shared" ref="J272:J281" si="67">G272</f>
        <v>12</v>
      </c>
      <c r="K272" s="49">
        <v>0</v>
      </c>
      <c r="L272" s="49" t="str">
        <f t="shared" ref="L272:L285" si="68">IF(G272*K272&lt;&gt;0, TRUNC(G272*K272,1),"")</f>
        <v/>
      </c>
      <c r="M272" s="49">
        <f>[2]합산자재!J317</f>
        <v>0</v>
      </c>
      <c r="N272" s="49" t="str">
        <f t="shared" ref="N272:N285" si="69">IF(G272*M272&lt;&gt;0, TRUNC(G272*M272,1),"")</f>
        <v/>
      </c>
      <c r="O272" s="49"/>
      <c r="P272" s="49">
        <f t="shared" ref="P272:P286" si="70">IF(SUM(I272,L272,N272)&lt;&gt;0,TRUNC(SUM(I272,L272,N272),1),"")</f>
        <v>2640</v>
      </c>
      <c r="Q272" s="78"/>
    </row>
    <row r="273" spans="1:31" ht="23.25" customHeight="1" x14ac:dyDescent="0.15">
      <c r="A273" s="21" t="s">
        <v>494</v>
      </c>
      <c r="B273" s="21" t="s">
        <v>483</v>
      </c>
      <c r="C273" s="1" t="s">
        <v>218</v>
      </c>
      <c r="D273" s="140" t="s">
        <v>809</v>
      </c>
      <c r="E273" s="140" t="s">
        <v>1033</v>
      </c>
      <c r="F273" s="141" t="s">
        <v>190</v>
      </c>
      <c r="G273" s="142">
        <v>1</v>
      </c>
      <c r="H273" s="143">
        <v>12000</v>
      </c>
      <c r="I273" s="49">
        <f t="shared" si="66"/>
        <v>12000</v>
      </c>
      <c r="J273" s="49">
        <f t="shared" si="67"/>
        <v>1</v>
      </c>
      <c r="K273" s="49">
        <f>[2]합산자재!I287</f>
        <v>0</v>
      </c>
      <c r="L273" s="49" t="str">
        <f t="shared" si="68"/>
        <v/>
      </c>
      <c r="M273" s="49">
        <f>[2]합산자재!J287</f>
        <v>0</v>
      </c>
      <c r="N273" s="49" t="str">
        <f t="shared" si="69"/>
        <v/>
      </c>
      <c r="O273" s="49"/>
      <c r="P273" s="49">
        <f t="shared" si="70"/>
        <v>12000</v>
      </c>
      <c r="Q273" s="78"/>
    </row>
    <row r="274" spans="1:31" ht="23.25" customHeight="1" x14ac:dyDescent="0.15">
      <c r="A274" s="21" t="s">
        <v>488</v>
      </c>
      <c r="B274" s="21" t="s">
        <v>483</v>
      </c>
      <c r="C274" s="1" t="s">
        <v>220</v>
      </c>
      <c r="D274" s="140" t="s">
        <v>811</v>
      </c>
      <c r="E274" s="140" t="s">
        <v>1022</v>
      </c>
      <c r="F274" s="141" t="s">
        <v>172</v>
      </c>
      <c r="G274" s="142">
        <v>2.7</v>
      </c>
      <c r="H274" s="143">
        <v>21000</v>
      </c>
      <c r="I274" s="90">
        <f t="shared" si="66"/>
        <v>56700</v>
      </c>
      <c r="J274" s="49">
        <f t="shared" si="67"/>
        <v>2.7</v>
      </c>
      <c r="K274" s="49">
        <v>0</v>
      </c>
      <c r="L274" s="90" t="str">
        <f t="shared" si="68"/>
        <v/>
      </c>
      <c r="M274" s="49">
        <f>[2]합산자재!J294</f>
        <v>0</v>
      </c>
      <c r="N274" s="90" t="str">
        <f t="shared" si="69"/>
        <v/>
      </c>
      <c r="O274" s="49"/>
      <c r="P274" s="49">
        <f t="shared" si="70"/>
        <v>56700</v>
      </c>
      <c r="Q274" s="78"/>
    </row>
    <row r="275" spans="1:31" ht="23.25" customHeight="1" x14ac:dyDescent="0.15">
      <c r="A275" s="21" t="s">
        <v>489</v>
      </c>
      <c r="B275" s="21" t="s">
        <v>483</v>
      </c>
      <c r="C275" s="1" t="s">
        <v>241</v>
      </c>
      <c r="D275" s="140" t="s">
        <v>812</v>
      </c>
      <c r="E275" s="140" t="s">
        <v>793</v>
      </c>
      <c r="F275" s="141" t="s">
        <v>172</v>
      </c>
      <c r="G275" s="142">
        <v>1.4</v>
      </c>
      <c r="H275" s="143">
        <v>14000</v>
      </c>
      <c r="I275" s="49">
        <f t="shared" si="66"/>
        <v>19600</v>
      </c>
      <c r="J275" s="49">
        <f t="shared" si="67"/>
        <v>1.4</v>
      </c>
      <c r="K275" s="49">
        <f>[2]합산자재!I301</f>
        <v>0</v>
      </c>
      <c r="L275" s="49" t="str">
        <f t="shared" si="68"/>
        <v/>
      </c>
      <c r="M275" s="49">
        <f>[2]합산자재!J301</f>
        <v>0</v>
      </c>
      <c r="N275" s="49" t="str">
        <f t="shared" si="69"/>
        <v/>
      </c>
      <c r="O275" s="49"/>
      <c r="P275" s="49">
        <f t="shared" si="70"/>
        <v>19600</v>
      </c>
      <c r="Q275" s="78"/>
      <c r="Z275" s="2" t="s">
        <v>490</v>
      </c>
    </row>
    <row r="276" spans="1:31" ht="23.25" customHeight="1" x14ac:dyDescent="0.15">
      <c r="A276" s="21" t="s">
        <v>491</v>
      </c>
      <c r="B276" s="21" t="s">
        <v>483</v>
      </c>
      <c r="C276" s="1" t="s">
        <v>334</v>
      </c>
      <c r="D276" s="140" t="s">
        <v>813</v>
      </c>
      <c r="E276" s="140" t="s">
        <v>794</v>
      </c>
      <c r="F276" s="141" t="s">
        <v>172</v>
      </c>
      <c r="G276" s="142">
        <v>2.2000000000000002</v>
      </c>
      <c r="H276" s="143">
        <v>1320</v>
      </c>
      <c r="I276" s="49">
        <f t="shared" si="66"/>
        <v>2904</v>
      </c>
      <c r="J276" s="49">
        <f t="shared" si="67"/>
        <v>2.2000000000000002</v>
      </c>
      <c r="K276" s="49">
        <f>[2]합산자재!I322</f>
        <v>0</v>
      </c>
      <c r="L276" s="49" t="str">
        <f t="shared" si="68"/>
        <v/>
      </c>
      <c r="M276" s="49">
        <f>[2]합산자재!J322</f>
        <v>0</v>
      </c>
      <c r="N276" s="49" t="str">
        <f t="shared" si="69"/>
        <v/>
      </c>
      <c r="O276" s="49"/>
      <c r="P276" s="49">
        <f t="shared" si="70"/>
        <v>2904</v>
      </c>
      <c r="Q276" s="78"/>
    </row>
    <row r="277" spans="1:31" ht="23.25" customHeight="1" x14ac:dyDescent="0.15">
      <c r="A277" s="21" t="s">
        <v>492</v>
      </c>
      <c r="B277" s="21" t="s">
        <v>483</v>
      </c>
      <c r="C277" s="1" t="s">
        <v>338</v>
      </c>
      <c r="D277" s="140" t="s">
        <v>814</v>
      </c>
      <c r="E277" s="140"/>
      <c r="F277" s="141" t="s">
        <v>815</v>
      </c>
      <c r="G277" s="142">
        <v>2.5</v>
      </c>
      <c r="H277" s="143">
        <v>1980</v>
      </c>
      <c r="I277" s="49">
        <f t="shared" si="66"/>
        <v>4950</v>
      </c>
      <c r="J277" s="49">
        <f t="shared" si="67"/>
        <v>2.5</v>
      </c>
      <c r="K277" s="49">
        <f>[2]합산자재!I323</f>
        <v>0</v>
      </c>
      <c r="L277" s="49" t="str">
        <f t="shared" si="68"/>
        <v/>
      </c>
      <c r="M277" s="49">
        <f>[2]합산자재!J323</f>
        <v>0</v>
      </c>
      <c r="N277" s="49" t="str">
        <f t="shared" si="69"/>
        <v/>
      </c>
      <c r="O277" s="49"/>
      <c r="P277" s="49">
        <f t="shared" si="70"/>
        <v>4950</v>
      </c>
      <c r="Q277" s="78"/>
    </row>
    <row r="278" spans="1:31" ht="23.25" customHeight="1" x14ac:dyDescent="0.15">
      <c r="A278" s="21" t="s">
        <v>488</v>
      </c>
      <c r="B278" s="21" t="s">
        <v>483</v>
      </c>
      <c r="C278" s="1" t="s">
        <v>220</v>
      </c>
      <c r="D278" s="140" t="s">
        <v>819</v>
      </c>
      <c r="E278" s="140" t="s">
        <v>966</v>
      </c>
      <c r="F278" s="141" t="s">
        <v>190</v>
      </c>
      <c r="G278" s="142">
        <v>1</v>
      </c>
      <c r="H278" s="143">
        <v>145000</v>
      </c>
      <c r="I278" s="90">
        <f t="shared" si="66"/>
        <v>145000</v>
      </c>
      <c r="J278" s="49">
        <f t="shared" si="67"/>
        <v>1</v>
      </c>
      <c r="K278" s="49">
        <f>[2]합산자재!I293</f>
        <v>0</v>
      </c>
      <c r="L278" s="90" t="str">
        <f t="shared" si="68"/>
        <v/>
      </c>
      <c r="M278" s="49">
        <f>[2]합산자재!J299</f>
        <v>0</v>
      </c>
      <c r="N278" s="90" t="str">
        <f t="shared" si="69"/>
        <v/>
      </c>
      <c r="O278" s="49"/>
      <c r="P278" s="49">
        <f t="shared" si="70"/>
        <v>145000</v>
      </c>
      <c r="Q278" s="78"/>
    </row>
    <row r="279" spans="1:31" ht="23.25" customHeight="1" x14ac:dyDescent="0.15">
      <c r="A279" s="21" t="s">
        <v>489</v>
      </c>
      <c r="B279" s="21" t="s">
        <v>483</v>
      </c>
      <c r="C279" s="1" t="s">
        <v>241</v>
      </c>
      <c r="D279" s="140" t="s">
        <v>820</v>
      </c>
      <c r="E279" s="140" t="s">
        <v>931</v>
      </c>
      <c r="F279" s="141" t="s">
        <v>190</v>
      </c>
      <c r="G279" s="142">
        <v>4</v>
      </c>
      <c r="H279" s="143">
        <v>160600</v>
      </c>
      <c r="I279" s="49">
        <f t="shared" si="66"/>
        <v>642400</v>
      </c>
      <c r="J279" s="49">
        <f t="shared" si="67"/>
        <v>4</v>
      </c>
      <c r="K279" s="49">
        <v>0</v>
      </c>
      <c r="L279" s="49" t="str">
        <f t="shared" si="68"/>
        <v/>
      </c>
      <c r="M279" s="49">
        <f>[2]합산자재!J306</f>
        <v>0</v>
      </c>
      <c r="N279" s="49" t="str">
        <f t="shared" si="69"/>
        <v/>
      </c>
      <c r="O279" s="49"/>
      <c r="P279" s="49">
        <f t="shared" si="70"/>
        <v>642400</v>
      </c>
      <c r="Q279" s="78"/>
      <c r="Z279" s="2" t="s">
        <v>490</v>
      </c>
    </row>
    <row r="280" spans="1:31" ht="23.25" customHeight="1" x14ac:dyDescent="0.15">
      <c r="A280" s="21" t="s">
        <v>491</v>
      </c>
      <c r="B280" s="21" t="s">
        <v>483</v>
      </c>
      <c r="C280" s="1" t="s">
        <v>334</v>
      </c>
      <c r="D280" s="140" t="s">
        <v>820</v>
      </c>
      <c r="E280" s="140" t="s">
        <v>798</v>
      </c>
      <c r="F280" s="141" t="s">
        <v>190</v>
      </c>
      <c r="G280" s="142">
        <v>7</v>
      </c>
      <c r="H280" s="143">
        <v>18000</v>
      </c>
      <c r="I280" s="49">
        <f t="shared" si="66"/>
        <v>126000</v>
      </c>
      <c r="J280" s="49">
        <f t="shared" si="67"/>
        <v>7</v>
      </c>
      <c r="K280" s="49">
        <f>[2]합산자재!I295</f>
        <v>0</v>
      </c>
      <c r="L280" s="49" t="str">
        <f t="shared" si="68"/>
        <v/>
      </c>
      <c r="M280" s="49">
        <f>[2]합산자재!J327</f>
        <v>0</v>
      </c>
      <c r="N280" s="49" t="str">
        <f t="shared" si="69"/>
        <v/>
      </c>
      <c r="O280" s="49"/>
      <c r="P280" s="49">
        <f t="shared" si="70"/>
        <v>126000</v>
      </c>
      <c r="Q280" s="78"/>
    </row>
    <row r="281" spans="1:31" ht="23.25" customHeight="1" x14ac:dyDescent="0.15">
      <c r="A281" s="21" t="s">
        <v>493</v>
      </c>
      <c r="B281" s="21" t="s">
        <v>483</v>
      </c>
      <c r="C281" s="1" t="s">
        <v>215</v>
      </c>
      <c r="D281" s="140" t="s">
        <v>820</v>
      </c>
      <c r="E281" s="140" t="s">
        <v>1025</v>
      </c>
      <c r="F281" s="141" t="s">
        <v>190</v>
      </c>
      <c r="G281" s="142">
        <v>1</v>
      </c>
      <c r="H281" s="143">
        <v>57300</v>
      </c>
      <c r="I281" s="49">
        <f t="shared" si="66"/>
        <v>57300</v>
      </c>
      <c r="J281" s="49">
        <f t="shared" si="67"/>
        <v>1</v>
      </c>
      <c r="K281" s="49">
        <f>[2]합산자재!I297</f>
        <v>0</v>
      </c>
      <c r="L281" s="49" t="str">
        <f t="shared" si="68"/>
        <v/>
      </c>
      <c r="M281" s="49">
        <f>[2]합산자재!J297</f>
        <v>0</v>
      </c>
      <c r="N281" s="49" t="str">
        <f t="shared" si="69"/>
        <v/>
      </c>
      <c r="O281" s="49"/>
      <c r="P281" s="49">
        <f t="shared" si="70"/>
        <v>57300</v>
      </c>
      <c r="Q281" s="78"/>
    </row>
    <row r="282" spans="1:31" ht="23.25" customHeight="1" x14ac:dyDescent="0.15">
      <c r="A282" s="21" t="s">
        <v>479</v>
      </c>
      <c r="B282" s="21" t="s">
        <v>483</v>
      </c>
      <c r="C282" s="1" t="s">
        <v>458</v>
      </c>
      <c r="D282" s="78" t="s">
        <v>459</v>
      </c>
      <c r="E282" s="78" t="s">
        <v>799</v>
      </c>
      <c r="F282" s="52" t="s">
        <v>461</v>
      </c>
      <c r="G282" s="49">
        <f>'일위노임 (2)'!G181</f>
        <v>0.372</v>
      </c>
      <c r="H282" s="49">
        <f>[2]합산자재!H357</f>
        <v>0</v>
      </c>
      <c r="I282" s="49" t="str">
        <f t="shared" si="66"/>
        <v/>
      </c>
      <c r="J282" s="49">
        <f>G282</f>
        <v>0.372</v>
      </c>
      <c r="K282" s="49">
        <v>122522</v>
      </c>
      <c r="L282" s="49">
        <f t="shared" si="68"/>
        <v>45578.1</v>
      </c>
      <c r="M282" s="49">
        <f>[2]합산자재!J357</f>
        <v>0</v>
      </c>
      <c r="N282" s="49" t="str">
        <f t="shared" si="69"/>
        <v/>
      </c>
      <c r="O282" s="49"/>
      <c r="P282" s="49">
        <f t="shared" si="70"/>
        <v>45578.1</v>
      </c>
      <c r="Q282" s="78"/>
      <c r="AE282" s="2">
        <f>L282</f>
        <v>45578.1</v>
      </c>
    </row>
    <row r="283" spans="1:31" ht="23.25" customHeight="1" x14ac:dyDescent="0.15">
      <c r="A283" s="21" t="s">
        <v>479</v>
      </c>
      <c r="B283" s="21" t="s">
        <v>483</v>
      </c>
      <c r="C283" s="1" t="s">
        <v>458</v>
      </c>
      <c r="D283" s="78" t="s">
        <v>459</v>
      </c>
      <c r="E283" s="78" t="s">
        <v>800</v>
      </c>
      <c r="F283" s="52" t="s">
        <v>461</v>
      </c>
      <c r="G283" s="49">
        <f>'일위노임 (2)'!G182</f>
        <v>2.87</v>
      </c>
      <c r="H283" s="49">
        <f>[2]합산자재!H358</f>
        <v>0</v>
      </c>
      <c r="I283" s="49" t="str">
        <f t="shared" si="66"/>
        <v/>
      </c>
      <c r="J283" s="49">
        <f t="shared" ref="J283" si="71">G283</f>
        <v>2.87</v>
      </c>
      <c r="K283" s="49">
        <v>99248</v>
      </c>
      <c r="L283" s="49">
        <f t="shared" si="68"/>
        <v>284841.7</v>
      </c>
      <c r="M283" s="49">
        <f>[2]합산자재!J358</f>
        <v>0</v>
      </c>
      <c r="N283" s="49" t="str">
        <f t="shared" si="69"/>
        <v/>
      </c>
      <c r="O283" s="49"/>
      <c r="P283" s="49">
        <f t="shared" si="70"/>
        <v>284841.7</v>
      </c>
      <c r="Q283" s="78"/>
      <c r="AE283" s="2">
        <f>L283</f>
        <v>284841.7</v>
      </c>
    </row>
    <row r="284" spans="1:31" ht="23.25" customHeight="1" x14ac:dyDescent="0.15">
      <c r="A284" s="21" t="s">
        <v>479</v>
      </c>
      <c r="B284" s="21" t="s">
        <v>483</v>
      </c>
      <c r="C284" s="1" t="s">
        <v>458</v>
      </c>
      <c r="D284" s="78" t="s">
        <v>459</v>
      </c>
      <c r="E284" s="78" t="s">
        <v>801</v>
      </c>
      <c r="F284" s="52" t="s">
        <v>461</v>
      </c>
      <c r="G284" s="49">
        <f t="shared" ref="G284" si="72">J284</f>
        <v>0</v>
      </c>
      <c r="H284" s="49">
        <f>[2]합산자재!H359</f>
        <v>0</v>
      </c>
      <c r="I284" s="49" t="str">
        <f t="shared" si="66"/>
        <v/>
      </c>
      <c r="J284" s="49">
        <v>0</v>
      </c>
      <c r="K284" s="49">
        <v>105323</v>
      </c>
      <c r="L284" s="49" t="str">
        <f t="shared" si="68"/>
        <v/>
      </c>
      <c r="M284" s="49">
        <f>[2]합산자재!J359</f>
        <v>0</v>
      </c>
      <c r="N284" s="49" t="str">
        <f t="shared" si="69"/>
        <v/>
      </c>
      <c r="O284" s="49"/>
      <c r="P284" s="49" t="str">
        <f t="shared" si="70"/>
        <v/>
      </c>
      <c r="Q284" s="78"/>
      <c r="AE284" s="2" t="str">
        <f>L284</f>
        <v/>
      </c>
    </row>
    <row r="285" spans="1:31" ht="23.25" customHeight="1" x14ac:dyDescent="0.15">
      <c r="A285" s="21" t="s">
        <v>479</v>
      </c>
      <c r="B285" s="21" t="s">
        <v>483</v>
      </c>
      <c r="C285" s="1" t="s">
        <v>458</v>
      </c>
      <c r="D285" s="78" t="s">
        <v>459</v>
      </c>
      <c r="E285" s="78" t="s">
        <v>802</v>
      </c>
      <c r="F285" s="52" t="s">
        <v>461</v>
      </c>
      <c r="G285" s="49">
        <f>'일위노임 (2)'!G183</f>
        <v>0.246</v>
      </c>
      <c r="H285" s="49">
        <f>[2]합산자재!H360</f>
        <v>0</v>
      </c>
      <c r="I285" s="49" t="str">
        <f t="shared" si="66"/>
        <v/>
      </c>
      <c r="J285" s="49">
        <f t="shared" ref="J285" si="73">G285</f>
        <v>0.246</v>
      </c>
      <c r="K285" s="49">
        <v>90694</v>
      </c>
      <c r="L285" s="49">
        <f t="shared" si="68"/>
        <v>22310.7</v>
      </c>
      <c r="M285" s="49">
        <f>[2]합산자재!J360</f>
        <v>0</v>
      </c>
      <c r="N285" s="49" t="str">
        <f t="shared" si="69"/>
        <v/>
      </c>
      <c r="O285" s="49"/>
      <c r="P285" s="49">
        <f t="shared" si="70"/>
        <v>22310.7</v>
      </c>
      <c r="Q285" s="78"/>
      <c r="AE285" s="2">
        <f>L285</f>
        <v>22310.7</v>
      </c>
    </row>
    <row r="286" spans="1:31" ht="23.25" customHeight="1" x14ac:dyDescent="0.15">
      <c r="B286" s="21" t="s">
        <v>499</v>
      </c>
      <c r="D286" s="78" t="s">
        <v>500</v>
      </c>
      <c r="E286" s="78"/>
      <c r="F286" s="52"/>
      <c r="G286" s="49"/>
      <c r="H286" s="49"/>
      <c r="I286" s="49">
        <f>TRUNC(SUM(I271:I285))</f>
        <v>1069494</v>
      </c>
      <c r="J286" s="49"/>
      <c r="K286" s="49"/>
      <c r="L286" s="49">
        <f>TRUNC(SUM(L271:L285))</f>
        <v>352730</v>
      </c>
      <c r="M286" s="49"/>
      <c r="N286" s="49">
        <f>TRUNC(SUM(N271:N285))</f>
        <v>0</v>
      </c>
      <c r="O286" s="49"/>
      <c r="P286" s="49">
        <f t="shared" si="70"/>
        <v>1422224</v>
      </c>
      <c r="Q286" s="78"/>
      <c r="AC286" s="2">
        <f>TRUNC(AE286*[2]옵션!$B$36/100,1)</f>
        <v>10581.9</v>
      </c>
      <c r="AD286" s="2">
        <f>TRUNC(SUM(L271:L282))</f>
        <v>45578</v>
      </c>
      <c r="AE286" s="2">
        <f>TRUNC(SUM(AE271:AE285))</f>
        <v>352730</v>
      </c>
    </row>
    <row r="287" spans="1:31" ht="23.25" customHeight="1" x14ac:dyDescent="0.15">
      <c r="D287" s="78"/>
      <c r="E287" s="78"/>
      <c r="F287" s="52"/>
      <c r="G287" s="49"/>
      <c r="H287" s="49"/>
      <c r="I287" s="49"/>
      <c r="J287" s="49"/>
      <c r="K287" s="49"/>
      <c r="L287" s="49"/>
      <c r="M287" s="49"/>
      <c r="N287" s="49"/>
      <c r="O287" s="49"/>
      <c r="P287" s="49"/>
      <c r="Q287" s="78"/>
    </row>
    <row r="288" spans="1:31" ht="23.25" customHeight="1" x14ac:dyDescent="0.15">
      <c r="A288" s="21" t="s">
        <v>482</v>
      </c>
      <c r="B288" s="21" t="s">
        <v>487</v>
      </c>
      <c r="C288" s="1" t="s">
        <v>483</v>
      </c>
      <c r="D288" s="264" t="s">
        <v>1037</v>
      </c>
      <c r="E288" s="265"/>
      <c r="F288" s="265"/>
      <c r="G288" s="265"/>
      <c r="H288" s="265"/>
      <c r="I288" s="265"/>
      <c r="J288" s="265"/>
      <c r="K288" s="265"/>
      <c r="L288" s="265"/>
      <c r="M288" s="265"/>
      <c r="N288" s="265"/>
      <c r="O288" s="265"/>
      <c r="P288" s="265"/>
      <c r="Q288" s="266"/>
    </row>
    <row r="289" spans="1:31" ht="23.25" customHeight="1" x14ac:dyDescent="0.15">
      <c r="A289" s="21" t="s">
        <v>492</v>
      </c>
      <c r="B289" s="21" t="s">
        <v>483</v>
      </c>
      <c r="C289" s="1" t="s">
        <v>338</v>
      </c>
      <c r="D289" s="140" t="s">
        <v>1040</v>
      </c>
      <c r="E289" s="140" t="s">
        <v>836</v>
      </c>
      <c r="F289" s="141" t="s">
        <v>918</v>
      </c>
      <c r="G289" s="142">
        <v>1</v>
      </c>
      <c r="H289" s="143">
        <v>1482722</v>
      </c>
      <c r="I289" s="49">
        <f t="shared" ref="I289:I306" si="74">IF(G289*H289&lt;&gt;0, TRUNC(G289*H289,1),"")</f>
        <v>1482722</v>
      </c>
      <c r="J289" s="49">
        <f t="shared" ref="J289:J302" si="75">G289</f>
        <v>1</v>
      </c>
      <c r="K289" s="49">
        <v>0</v>
      </c>
      <c r="L289" s="49" t="str">
        <f t="shared" ref="L289:L306" si="76">IF(G289*K289&lt;&gt;0, TRUNC(G289*K289,1),"")</f>
        <v/>
      </c>
      <c r="M289" s="49">
        <f>[2]합산자재!J335</f>
        <v>0</v>
      </c>
      <c r="N289" s="49" t="str">
        <f t="shared" ref="N289:N306" si="77">IF(G289*M289&lt;&gt;0, TRUNC(G289*M289,1),"")</f>
        <v/>
      </c>
      <c r="O289" s="49"/>
      <c r="P289" s="49">
        <f t="shared" ref="P289:P307" si="78">IF(SUM(I289,L289,N289)&lt;&gt;0,TRUNC(SUM(I289,L289,N289),1),"")</f>
        <v>1482722</v>
      </c>
      <c r="Q289" s="78"/>
    </row>
    <row r="290" spans="1:31" ht="23.25" customHeight="1" x14ac:dyDescent="0.15">
      <c r="D290" s="140" t="s">
        <v>807</v>
      </c>
      <c r="E290" s="140" t="s">
        <v>1043</v>
      </c>
      <c r="F290" s="141" t="s">
        <v>190</v>
      </c>
      <c r="G290" s="142">
        <v>2</v>
      </c>
      <c r="H290" s="143">
        <v>4703</v>
      </c>
      <c r="I290" s="49">
        <f t="shared" si="74"/>
        <v>9406</v>
      </c>
      <c r="J290" s="49">
        <f t="shared" si="75"/>
        <v>2</v>
      </c>
      <c r="K290" s="49">
        <v>0</v>
      </c>
      <c r="L290" s="49"/>
      <c r="M290" s="49">
        <f>[2]합산자재!J336</f>
        <v>0</v>
      </c>
      <c r="N290" s="49"/>
      <c r="O290" s="49"/>
      <c r="P290" s="49">
        <f t="shared" si="78"/>
        <v>9406</v>
      </c>
      <c r="Q290" s="78"/>
    </row>
    <row r="291" spans="1:31" ht="23.25" customHeight="1" x14ac:dyDescent="0.15">
      <c r="D291" s="140" t="s">
        <v>807</v>
      </c>
      <c r="E291" s="140" t="s">
        <v>788</v>
      </c>
      <c r="F291" s="141" t="s">
        <v>190</v>
      </c>
      <c r="G291" s="142">
        <v>14</v>
      </c>
      <c r="H291" s="143">
        <v>220</v>
      </c>
      <c r="I291" s="49">
        <f t="shared" si="74"/>
        <v>3080</v>
      </c>
      <c r="J291" s="49">
        <f t="shared" si="75"/>
        <v>14</v>
      </c>
      <c r="K291" s="49">
        <v>0</v>
      </c>
      <c r="L291" s="49"/>
      <c r="M291" s="49">
        <f>[2]합산자재!J337</f>
        <v>0</v>
      </c>
      <c r="N291" s="49"/>
      <c r="O291" s="49"/>
      <c r="P291" s="49">
        <f t="shared" si="78"/>
        <v>3080</v>
      </c>
      <c r="Q291" s="78"/>
    </row>
    <row r="292" spans="1:31" ht="23.25" customHeight="1" x14ac:dyDescent="0.15">
      <c r="D292" s="140" t="s">
        <v>808</v>
      </c>
      <c r="E292" s="140" t="s">
        <v>1042</v>
      </c>
      <c r="F292" s="141" t="s">
        <v>190</v>
      </c>
      <c r="G292" s="142">
        <v>2</v>
      </c>
      <c r="H292" s="143">
        <v>2343</v>
      </c>
      <c r="I292" s="49">
        <f t="shared" si="74"/>
        <v>4686</v>
      </c>
      <c r="J292" s="49">
        <f t="shared" si="75"/>
        <v>2</v>
      </c>
      <c r="K292" s="49">
        <v>0</v>
      </c>
      <c r="L292" s="49"/>
      <c r="M292" s="49">
        <f>[2]합산자재!J338</f>
        <v>0</v>
      </c>
      <c r="N292" s="49"/>
      <c r="O292" s="49"/>
      <c r="P292" s="49">
        <f t="shared" si="78"/>
        <v>4686</v>
      </c>
      <c r="Q292" s="78"/>
    </row>
    <row r="293" spans="1:31" ht="23.25" customHeight="1" x14ac:dyDescent="0.15">
      <c r="A293" s="21" t="s">
        <v>494</v>
      </c>
      <c r="B293" s="21" t="s">
        <v>483</v>
      </c>
      <c r="C293" s="1" t="s">
        <v>218</v>
      </c>
      <c r="D293" s="140" t="s">
        <v>809</v>
      </c>
      <c r="E293" s="140" t="s">
        <v>1044</v>
      </c>
      <c r="F293" s="141" t="s">
        <v>190</v>
      </c>
      <c r="G293" s="142">
        <v>1</v>
      </c>
      <c r="H293" s="143">
        <v>14250</v>
      </c>
      <c r="I293" s="49">
        <f t="shared" si="74"/>
        <v>14250</v>
      </c>
      <c r="J293" s="49">
        <f t="shared" si="75"/>
        <v>1</v>
      </c>
      <c r="K293" s="49">
        <f>[2]합산자재!I305</f>
        <v>0</v>
      </c>
      <c r="L293" s="49" t="str">
        <f t="shared" si="76"/>
        <v/>
      </c>
      <c r="M293" s="49">
        <f>[2]합산자재!J305</f>
        <v>0</v>
      </c>
      <c r="N293" s="49" t="str">
        <f t="shared" si="77"/>
        <v/>
      </c>
      <c r="O293" s="49"/>
      <c r="P293" s="49">
        <f t="shared" si="78"/>
        <v>14250</v>
      </c>
      <c r="Q293" s="78"/>
    </row>
    <row r="294" spans="1:31" ht="23.25" customHeight="1" x14ac:dyDescent="0.15">
      <c r="A294" s="21" t="s">
        <v>488</v>
      </c>
      <c r="B294" s="21" t="s">
        <v>483</v>
      </c>
      <c r="C294" s="1" t="s">
        <v>220</v>
      </c>
      <c r="D294" s="140" t="s">
        <v>811</v>
      </c>
      <c r="E294" s="140" t="s">
        <v>1045</v>
      </c>
      <c r="F294" s="141" t="s">
        <v>172</v>
      </c>
      <c r="G294" s="142">
        <v>3.6</v>
      </c>
      <c r="H294" s="143">
        <v>46550</v>
      </c>
      <c r="I294" s="90">
        <f t="shared" si="74"/>
        <v>167580</v>
      </c>
      <c r="J294" s="49">
        <f t="shared" si="75"/>
        <v>3.6</v>
      </c>
      <c r="K294" s="49">
        <v>0</v>
      </c>
      <c r="L294" s="90" t="str">
        <f t="shared" si="76"/>
        <v/>
      </c>
      <c r="M294" s="49">
        <f>[2]합산자재!J312</f>
        <v>0</v>
      </c>
      <c r="N294" s="90" t="str">
        <f t="shared" si="77"/>
        <v/>
      </c>
      <c r="O294" s="49"/>
      <c r="P294" s="49">
        <f t="shared" si="78"/>
        <v>167580</v>
      </c>
      <c r="Q294" s="78"/>
    </row>
    <row r="295" spans="1:31" ht="23.25" customHeight="1" x14ac:dyDescent="0.15">
      <c r="D295" s="140" t="s">
        <v>812</v>
      </c>
      <c r="E295" s="140" t="s">
        <v>1021</v>
      </c>
      <c r="F295" s="141" t="s">
        <v>172</v>
      </c>
      <c r="G295" s="142">
        <v>1.2</v>
      </c>
      <c r="H295" s="143">
        <v>21000</v>
      </c>
      <c r="I295" s="90">
        <f t="shared" si="74"/>
        <v>25200</v>
      </c>
      <c r="J295" s="49">
        <f t="shared" si="75"/>
        <v>1.2</v>
      </c>
      <c r="K295" s="49">
        <v>0</v>
      </c>
      <c r="L295" s="90"/>
      <c r="M295" s="49">
        <f>[2]합산자재!J313</f>
        <v>0</v>
      </c>
      <c r="N295" s="90"/>
      <c r="O295" s="49"/>
      <c r="P295" s="49">
        <f t="shared" si="78"/>
        <v>25200</v>
      </c>
      <c r="Q295" s="78"/>
    </row>
    <row r="296" spans="1:31" ht="23.25" customHeight="1" x14ac:dyDescent="0.15">
      <c r="A296" s="21" t="s">
        <v>489</v>
      </c>
      <c r="B296" s="21" t="s">
        <v>483</v>
      </c>
      <c r="C296" s="1" t="s">
        <v>241</v>
      </c>
      <c r="D296" s="140" t="s">
        <v>812</v>
      </c>
      <c r="E296" s="140" t="s">
        <v>793</v>
      </c>
      <c r="F296" s="141" t="s">
        <v>172</v>
      </c>
      <c r="G296" s="142">
        <v>1.8</v>
      </c>
      <c r="H296" s="143">
        <v>14000</v>
      </c>
      <c r="I296" s="49">
        <f t="shared" si="74"/>
        <v>25200</v>
      </c>
      <c r="J296" s="49">
        <f t="shared" si="75"/>
        <v>1.8</v>
      </c>
      <c r="K296" s="49">
        <f>[2]합산자재!I319</f>
        <v>0</v>
      </c>
      <c r="L296" s="49" t="str">
        <f t="shared" si="76"/>
        <v/>
      </c>
      <c r="M296" s="49">
        <f>[2]합산자재!J319</f>
        <v>0</v>
      </c>
      <c r="N296" s="49" t="str">
        <f t="shared" si="77"/>
        <v/>
      </c>
      <c r="O296" s="49"/>
      <c r="P296" s="49">
        <f t="shared" si="78"/>
        <v>25200</v>
      </c>
      <c r="Q296" s="78"/>
      <c r="Z296" s="2" t="s">
        <v>490</v>
      </c>
    </row>
    <row r="297" spans="1:31" ht="23.25" customHeight="1" x14ac:dyDescent="0.15">
      <c r="A297" s="21" t="s">
        <v>491</v>
      </c>
      <c r="B297" s="21" t="s">
        <v>483</v>
      </c>
      <c r="C297" s="1" t="s">
        <v>334</v>
      </c>
      <c r="D297" s="140" t="s">
        <v>813</v>
      </c>
      <c r="E297" s="140" t="s">
        <v>794</v>
      </c>
      <c r="F297" s="141" t="s">
        <v>172</v>
      </c>
      <c r="G297" s="142">
        <v>3.2</v>
      </c>
      <c r="H297" s="143">
        <v>1320</v>
      </c>
      <c r="I297" s="49">
        <f t="shared" si="74"/>
        <v>4224</v>
      </c>
      <c r="J297" s="49">
        <f t="shared" si="75"/>
        <v>3.2</v>
      </c>
      <c r="K297" s="49">
        <f>[2]합산자재!I340</f>
        <v>0</v>
      </c>
      <c r="L297" s="49" t="str">
        <f t="shared" si="76"/>
        <v/>
      </c>
      <c r="M297" s="49">
        <f>[2]합산자재!J340</f>
        <v>0</v>
      </c>
      <c r="N297" s="49" t="str">
        <f t="shared" si="77"/>
        <v/>
      </c>
      <c r="O297" s="49"/>
      <c r="P297" s="49">
        <f t="shared" si="78"/>
        <v>4224</v>
      </c>
      <c r="Q297" s="78"/>
    </row>
    <row r="298" spans="1:31" ht="23.25" customHeight="1" x14ac:dyDescent="0.15">
      <c r="A298" s="21" t="s">
        <v>492</v>
      </c>
      <c r="B298" s="21" t="s">
        <v>483</v>
      </c>
      <c r="C298" s="1" t="s">
        <v>338</v>
      </c>
      <c r="D298" s="140" t="s">
        <v>814</v>
      </c>
      <c r="E298" s="140"/>
      <c r="F298" s="141" t="s">
        <v>815</v>
      </c>
      <c r="G298" s="142">
        <v>4.22</v>
      </c>
      <c r="H298" s="143">
        <v>1980</v>
      </c>
      <c r="I298" s="49">
        <f t="shared" si="74"/>
        <v>8355.6</v>
      </c>
      <c r="J298" s="49">
        <f t="shared" si="75"/>
        <v>4.22</v>
      </c>
      <c r="K298" s="49">
        <f>[2]합산자재!I341</f>
        <v>0</v>
      </c>
      <c r="L298" s="49" t="str">
        <f t="shared" si="76"/>
        <v/>
      </c>
      <c r="M298" s="49">
        <f>[2]합산자재!J341</f>
        <v>0</v>
      </c>
      <c r="N298" s="49" t="str">
        <f t="shared" si="77"/>
        <v/>
      </c>
      <c r="O298" s="49"/>
      <c r="P298" s="49">
        <f t="shared" si="78"/>
        <v>8355.6</v>
      </c>
      <c r="Q298" s="78"/>
    </row>
    <row r="299" spans="1:31" ht="23.25" customHeight="1" x14ac:dyDescent="0.15">
      <c r="A299" s="21" t="s">
        <v>488</v>
      </c>
      <c r="B299" s="21" t="s">
        <v>483</v>
      </c>
      <c r="C299" s="1" t="s">
        <v>220</v>
      </c>
      <c r="D299" s="140" t="s">
        <v>930</v>
      </c>
      <c r="E299" s="140" t="s">
        <v>1046</v>
      </c>
      <c r="F299" s="141" t="s">
        <v>190</v>
      </c>
      <c r="G299" s="142">
        <v>1</v>
      </c>
      <c r="H299" s="143">
        <v>322000</v>
      </c>
      <c r="I299" s="90">
        <f t="shared" si="74"/>
        <v>322000</v>
      </c>
      <c r="J299" s="49">
        <f t="shared" si="75"/>
        <v>1</v>
      </c>
      <c r="K299" s="49">
        <f>[2]합산자재!I311</f>
        <v>0</v>
      </c>
      <c r="L299" s="90" t="str">
        <f t="shared" si="76"/>
        <v/>
      </c>
      <c r="M299" s="49">
        <f>[2]합산자재!J317</f>
        <v>0</v>
      </c>
      <c r="N299" s="90" t="str">
        <f t="shared" si="77"/>
        <v/>
      </c>
      <c r="O299" s="49"/>
      <c r="P299" s="49">
        <f t="shared" si="78"/>
        <v>322000</v>
      </c>
      <c r="Q299" s="78"/>
    </row>
    <row r="300" spans="1:31" ht="23.25" customHeight="1" x14ac:dyDescent="0.15">
      <c r="A300" s="21" t="s">
        <v>489</v>
      </c>
      <c r="B300" s="21" t="s">
        <v>483</v>
      </c>
      <c r="C300" s="1" t="s">
        <v>241</v>
      </c>
      <c r="D300" s="140" t="s">
        <v>1047</v>
      </c>
      <c r="E300" s="140" t="s">
        <v>966</v>
      </c>
      <c r="F300" s="141" t="s">
        <v>190</v>
      </c>
      <c r="G300" s="142">
        <v>2</v>
      </c>
      <c r="H300" s="143">
        <v>145000</v>
      </c>
      <c r="I300" s="49">
        <f t="shared" si="74"/>
        <v>290000</v>
      </c>
      <c r="J300" s="49">
        <f t="shared" si="75"/>
        <v>2</v>
      </c>
      <c r="K300" s="49">
        <v>0</v>
      </c>
      <c r="L300" s="49" t="str">
        <f t="shared" si="76"/>
        <v/>
      </c>
      <c r="M300" s="49">
        <f>[2]합산자재!J324</f>
        <v>0</v>
      </c>
      <c r="N300" s="49" t="str">
        <f t="shared" si="77"/>
        <v/>
      </c>
      <c r="O300" s="49"/>
      <c r="P300" s="49">
        <f t="shared" si="78"/>
        <v>290000</v>
      </c>
      <c r="Q300" s="78"/>
      <c r="Z300" s="2" t="s">
        <v>490</v>
      </c>
    </row>
    <row r="301" spans="1:31" ht="23.25" customHeight="1" x14ac:dyDescent="0.15">
      <c r="A301" s="21" t="s">
        <v>491</v>
      </c>
      <c r="B301" s="21" t="s">
        <v>483</v>
      </c>
      <c r="C301" s="1" t="s">
        <v>334</v>
      </c>
      <c r="D301" s="140" t="s">
        <v>820</v>
      </c>
      <c r="E301" s="140" t="s">
        <v>798</v>
      </c>
      <c r="F301" s="141" t="s">
        <v>190</v>
      </c>
      <c r="G301" s="142">
        <v>8</v>
      </c>
      <c r="H301" s="143">
        <v>18000</v>
      </c>
      <c r="I301" s="49">
        <f t="shared" si="74"/>
        <v>144000</v>
      </c>
      <c r="J301" s="49">
        <f t="shared" si="75"/>
        <v>8</v>
      </c>
      <c r="K301" s="49">
        <f>[2]합산자재!I313</f>
        <v>0</v>
      </c>
      <c r="L301" s="49" t="str">
        <f t="shared" si="76"/>
        <v/>
      </c>
      <c r="M301" s="49">
        <f>[2]합산자재!J345</f>
        <v>0</v>
      </c>
      <c r="N301" s="49" t="str">
        <f t="shared" si="77"/>
        <v/>
      </c>
      <c r="O301" s="49"/>
      <c r="P301" s="49">
        <f t="shared" si="78"/>
        <v>144000</v>
      </c>
      <c r="Q301" s="78"/>
    </row>
    <row r="302" spans="1:31" ht="23.25" customHeight="1" x14ac:dyDescent="0.15">
      <c r="A302" s="21" t="s">
        <v>493</v>
      </c>
      <c r="B302" s="21" t="s">
        <v>483</v>
      </c>
      <c r="C302" s="1" t="s">
        <v>215</v>
      </c>
      <c r="D302" s="140" t="s">
        <v>820</v>
      </c>
      <c r="E302" s="140" t="s">
        <v>1025</v>
      </c>
      <c r="F302" s="141" t="s">
        <v>190</v>
      </c>
      <c r="G302" s="142">
        <v>4</v>
      </c>
      <c r="H302" s="143">
        <v>57300</v>
      </c>
      <c r="I302" s="49">
        <f t="shared" si="74"/>
        <v>229200</v>
      </c>
      <c r="J302" s="49">
        <f t="shared" si="75"/>
        <v>4</v>
      </c>
      <c r="K302" s="49">
        <f>[2]합산자재!I315</f>
        <v>0</v>
      </c>
      <c r="L302" s="49" t="str">
        <f t="shared" si="76"/>
        <v/>
      </c>
      <c r="M302" s="49">
        <f>[2]합산자재!J315</f>
        <v>0</v>
      </c>
      <c r="N302" s="49" t="str">
        <f t="shared" si="77"/>
        <v/>
      </c>
      <c r="O302" s="49"/>
      <c r="P302" s="49">
        <f t="shared" si="78"/>
        <v>229200</v>
      </c>
      <c r="Q302" s="78"/>
    </row>
    <row r="303" spans="1:31" ht="23.25" customHeight="1" x14ac:dyDescent="0.15">
      <c r="A303" s="21" t="s">
        <v>479</v>
      </c>
      <c r="B303" s="21" t="s">
        <v>483</v>
      </c>
      <c r="C303" s="1" t="s">
        <v>458</v>
      </c>
      <c r="D303" s="78" t="s">
        <v>459</v>
      </c>
      <c r="E303" s="78" t="s">
        <v>799</v>
      </c>
      <c r="F303" s="52" t="s">
        <v>461</v>
      </c>
      <c r="G303" s="49">
        <f>'일위노임 (2)'!G197</f>
        <v>0.62800000000000011</v>
      </c>
      <c r="H303" s="49">
        <f>[2]합산자재!H375</f>
        <v>0</v>
      </c>
      <c r="I303" s="49" t="str">
        <f t="shared" si="74"/>
        <v/>
      </c>
      <c r="J303" s="49">
        <f>G303</f>
        <v>0.62800000000000011</v>
      </c>
      <c r="K303" s="49">
        <v>122522</v>
      </c>
      <c r="L303" s="49">
        <f t="shared" si="76"/>
        <v>76943.8</v>
      </c>
      <c r="M303" s="49">
        <f>[2]합산자재!J375</f>
        <v>0</v>
      </c>
      <c r="N303" s="49" t="str">
        <f t="shared" si="77"/>
        <v/>
      </c>
      <c r="O303" s="49"/>
      <c r="P303" s="49">
        <f t="shared" si="78"/>
        <v>76943.8</v>
      </c>
      <c r="Q303" s="78"/>
      <c r="AE303" s="2">
        <f>L303</f>
        <v>76943.8</v>
      </c>
    </row>
    <row r="304" spans="1:31" ht="23.25" customHeight="1" x14ac:dyDescent="0.15">
      <c r="A304" s="21" t="s">
        <v>479</v>
      </c>
      <c r="B304" s="21" t="s">
        <v>483</v>
      </c>
      <c r="C304" s="1" t="s">
        <v>458</v>
      </c>
      <c r="D304" s="78" t="s">
        <v>459</v>
      </c>
      <c r="E304" s="78" t="s">
        <v>800</v>
      </c>
      <c r="F304" s="52" t="s">
        <v>461</v>
      </c>
      <c r="G304" s="49">
        <f>'일위노임 (2)'!G198</f>
        <v>3.29</v>
      </c>
      <c r="H304" s="49">
        <f>[2]합산자재!H376</f>
        <v>0</v>
      </c>
      <c r="I304" s="49" t="str">
        <f t="shared" si="74"/>
        <v/>
      </c>
      <c r="J304" s="49">
        <f t="shared" ref="J304" si="79">G304</f>
        <v>3.29</v>
      </c>
      <c r="K304" s="49">
        <v>99248</v>
      </c>
      <c r="L304" s="49">
        <f t="shared" si="76"/>
        <v>326525.90000000002</v>
      </c>
      <c r="M304" s="49">
        <f>[2]합산자재!J376</f>
        <v>0</v>
      </c>
      <c r="N304" s="49" t="str">
        <f t="shared" si="77"/>
        <v/>
      </c>
      <c r="O304" s="49"/>
      <c r="P304" s="49">
        <f t="shared" si="78"/>
        <v>326525.90000000002</v>
      </c>
      <c r="Q304" s="78"/>
      <c r="AE304" s="2">
        <f>L304</f>
        <v>326525.90000000002</v>
      </c>
    </row>
    <row r="305" spans="1:31" ht="23.25" customHeight="1" x14ac:dyDescent="0.15">
      <c r="A305" s="21" t="s">
        <v>479</v>
      </c>
      <c r="B305" s="21" t="s">
        <v>483</v>
      </c>
      <c r="C305" s="1" t="s">
        <v>458</v>
      </c>
      <c r="D305" s="78" t="s">
        <v>459</v>
      </c>
      <c r="E305" s="78" t="s">
        <v>801</v>
      </c>
      <c r="F305" s="52" t="s">
        <v>461</v>
      </c>
      <c r="G305" s="49">
        <f t="shared" ref="G305" si="80">J305</f>
        <v>0</v>
      </c>
      <c r="H305" s="49">
        <f>[2]합산자재!H377</f>
        <v>0</v>
      </c>
      <c r="I305" s="49" t="str">
        <f t="shared" si="74"/>
        <v/>
      </c>
      <c r="J305" s="49">
        <v>0</v>
      </c>
      <c r="K305" s="49">
        <v>105323</v>
      </c>
      <c r="L305" s="49" t="str">
        <f t="shared" si="76"/>
        <v/>
      </c>
      <c r="M305" s="49">
        <f>[2]합산자재!J377</f>
        <v>0</v>
      </c>
      <c r="N305" s="49" t="str">
        <f t="shared" si="77"/>
        <v/>
      </c>
      <c r="O305" s="49"/>
      <c r="P305" s="49" t="str">
        <f t="shared" si="78"/>
        <v/>
      </c>
      <c r="Q305" s="78"/>
      <c r="AE305" s="2" t="str">
        <f>L305</f>
        <v/>
      </c>
    </row>
    <row r="306" spans="1:31" ht="23.25" customHeight="1" x14ac:dyDescent="0.15">
      <c r="A306" s="21" t="s">
        <v>479</v>
      </c>
      <c r="B306" s="21" t="s">
        <v>483</v>
      </c>
      <c r="C306" s="1" t="s">
        <v>458</v>
      </c>
      <c r="D306" s="78" t="s">
        <v>459</v>
      </c>
      <c r="E306" s="78" t="s">
        <v>802</v>
      </c>
      <c r="F306" s="52" t="s">
        <v>461</v>
      </c>
      <c r="G306" s="49">
        <f>'일위노임 (2)'!G199</f>
        <v>0.43200000000000005</v>
      </c>
      <c r="H306" s="49">
        <f>[2]합산자재!H378</f>
        <v>0</v>
      </c>
      <c r="I306" s="49" t="str">
        <f t="shared" si="74"/>
        <v/>
      </c>
      <c r="J306" s="49">
        <f t="shared" ref="J306" si="81">G306</f>
        <v>0.43200000000000005</v>
      </c>
      <c r="K306" s="49">
        <v>90694</v>
      </c>
      <c r="L306" s="49">
        <f t="shared" si="76"/>
        <v>39179.800000000003</v>
      </c>
      <c r="M306" s="49">
        <f>[2]합산자재!J378</f>
        <v>0</v>
      </c>
      <c r="N306" s="49" t="str">
        <f t="shared" si="77"/>
        <v/>
      </c>
      <c r="O306" s="49"/>
      <c r="P306" s="49">
        <f t="shared" si="78"/>
        <v>39179.800000000003</v>
      </c>
      <c r="Q306" s="78"/>
      <c r="AE306" s="2">
        <f>L306</f>
        <v>39179.800000000003</v>
      </c>
    </row>
    <row r="307" spans="1:31" ht="23.25" customHeight="1" x14ac:dyDescent="0.15">
      <c r="B307" s="21" t="s">
        <v>499</v>
      </c>
      <c r="D307" s="78" t="s">
        <v>500</v>
      </c>
      <c r="E307" s="78"/>
      <c r="F307" s="52"/>
      <c r="G307" s="49"/>
      <c r="H307" s="49"/>
      <c r="I307" s="49">
        <f>TRUNC(SUM(I288:I306))</f>
        <v>2729903</v>
      </c>
      <c r="J307" s="49"/>
      <c r="K307" s="49"/>
      <c r="L307" s="49">
        <f>TRUNC(SUM(L288:L306))</f>
        <v>442649</v>
      </c>
      <c r="M307" s="49"/>
      <c r="N307" s="49">
        <f>TRUNC(SUM(N288:N306))</f>
        <v>0</v>
      </c>
      <c r="O307" s="49"/>
      <c r="P307" s="49">
        <f t="shared" si="78"/>
        <v>3172552</v>
      </c>
      <c r="Q307" s="78"/>
      <c r="AC307" s="2">
        <f>TRUNC(AE307*[2]옵션!$B$36/100,1)</f>
        <v>13279.4</v>
      </c>
      <c r="AD307" s="2">
        <f>TRUNC(SUM(L288:L303))</f>
        <v>76943</v>
      </c>
      <c r="AE307" s="2">
        <f>TRUNC(SUM(AE288:AE306))</f>
        <v>442649</v>
      </c>
    </row>
    <row r="308" spans="1:31" ht="23.25" customHeight="1" x14ac:dyDescent="0.15">
      <c r="D308" s="78"/>
      <c r="E308" s="78"/>
      <c r="F308" s="52"/>
      <c r="G308" s="49"/>
      <c r="H308" s="49"/>
      <c r="I308" s="49"/>
      <c r="J308" s="49"/>
      <c r="K308" s="49"/>
      <c r="L308" s="49"/>
      <c r="M308" s="49"/>
      <c r="N308" s="49"/>
      <c r="O308" s="49"/>
      <c r="P308" s="49"/>
      <c r="Q308" s="78"/>
    </row>
    <row r="309" spans="1:31" ht="23.25" customHeight="1" x14ac:dyDescent="0.15">
      <c r="A309" s="21" t="s">
        <v>482</v>
      </c>
      <c r="B309" s="21" t="s">
        <v>487</v>
      </c>
      <c r="C309" s="1" t="s">
        <v>483</v>
      </c>
      <c r="D309" s="264" t="s">
        <v>1052</v>
      </c>
      <c r="E309" s="265"/>
      <c r="F309" s="265"/>
      <c r="G309" s="265"/>
      <c r="H309" s="265"/>
      <c r="I309" s="265"/>
      <c r="J309" s="265"/>
      <c r="K309" s="265"/>
      <c r="L309" s="265"/>
      <c r="M309" s="265"/>
      <c r="N309" s="265"/>
      <c r="O309" s="265"/>
      <c r="P309" s="265"/>
      <c r="Q309" s="266"/>
    </row>
    <row r="310" spans="1:31" ht="23.25" customHeight="1" x14ac:dyDescent="0.15">
      <c r="A310" s="21" t="s">
        <v>492</v>
      </c>
      <c r="B310" s="21" t="s">
        <v>483</v>
      </c>
      <c r="C310" s="1" t="s">
        <v>338</v>
      </c>
      <c r="D310" s="140" t="s">
        <v>1099</v>
      </c>
      <c r="E310" s="140" t="s">
        <v>1053</v>
      </c>
      <c r="F310" s="141" t="s">
        <v>918</v>
      </c>
      <c r="G310" s="142">
        <v>1</v>
      </c>
      <c r="H310" s="143">
        <v>963515</v>
      </c>
      <c r="I310" s="49">
        <f t="shared" ref="I310:I326" si="82">IF(G310*H310&lt;&gt;0, TRUNC(G310*H310,1),"")</f>
        <v>963515</v>
      </c>
      <c r="J310" s="49">
        <f t="shared" ref="J310:J322" si="83">G310</f>
        <v>1</v>
      </c>
      <c r="K310" s="49">
        <v>0</v>
      </c>
      <c r="L310" s="49" t="str">
        <f t="shared" ref="L310" si="84">IF(G310*K310&lt;&gt;0, TRUNC(G310*K310,1),"")</f>
        <v/>
      </c>
      <c r="M310" s="49">
        <f>[2]합산자재!J356</f>
        <v>0</v>
      </c>
      <c r="N310" s="49" t="str">
        <f t="shared" ref="N310" si="85">IF(G310*M310&lt;&gt;0, TRUNC(G310*M310,1),"")</f>
        <v/>
      </c>
      <c r="O310" s="49"/>
      <c r="P310" s="49">
        <f t="shared" ref="P310:P327" si="86">IF(SUM(I310,L310,N310)&lt;&gt;0,TRUNC(SUM(I310,L310,N310),1),"")</f>
        <v>963515</v>
      </c>
      <c r="Q310" s="78"/>
    </row>
    <row r="311" spans="1:31" ht="23.25" customHeight="1" x14ac:dyDescent="0.15">
      <c r="D311" s="140" t="s">
        <v>807</v>
      </c>
      <c r="E311" s="140" t="s">
        <v>1043</v>
      </c>
      <c r="F311" s="141" t="s">
        <v>190</v>
      </c>
      <c r="G311" s="142">
        <v>1</v>
      </c>
      <c r="H311" s="143">
        <v>4703</v>
      </c>
      <c r="I311" s="49">
        <f t="shared" si="82"/>
        <v>4703</v>
      </c>
      <c r="J311" s="49">
        <f t="shared" si="83"/>
        <v>1</v>
      </c>
      <c r="K311" s="49">
        <v>0</v>
      </c>
      <c r="L311" s="49"/>
      <c r="M311" s="49">
        <f>[2]합산자재!J357</f>
        <v>0</v>
      </c>
      <c r="N311" s="49"/>
      <c r="O311" s="49"/>
      <c r="P311" s="49">
        <f t="shared" si="86"/>
        <v>4703</v>
      </c>
      <c r="Q311" s="78"/>
    </row>
    <row r="312" spans="1:31" ht="23.25" customHeight="1" x14ac:dyDescent="0.15">
      <c r="D312" s="140" t="s">
        <v>807</v>
      </c>
      <c r="E312" s="140" t="s">
        <v>788</v>
      </c>
      <c r="F312" s="141" t="s">
        <v>190</v>
      </c>
      <c r="G312" s="142">
        <v>11</v>
      </c>
      <c r="H312" s="143">
        <v>220</v>
      </c>
      <c r="I312" s="49">
        <f t="shared" si="82"/>
        <v>2420</v>
      </c>
      <c r="J312" s="49">
        <f t="shared" si="83"/>
        <v>11</v>
      </c>
      <c r="K312" s="49">
        <v>0</v>
      </c>
      <c r="L312" s="49"/>
      <c r="M312" s="49">
        <f>[2]합산자재!J358</f>
        <v>0</v>
      </c>
      <c r="N312" s="49"/>
      <c r="O312" s="49"/>
      <c r="P312" s="49">
        <f t="shared" si="86"/>
        <v>2420</v>
      </c>
      <c r="Q312" s="78"/>
    </row>
    <row r="313" spans="1:31" ht="23.25" customHeight="1" x14ac:dyDescent="0.15">
      <c r="D313" s="140" t="s">
        <v>808</v>
      </c>
      <c r="E313" s="140" t="s">
        <v>1042</v>
      </c>
      <c r="F313" s="141" t="s">
        <v>190</v>
      </c>
      <c r="G313" s="142">
        <v>1</v>
      </c>
      <c r="H313" s="143">
        <v>2343</v>
      </c>
      <c r="I313" s="49">
        <f t="shared" si="82"/>
        <v>2343</v>
      </c>
      <c r="J313" s="49">
        <f t="shared" si="83"/>
        <v>1</v>
      </c>
      <c r="K313" s="49">
        <v>0</v>
      </c>
      <c r="L313" s="49"/>
      <c r="M313" s="49">
        <f>[2]합산자재!J359</f>
        <v>0</v>
      </c>
      <c r="N313" s="49"/>
      <c r="O313" s="49"/>
      <c r="P313" s="49">
        <f t="shared" si="86"/>
        <v>2343</v>
      </c>
      <c r="Q313" s="78"/>
    </row>
    <row r="314" spans="1:31" ht="23.25" customHeight="1" x14ac:dyDescent="0.15">
      <c r="A314" s="21" t="s">
        <v>494</v>
      </c>
      <c r="B314" s="21" t="s">
        <v>483</v>
      </c>
      <c r="C314" s="1" t="s">
        <v>218</v>
      </c>
      <c r="D314" s="140" t="s">
        <v>809</v>
      </c>
      <c r="E314" s="140" t="s">
        <v>1030</v>
      </c>
      <c r="F314" s="141" t="s">
        <v>190</v>
      </c>
      <c r="G314" s="142">
        <v>1</v>
      </c>
      <c r="H314" s="143">
        <v>10379</v>
      </c>
      <c r="I314" s="49">
        <f t="shared" si="82"/>
        <v>10379</v>
      </c>
      <c r="J314" s="49">
        <f t="shared" si="83"/>
        <v>1</v>
      </c>
      <c r="K314" s="49">
        <f>[2]합산자재!I326</f>
        <v>0</v>
      </c>
      <c r="L314" s="49" t="str">
        <f t="shared" ref="L314" si="87">IF(G314*K314&lt;&gt;0, TRUNC(G314*K314,1),"")</f>
        <v/>
      </c>
      <c r="M314" s="49">
        <f>[2]합산자재!J326</f>
        <v>0</v>
      </c>
      <c r="N314" s="49" t="str">
        <f t="shared" ref="N314" si="88">IF(G314*M314&lt;&gt;0, TRUNC(G314*M314,1),"")</f>
        <v/>
      </c>
      <c r="O314" s="49"/>
      <c r="P314" s="49">
        <f t="shared" si="86"/>
        <v>10379</v>
      </c>
      <c r="Q314" s="78"/>
    </row>
    <row r="315" spans="1:31" ht="23.25" customHeight="1" x14ac:dyDescent="0.15">
      <c r="D315" s="140" t="s">
        <v>1054</v>
      </c>
      <c r="E315" s="140" t="s">
        <v>1021</v>
      </c>
      <c r="F315" s="141" t="s">
        <v>172</v>
      </c>
      <c r="G315" s="142">
        <v>2.9</v>
      </c>
      <c r="H315" s="143">
        <v>21000</v>
      </c>
      <c r="I315" s="90">
        <f t="shared" si="82"/>
        <v>60900</v>
      </c>
      <c r="J315" s="49">
        <f t="shared" si="83"/>
        <v>2.9</v>
      </c>
      <c r="K315" s="49">
        <v>0</v>
      </c>
      <c r="L315" s="90"/>
      <c r="M315" s="49">
        <f>[2]합산자재!J334</f>
        <v>0</v>
      </c>
      <c r="N315" s="90"/>
      <c r="O315" s="49"/>
      <c r="P315" s="49">
        <f t="shared" si="86"/>
        <v>60900</v>
      </c>
      <c r="Q315" s="78"/>
    </row>
    <row r="316" spans="1:31" ht="23.25" customHeight="1" x14ac:dyDescent="0.15">
      <c r="A316" s="21" t="s">
        <v>489</v>
      </c>
      <c r="B316" s="21" t="s">
        <v>483</v>
      </c>
      <c r="C316" s="1" t="s">
        <v>241</v>
      </c>
      <c r="D316" s="140" t="s">
        <v>1049</v>
      </c>
      <c r="E316" s="140" t="s">
        <v>793</v>
      </c>
      <c r="F316" s="141" t="s">
        <v>172</v>
      </c>
      <c r="G316" s="142">
        <v>1.8</v>
      </c>
      <c r="H316" s="143">
        <v>14000</v>
      </c>
      <c r="I316" s="49">
        <f t="shared" si="82"/>
        <v>25200</v>
      </c>
      <c r="J316" s="49">
        <f t="shared" si="83"/>
        <v>1.8</v>
      </c>
      <c r="K316" s="49">
        <f>[2]합산자재!I340</f>
        <v>0</v>
      </c>
      <c r="L316" s="49" t="str">
        <f t="shared" ref="L316:L326" si="89">IF(G316*K316&lt;&gt;0, TRUNC(G316*K316,1),"")</f>
        <v/>
      </c>
      <c r="M316" s="49">
        <f>[2]합산자재!J340</f>
        <v>0</v>
      </c>
      <c r="N316" s="49" t="str">
        <f t="shared" ref="N316:N326" si="90">IF(G316*M316&lt;&gt;0, TRUNC(G316*M316,1),"")</f>
        <v/>
      </c>
      <c r="O316" s="49"/>
      <c r="P316" s="49">
        <f t="shared" si="86"/>
        <v>25200</v>
      </c>
      <c r="Q316" s="78"/>
      <c r="Z316" s="2" t="s">
        <v>490</v>
      </c>
    </row>
    <row r="317" spans="1:31" ht="23.25" customHeight="1" x14ac:dyDescent="0.15">
      <c r="A317" s="21" t="s">
        <v>491</v>
      </c>
      <c r="B317" s="21" t="s">
        <v>483</v>
      </c>
      <c r="C317" s="1" t="s">
        <v>334</v>
      </c>
      <c r="D317" s="140" t="s">
        <v>813</v>
      </c>
      <c r="E317" s="140" t="s">
        <v>794</v>
      </c>
      <c r="F317" s="141" t="s">
        <v>172</v>
      </c>
      <c r="G317" s="142">
        <v>2</v>
      </c>
      <c r="H317" s="143">
        <v>1320</v>
      </c>
      <c r="I317" s="49">
        <f t="shared" si="82"/>
        <v>2640</v>
      </c>
      <c r="J317" s="49">
        <f t="shared" si="83"/>
        <v>2</v>
      </c>
      <c r="K317" s="49">
        <f>[2]합산자재!I361</f>
        <v>0</v>
      </c>
      <c r="L317" s="49" t="str">
        <f t="shared" si="89"/>
        <v/>
      </c>
      <c r="M317" s="49">
        <f>[2]합산자재!J361</f>
        <v>0</v>
      </c>
      <c r="N317" s="49" t="str">
        <f t="shared" si="90"/>
        <v/>
      </c>
      <c r="O317" s="49"/>
      <c r="P317" s="49">
        <f t="shared" si="86"/>
        <v>2640</v>
      </c>
      <c r="Q317" s="78"/>
    </row>
    <row r="318" spans="1:31" ht="23.25" customHeight="1" x14ac:dyDescent="0.15">
      <c r="A318" s="21" t="s">
        <v>492</v>
      </c>
      <c r="B318" s="21" t="s">
        <v>483</v>
      </c>
      <c r="C318" s="1" t="s">
        <v>338</v>
      </c>
      <c r="D318" s="140" t="s">
        <v>814</v>
      </c>
      <c r="E318" s="140"/>
      <c r="F318" s="141" t="s">
        <v>815</v>
      </c>
      <c r="G318" s="142">
        <v>3.2</v>
      </c>
      <c r="H318" s="143">
        <v>1980</v>
      </c>
      <c r="I318" s="49">
        <f t="shared" si="82"/>
        <v>6336</v>
      </c>
      <c r="J318" s="49">
        <f t="shared" si="83"/>
        <v>3.2</v>
      </c>
      <c r="K318" s="49">
        <f>[2]합산자재!I362</f>
        <v>0</v>
      </c>
      <c r="L318" s="49" t="str">
        <f t="shared" si="89"/>
        <v/>
      </c>
      <c r="M318" s="49">
        <f>[2]합산자재!J362</f>
        <v>0</v>
      </c>
      <c r="N318" s="49" t="str">
        <f t="shared" si="90"/>
        <v/>
      </c>
      <c r="O318" s="49"/>
      <c r="P318" s="49">
        <f t="shared" si="86"/>
        <v>6336</v>
      </c>
      <c r="Q318" s="78"/>
    </row>
    <row r="319" spans="1:31" ht="23.25" customHeight="1" x14ac:dyDescent="0.15">
      <c r="A319" s="21" t="s">
        <v>488</v>
      </c>
      <c r="B319" s="21" t="s">
        <v>483</v>
      </c>
      <c r="C319" s="1" t="s">
        <v>220</v>
      </c>
      <c r="D319" s="140" t="s">
        <v>930</v>
      </c>
      <c r="E319" s="140" t="s">
        <v>931</v>
      </c>
      <c r="F319" s="141" t="s">
        <v>190</v>
      </c>
      <c r="G319" s="142">
        <v>1</v>
      </c>
      <c r="H319" s="143">
        <v>75000</v>
      </c>
      <c r="I319" s="90">
        <f t="shared" si="82"/>
        <v>75000</v>
      </c>
      <c r="J319" s="49">
        <f t="shared" si="83"/>
        <v>1</v>
      </c>
      <c r="K319" s="49">
        <f>[2]합산자재!I332</f>
        <v>0</v>
      </c>
      <c r="L319" s="90" t="str">
        <f t="shared" si="89"/>
        <v/>
      </c>
      <c r="M319" s="49">
        <f>[2]합산자재!J338</f>
        <v>0</v>
      </c>
      <c r="N319" s="90" t="str">
        <f t="shared" si="90"/>
        <v/>
      </c>
      <c r="O319" s="49"/>
      <c r="P319" s="49">
        <f t="shared" si="86"/>
        <v>75000</v>
      </c>
      <c r="Q319" s="78"/>
    </row>
    <row r="320" spans="1:31" ht="23.25" customHeight="1" x14ac:dyDescent="0.15">
      <c r="A320" s="21" t="s">
        <v>489</v>
      </c>
      <c r="B320" s="21" t="s">
        <v>483</v>
      </c>
      <c r="C320" s="1" t="s">
        <v>241</v>
      </c>
      <c r="D320" s="140" t="s">
        <v>1047</v>
      </c>
      <c r="E320" s="140" t="s">
        <v>1098</v>
      </c>
      <c r="F320" s="141" t="s">
        <v>190</v>
      </c>
      <c r="G320" s="142">
        <v>1</v>
      </c>
      <c r="H320" s="143">
        <v>57300</v>
      </c>
      <c r="I320" s="49">
        <f t="shared" si="82"/>
        <v>57300</v>
      </c>
      <c r="J320" s="49">
        <f t="shared" si="83"/>
        <v>1</v>
      </c>
      <c r="K320" s="49">
        <v>0</v>
      </c>
      <c r="L320" s="49" t="str">
        <f t="shared" si="89"/>
        <v/>
      </c>
      <c r="M320" s="49">
        <f>[2]합산자재!J345</f>
        <v>0</v>
      </c>
      <c r="N320" s="49" t="str">
        <f t="shared" si="90"/>
        <v/>
      </c>
      <c r="O320" s="49"/>
      <c r="P320" s="49">
        <f t="shared" si="86"/>
        <v>57300</v>
      </c>
      <c r="Q320" s="78"/>
      <c r="Z320" s="2" t="s">
        <v>490</v>
      </c>
    </row>
    <row r="321" spans="1:31" ht="23.25" customHeight="1" x14ac:dyDescent="0.15">
      <c r="A321" s="21" t="s">
        <v>491</v>
      </c>
      <c r="B321" s="21" t="s">
        <v>483</v>
      </c>
      <c r="C321" s="1" t="s">
        <v>334</v>
      </c>
      <c r="D321" s="140" t="s">
        <v>820</v>
      </c>
      <c r="E321" s="140" t="s">
        <v>798</v>
      </c>
      <c r="F321" s="141" t="s">
        <v>190</v>
      </c>
      <c r="G321" s="142">
        <v>8</v>
      </c>
      <c r="H321" s="143">
        <v>18000</v>
      </c>
      <c r="I321" s="49">
        <f t="shared" si="82"/>
        <v>144000</v>
      </c>
      <c r="J321" s="49">
        <f t="shared" si="83"/>
        <v>8</v>
      </c>
      <c r="K321" s="49">
        <f>[2]합산자재!I334</f>
        <v>0</v>
      </c>
      <c r="L321" s="49" t="str">
        <f t="shared" si="89"/>
        <v/>
      </c>
      <c r="M321" s="49">
        <f>[2]합산자재!J366</f>
        <v>0</v>
      </c>
      <c r="N321" s="49" t="str">
        <f t="shared" si="90"/>
        <v/>
      </c>
      <c r="O321" s="49"/>
      <c r="P321" s="49">
        <f t="shared" si="86"/>
        <v>144000</v>
      </c>
      <c r="Q321" s="78"/>
    </row>
    <row r="322" spans="1:31" ht="23.25" customHeight="1" x14ac:dyDescent="0.15">
      <c r="A322" s="21" t="s">
        <v>493</v>
      </c>
      <c r="B322" s="21" t="s">
        <v>483</v>
      </c>
      <c r="C322" s="1" t="s">
        <v>215</v>
      </c>
      <c r="D322" s="140" t="s">
        <v>820</v>
      </c>
      <c r="E322" s="140" t="s">
        <v>1025</v>
      </c>
      <c r="F322" s="141" t="s">
        <v>190</v>
      </c>
      <c r="G322" s="142">
        <v>1</v>
      </c>
      <c r="H322" s="143">
        <v>57300</v>
      </c>
      <c r="I322" s="49">
        <f t="shared" si="82"/>
        <v>57300</v>
      </c>
      <c r="J322" s="49">
        <f t="shared" si="83"/>
        <v>1</v>
      </c>
      <c r="K322" s="49">
        <f>[2]합산자재!I336</f>
        <v>0</v>
      </c>
      <c r="L322" s="49" t="str">
        <f t="shared" si="89"/>
        <v/>
      </c>
      <c r="M322" s="49">
        <f>[2]합산자재!J336</f>
        <v>0</v>
      </c>
      <c r="N322" s="49" t="str">
        <f t="shared" si="90"/>
        <v/>
      </c>
      <c r="O322" s="49"/>
      <c r="P322" s="49">
        <f t="shared" si="86"/>
        <v>57300</v>
      </c>
      <c r="Q322" s="78"/>
    </row>
    <row r="323" spans="1:31" ht="23.25" customHeight="1" x14ac:dyDescent="0.15">
      <c r="A323" s="21" t="s">
        <v>479</v>
      </c>
      <c r="B323" s="21" t="s">
        <v>483</v>
      </c>
      <c r="C323" s="1" t="s">
        <v>458</v>
      </c>
      <c r="D323" s="78" t="s">
        <v>459</v>
      </c>
      <c r="E323" s="78" t="s">
        <v>799</v>
      </c>
      <c r="F323" s="52" t="s">
        <v>461</v>
      </c>
      <c r="G323" s="49">
        <f>'일위노임 (2)'!G211</f>
        <v>0.41599999999999998</v>
      </c>
      <c r="H323" s="49">
        <f>[2]합산자재!H396</f>
        <v>0</v>
      </c>
      <c r="I323" s="49" t="str">
        <f t="shared" si="82"/>
        <v/>
      </c>
      <c r="J323" s="49">
        <f>G323</f>
        <v>0.41599999999999998</v>
      </c>
      <c r="K323" s="49">
        <v>122522</v>
      </c>
      <c r="L323" s="49">
        <f t="shared" si="89"/>
        <v>50969.1</v>
      </c>
      <c r="M323" s="49">
        <f>[2]합산자재!J396</f>
        <v>0</v>
      </c>
      <c r="N323" s="49" t="str">
        <f t="shared" si="90"/>
        <v/>
      </c>
      <c r="O323" s="49"/>
      <c r="P323" s="49">
        <f t="shared" si="86"/>
        <v>50969.1</v>
      </c>
      <c r="Q323" s="78"/>
      <c r="AE323" s="2">
        <f>L323</f>
        <v>50969.1</v>
      </c>
    </row>
    <row r="324" spans="1:31" ht="23.25" customHeight="1" x14ac:dyDescent="0.15">
      <c r="A324" s="21" t="s">
        <v>479</v>
      </c>
      <c r="B324" s="21" t="s">
        <v>483</v>
      </c>
      <c r="C324" s="1" t="s">
        <v>458</v>
      </c>
      <c r="D324" s="78" t="s">
        <v>459</v>
      </c>
      <c r="E324" s="78" t="s">
        <v>800</v>
      </c>
      <c r="F324" s="52" t="s">
        <v>461</v>
      </c>
      <c r="G324" s="49">
        <f>'일위노임 (2)'!G212</f>
        <v>1.73</v>
      </c>
      <c r="H324" s="49">
        <f>[2]합산자재!H397</f>
        <v>0</v>
      </c>
      <c r="I324" s="49" t="str">
        <f t="shared" si="82"/>
        <v/>
      </c>
      <c r="J324" s="49">
        <f t="shared" ref="J324" si="91">G324</f>
        <v>1.73</v>
      </c>
      <c r="K324" s="49">
        <v>99248</v>
      </c>
      <c r="L324" s="49">
        <f t="shared" si="89"/>
        <v>171699</v>
      </c>
      <c r="M324" s="49">
        <f>[2]합산자재!J397</f>
        <v>0</v>
      </c>
      <c r="N324" s="49" t="str">
        <f t="shared" si="90"/>
        <v/>
      </c>
      <c r="O324" s="49"/>
      <c r="P324" s="49">
        <f t="shared" si="86"/>
        <v>171699</v>
      </c>
      <c r="Q324" s="78"/>
      <c r="AE324" s="2">
        <f>L324</f>
        <v>171699</v>
      </c>
    </row>
    <row r="325" spans="1:31" ht="23.25" customHeight="1" x14ac:dyDescent="0.15">
      <c r="A325" s="21" t="s">
        <v>479</v>
      </c>
      <c r="B325" s="21" t="s">
        <v>483</v>
      </c>
      <c r="C325" s="1" t="s">
        <v>458</v>
      </c>
      <c r="D325" s="78" t="s">
        <v>459</v>
      </c>
      <c r="E325" s="78" t="s">
        <v>801</v>
      </c>
      <c r="F325" s="52" t="s">
        <v>461</v>
      </c>
      <c r="G325" s="49">
        <f t="shared" ref="G325" si="92">J325</f>
        <v>0</v>
      </c>
      <c r="H325" s="49">
        <f>[2]합산자재!H398</f>
        <v>0</v>
      </c>
      <c r="I325" s="49" t="str">
        <f t="shared" si="82"/>
        <v/>
      </c>
      <c r="J325" s="49">
        <v>0</v>
      </c>
      <c r="K325" s="49">
        <v>105323</v>
      </c>
      <c r="L325" s="49" t="str">
        <f t="shared" si="89"/>
        <v/>
      </c>
      <c r="M325" s="49">
        <f>[2]합산자재!J398</f>
        <v>0</v>
      </c>
      <c r="N325" s="49" t="str">
        <f t="shared" si="90"/>
        <v/>
      </c>
      <c r="O325" s="49"/>
      <c r="P325" s="49" t="str">
        <f t="shared" si="86"/>
        <v/>
      </c>
      <c r="Q325" s="78"/>
      <c r="AE325" s="2" t="str">
        <f>L325</f>
        <v/>
      </c>
    </row>
    <row r="326" spans="1:31" ht="23.25" customHeight="1" x14ac:dyDescent="0.15">
      <c r="A326" s="21" t="s">
        <v>479</v>
      </c>
      <c r="B326" s="21" t="s">
        <v>483</v>
      </c>
      <c r="C326" s="1" t="s">
        <v>458</v>
      </c>
      <c r="D326" s="78" t="s">
        <v>459</v>
      </c>
      <c r="E326" s="78" t="s">
        <v>802</v>
      </c>
      <c r="F326" s="52" t="s">
        <v>461</v>
      </c>
      <c r="G326" s="49">
        <f>'일위노임 (2)'!G213</f>
        <v>0.28199999999999997</v>
      </c>
      <c r="H326" s="49">
        <f>[2]합산자재!H399</f>
        <v>0</v>
      </c>
      <c r="I326" s="49" t="str">
        <f t="shared" si="82"/>
        <v/>
      </c>
      <c r="J326" s="49">
        <f t="shared" ref="J326" si="93">G326</f>
        <v>0.28199999999999997</v>
      </c>
      <c r="K326" s="49">
        <v>90694</v>
      </c>
      <c r="L326" s="49">
        <f t="shared" si="89"/>
        <v>25575.7</v>
      </c>
      <c r="M326" s="49">
        <f>[2]합산자재!J399</f>
        <v>0</v>
      </c>
      <c r="N326" s="49" t="str">
        <f t="shared" si="90"/>
        <v/>
      </c>
      <c r="O326" s="49"/>
      <c r="P326" s="49">
        <f t="shared" si="86"/>
        <v>25575.7</v>
      </c>
      <c r="Q326" s="78"/>
      <c r="AE326" s="2">
        <f>L326</f>
        <v>25575.7</v>
      </c>
    </row>
    <row r="327" spans="1:31" ht="23.25" customHeight="1" x14ac:dyDescent="0.15">
      <c r="B327" s="21" t="s">
        <v>499</v>
      </c>
      <c r="D327" s="78" t="s">
        <v>500</v>
      </c>
      <c r="E327" s="78"/>
      <c r="F327" s="52"/>
      <c r="G327" s="49"/>
      <c r="H327" s="49"/>
      <c r="I327" s="49">
        <f>TRUNC(SUM(I309:I326))</f>
        <v>1412036</v>
      </c>
      <c r="J327" s="49"/>
      <c r="K327" s="49"/>
      <c r="L327" s="49">
        <f>TRUNC(SUM(L309:L326))</f>
        <v>248243</v>
      </c>
      <c r="M327" s="49"/>
      <c r="N327" s="49">
        <f>TRUNC(SUM(N309:N326))</f>
        <v>0</v>
      </c>
      <c r="O327" s="49"/>
      <c r="P327" s="49">
        <f t="shared" si="86"/>
        <v>1660279</v>
      </c>
      <c r="Q327" s="78"/>
      <c r="AC327" s="2">
        <f>TRUNC(AE327*[2]옵션!$B$36/100,1)</f>
        <v>7447.2</v>
      </c>
      <c r="AD327" s="2">
        <f>TRUNC(SUM(L309:L323))</f>
        <v>50969</v>
      </c>
      <c r="AE327" s="2">
        <f>TRUNC(SUM(AE309:AE326))</f>
        <v>248243</v>
      </c>
    </row>
    <row r="328" spans="1:31" ht="23.25" customHeight="1" x14ac:dyDescent="0.15">
      <c r="D328" s="78"/>
      <c r="E328" s="78"/>
      <c r="F328" s="52"/>
      <c r="G328" s="49"/>
      <c r="H328" s="49"/>
      <c r="I328" s="49"/>
      <c r="J328" s="49"/>
      <c r="K328" s="49"/>
      <c r="L328" s="49"/>
      <c r="M328" s="49"/>
      <c r="N328" s="49"/>
      <c r="O328" s="49"/>
      <c r="P328" s="49"/>
      <c r="Q328" s="78"/>
    </row>
    <row r="329" spans="1:31" ht="23.25" customHeight="1" x14ac:dyDescent="0.15">
      <c r="D329" s="78"/>
      <c r="E329" s="78"/>
      <c r="F329" s="52"/>
      <c r="G329" s="49"/>
      <c r="H329" s="49"/>
      <c r="I329" s="49"/>
      <c r="J329" s="49"/>
      <c r="K329" s="49"/>
      <c r="L329" s="49"/>
      <c r="M329" s="49"/>
      <c r="N329" s="49"/>
      <c r="O329" s="49"/>
      <c r="P329" s="49"/>
      <c r="Q329" s="78"/>
    </row>
    <row r="330" spans="1:31" ht="23.25" customHeight="1" x14ac:dyDescent="0.15">
      <c r="D330" s="78"/>
      <c r="E330" s="78"/>
      <c r="F330" s="52"/>
      <c r="G330" s="49"/>
      <c r="H330" s="49"/>
      <c r="I330" s="49"/>
      <c r="J330" s="49"/>
      <c r="K330" s="49"/>
      <c r="L330" s="49"/>
      <c r="M330" s="49"/>
      <c r="N330" s="49"/>
      <c r="O330" s="49"/>
      <c r="P330" s="49"/>
      <c r="Q330" s="78"/>
    </row>
    <row r="331" spans="1:31" ht="23.25" customHeight="1" x14ac:dyDescent="0.15">
      <c r="D331" s="78"/>
      <c r="E331" s="78"/>
      <c r="F331" s="52"/>
      <c r="G331" s="49"/>
      <c r="H331" s="49"/>
      <c r="I331" s="49"/>
      <c r="J331" s="49"/>
      <c r="K331" s="49"/>
      <c r="L331" s="49"/>
      <c r="M331" s="49"/>
      <c r="N331" s="49"/>
      <c r="O331" s="49"/>
      <c r="P331" s="49"/>
      <c r="Q331" s="78"/>
    </row>
    <row r="332" spans="1:31" ht="23.25" customHeight="1" x14ac:dyDescent="0.15">
      <c r="D332" s="78"/>
      <c r="E332" s="78"/>
      <c r="F332" s="52"/>
      <c r="G332" s="49"/>
      <c r="H332" s="49"/>
      <c r="I332" s="49"/>
      <c r="J332" s="49"/>
      <c r="K332" s="49"/>
      <c r="L332" s="49"/>
      <c r="M332" s="49"/>
      <c r="N332" s="49"/>
      <c r="O332" s="49"/>
      <c r="P332" s="49"/>
      <c r="Q332" s="78"/>
    </row>
    <row r="333" spans="1:31" ht="23.25" customHeight="1" x14ac:dyDescent="0.15">
      <c r="D333" s="78"/>
      <c r="E333" s="78"/>
      <c r="F333" s="52"/>
      <c r="G333" s="49"/>
      <c r="H333" s="49"/>
      <c r="I333" s="49"/>
      <c r="J333" s="49"/>
      <c r="K333" s="49"/>
      <c r="L333" s="49"/>
      <c r="M333" s="49"/>
      <c r="N333" s="49"/>
      <c r="O333" s="49"/>
      <c r="P333" s="49"/>
      <c r="Q333" s="78"/>
    </row>
    <row r="334" spans="1:31" ht="23.25" customHeight="1" x14ac:dyDescent="0.15">
      <c r="D334" s="78"/>
      <c r="E334" s="78"/>
      <c r="F334" s="52"/>
      <c r="G334" s="49"/>
      <c r="H334" s="49"/>
      <c r="I334" s="49"/>
      <c r="J334" s="49"/>
      <c r="K334" s="49"/>
      <c r="L334" s="49"/>
      <c r="M334" s="49"/>
      <c r="N334" s="49"/>
      <c r="O334" s="49"/>
      <c r="P334" s="49"/>
      <c r="Q334" s="78"/>
    </row>
    <row r="335" spans="1:31" ht="23.25" customHeight="1" x14ac:dyDescent="0.15">
      <c r="D335" s="78"/>
      <c r="E335" s="78"/>
      <c r="F335" s="52"/>
      <c r="G335" s="49"/>
      <c r="H335" s="49"/>
      <c r="I335" s="49"/>
      <c r="J335" s="49"/>
      <c r="K335" s="49"/>
      <c r="L335" s="49"/>
      <c r="M335" s="49"/>
      <c r="N335" s="49"/>
      <c r="O335" s="49"/>
      <c r="P335" s="49"/>
      <c r="Q335" s="78"/>
    </row>
    <row r="336" spans="1:31" ht="23.25" customHeight="1" x14ac:dyDescent="0.15">
      <c r="D336" s="78"/>
      <c r="E336" s="78"/>
      <c r="F336" s="52"/>
      <c r="G336" s="49"/>
      <c r="H336" s="49"/>
      <c r="I336" s="49"/>
      <c r="J336" s="49"/>
      <c r="K336" s="49"/>
      <c r="L336" s="49"/>
      <c r="M336" s="49"/>
      <c r="N336" s="49"/>
      <c r="O336" s="49"/>
      <c r="P336" s="49"/>
      <c r="Q336" s="78"/>
    </row>
    <row r="337" spans="4:17" ht="23.25" customHeight="1" x14ac:dyDescent="0.15">
      <c r="D337" s="78"/>
      <c r="E337" s="78"/>
      <c r="F337" s="52"/>
      <c r="G337" s="49"/>
      <c r="H337" s="49"/>
      <c r="I337" s="49"/>
      <c r="J337" s="49"/>
      <c r="K337" s="49"/>
      <c r="L337" s="49"/>
      <c r="M337" s="49"/>
      <c r="N337" s="49"/>
      <c r="O337" s="49"/>
      <c r="P337" s="49"/>
      <c r="Q337" s="78"/>
    </row>
    <row r="338" spans="4:17" ht="23.25" customHeight="1" x14ac:dyDescent="0.15">
      <c r="D338" s="78"/>
      <c r="E338" s="78"/>
      <c r="F338" s="52"/>
      <c r="G338" s="49"/>
      <c r="H338" s="49"/>
      <c r="I338" s="49"/>
      <c r="J338" s="49"/>
      <c r="K338" s="49"/>
      <c r="L338" s="49"/>
      <c r="M338" s="49"/>
      <c r="N338" s="49"/>
      <c r="O338" s="49"/>
      <c r="P338" s="49"/>
      <c r="Q338" s="78"/>
    </row>
    <row r="339" spans="4:17" ht="23.25" customHeight="1" x14ac:dyDescent="0.15">
      <c r="D339" s="78"/>
      <c r="E339" s="78"/>
      <c r="F339" s="52"/>
      <c r="G339" s="49"/>
      <c r="H339" s="49"/>
      <c r="I339" s="49"/>
      <c r="J339" s="49"/>
      <c r="K339" s="49"/>
      <c r="L339" s="49"/>
      <c r="M339" s="49"/>
      <c r="N339" s="49"/>
      <c r="O339" s="49"/>
      <c r="P339" s="49"/>
      <c r="Q339" s="78"/>
    </row>
    <row r="340" spans="4:17" ht="23.25" customHeight="1" x14ac:dyDescent="0.15">
      <c r="D340" s="78"/>
      <c r="E340" s="78"/>
      <c r="F340" s="52"/>
      <c r="G340" s="49"/>
      <c r="H340" s="49"/>
      <c r="I340" s="49"/>
      <c r="J340" s="49"/>
      <c r="K340" s="49"/>
      <c r="L340" s="49"/>
      <c r="M340" s="49"/>
      <c r="N340" s="49"/>
      <c r="O340" s="49"/>
      <c r="P340" s="49"/>
      <c r="Q340" s="78"/>
    </row>
    <row r="341" spans="4:17" ht="23.25" customHeight="1" x14ac:dyDescent="0.15">
      <c r="D341" s="78"/>
      <c r="E341" s="78"/>
      <c r="F341" s="52"/>
      <c r="G341" s="49"/>
      <c r="H341" s="49"/>
      <c r="I341" s="49"/>
      <c r="J341" s="49"/>
      <c r="K341" s="49"/>
      <c r="L341" s="49"/>
      <c r="M341" s="49"/>
      <c r="N341" s="49"/>
      <c r="O341" s="49"/>
      <c r="P341" s="49"/>
      <c r="Q341" s="78"/>
    </row>
    <row r="342" spans="4:17" ht="23.25" customHeight="1" x14ac:dyDescent="0.15">
      <c r="D342" s="78"/>
      <c r="E342" s="78"/>
      <c r="F342" s="52"/>
      <c r="G342" s="49"/>
      <c r="H342" s="49"/>
      <c r="I342" s="49"/>
      <c r="J342" s="49"/>
      <c r="K342" s="49"/>
      <c r="L342" s="49"/>
      <c r="M342" s="49"/>
      <c r="N342" s="49"/>
      <c r="O342" s="49"/>
      <c r="P342" s="49"/>
      <c r="Q342" s="78"/>
    </row>
    <row r="343" spans="4:17" ht="23.25" customHeight="1" x14ac:dyDescent="0.15">
      <c r="D343" s="78"/>
      <c r="E343" s="78"/>
      <c r="F343" s="52"/>
      <c r="G343" s="49"/>
      <c r="H343" s="49"/>
      <c r="I343" s="49"/>
      <c r="J343" s="49"/>
      <c r="K343" s="49"/>
      <c r="L343" s="49"/>
      <c r="M343" s="49"/>
      <c r="N343" s="49"/>
      <c r="O343" s="49"/>
      <c r="P343" s="49"/>
      <c r="Q343" s="78"/>
    </row>
    <row r="344" spans="4:17" ht="23.25" customHeight="1" x14ac:dyDescent="0.15">
      <c r="D344" s="78"/>
      <c r="E344" s="78"/>
      <c r="F344" s="52"/>
      <c r="G344" s="49"/>
      <c r="H344" s="49"/>
      <c r="I344" s="49"/>
      <c r="J344" s="49"/>
      <c r="K344" s="49"/>
      <c r="L344" s="49"/>
      <c r="M344" s="49"/>
      <c r="N344" s="49"/>
      <c r="O344" s="49"/>
      <c r="P344" s="49"/>
      <c r="Q344" s="78"/>
    </row>
    <row r="345" spans="4:17" ht="23.25" customHeight="1" x14ac:dyDescent="0.15">
      <c r="D345" s="78"/>
      <c r="E345" s="78"/>
      <c r="F345" s="52"/>
      <c r="G345" s="49"/>
      <c r="H345" s="49"/>
      <c r="I345" s="49"/>
      <c r="J345" s="49"/>
      <c r="K345" s="49"/>
      <c r="L345" s="49"/>
      <c r="M345" s="49"/>
      <c r="N345" s="49"/>
      <c r="O345" s="49"/>
      <c r="P345" s="49"/>
      <c r="Q345" s="78"/>
    </row>
    <row r="346" spans="4:17" ht="23.25" customHeight="1" x14ac:dyDescent="0.15">
      <c r="D346" s="78"/>
      <c r="E346" s="78"/>
      <c r="F346" s="52"/>
      <c r="G346" s="49"/>
      <c r="H346" s="49"/>
      <c r="I346" s="49"/>
      <c r="J346" s="49"/>
      <c r="K346" s="49"/>
      <c r="L346" s="49"/>
      <c r="M346" s="49"/>
      <c r="N346" s="49"/>
      <c r="O346" s="49"/>
      <c r="P346" s="49"/>
      <c r="Q346" s="78"/>
    </row>
    <row r="347" spans="4:17" ht="23.25" customHeight="1" x14ac:dyDescent="0.15">
      <c r="D347" s="78"/>
      <c r="E347" s="78"/>
      <c r="F347" s="52"/>
      <c r="G347" s="49"/>
      <c r="H347" s="49"/>
      <c r="I347" s="49"/>
      <c r="J347" s="49"/>
      <c r="K347" s="49"/>
      <c r="L347" s="49"/>
      <c r="M347" s="49"/>
      <c r="N347" s="49"/>
      <c r="O347" s="49"/>
      <c r="P347" s="49"/>
      <c r="Q347" s="78"/>
    </row>
  </sheetData>
  <mergeCells count="30">
    <mergeCell ref="D13:Q13"/>
    <mergeCell ref="D1:Q1"/>
    <mergeCell ref="W1:Y1"/>
    <mergeCell ref="A2:A3"/>
    <mergeCell ref="B2:B3"/>
    <mergeCell ref="C2:C3"/>
    <mergeCell ref="D2:D3"/>
    <mergeCell ref="E2:E3"/>
    <mergeCell ref="F2:F3"/>
    <mergeCell ref="G2:G3"/>
    <mergeCell ref="H2:I2"/>
    <mergeCell ref="J2:L2"/>
    <mergeCell ref="M2:N2"/>
    <mergeCell ref="P2:P3"/>
    <mergeCell ref="Q2:Q3"/>
    <mergeCell ref="D4:Q4"/>
    <mergeCell ref="D128:Q128"/>
    <mergeCell ref="D179:Q179"/>
    <mergeCell ref="D180:Q180"/>
    <mergeCell ref="D14:Q14"/>
    <mergeCell ref="D31:Q31"/>
    <mergeCell ref="D32:Q32"/>
    <mergeCell ref="D58:Q58"/>
    <mergeCell ref="D59:Q59"/>
    <mergeCell ref="D127:Q127"/>
    <mergeCell ref="D309:Q309"/>
    <mergeCell ref="D232:Q232"/>
    <mergeCell ref="D253:Q253"/>
    <mergeCell ref="D271:Q271"/>
    <mergeCell ref="D288:Q288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A240"/>
  <sheetViews>
    <sheetView view="pageBreakPreview" topLeftCell="D1" zoomScale="60" zoomScaleNormal="100" workbookViewId="0">
      <pane ySplit="3" topLeftCell="A148" activePane="bottomLeft" state="frozen"/>
      <selection activeCell="E9" sqref="E9"/>
      <selection pane="bottomLeft" activeCell="D2" sqref="D2:D3"/>
    </sheetView>
  </sheetViews>
  <sheetFormatPr defaultRowHeight="21.95" customHeight="1" x14ac:dyDescent="0.15"/>
  <cols>
    <col min="1" max="1" width="4.6640625" style="2" hidden="1" customWidth="1"/>
    <col min="2" max="2" width="6.5546875" style="21" hidden="1" customWidth="1"/>
    <col min="3" max="3" width="10.77734375" style="21" hidden="1" customWidth="1"/>
    <col min="4" max="5" width="24.33203125" style="21" customWidth="1"/>
    <col min="6" max="6" width="4.5546875" style="47" customWidth="1"/>
    <col min="7" max="7" width="10.109375" style="47" customWidth="1"/>
    <col min="8" max="8" width="9.33203125" style="47" customWidth="1"/>
    <col min="9" max="9" width="10" style="47" customWidth="1"/>
    <col min="10" max="10" width="5.21875" style="47" customWidth="1"/>
    <col min="11" max="11" width="4.77734375" style="21" hidden="1" customWidth="1"/>
    <col min="12" max="12" width="14.109375" style="47" customWidth="1"/>
    <col min="13" max="13" width="7.21875" style="47" customWidth="1"/>
    <col min="14" max="14" width="5.44140625" style="47" customWidth="1"/>
    <col min="15" max="15" width="8.77734375" style="47" customWidth="1"/>
    <col min="16" max="16" width="2.44140625" style="63" hidden="1" customWidth="1"/>
    <col min="17" max="17" width="1.21875" style="63" hidden="1" customWidth="1"/>
    <col min="18" max="18" width="5.109375" style="63" hidden="1" customWidth="1"/>
    <col min="19" max="19" width="9.21875" style="2" customWidth="1"/>
    <col min="20" max="20" width="11.109375" style="2" customWidth="1"/>
    <col min="21" max="29" width="8.88671875" style="2"/>
    <col min="30" max="55" width="11.77734375" style="2" customWidth="1"/>
    <col min="56" max="16384" width="8.88671875" style="2"/>
  </cols>
  <sheetData>
    <row r="1" spans="1:27" ht="21.95" customHeight="1" x14ac:dyDescent="0.15">
      <c r="A1" s="2" t="s">
        <v>473</v>
      </c>
      <c r="B1" s="21" t="s">
        <v>481</v>
      </c>
      <c r="D1" s="278" t="s">
        <v>1140</v>
      </c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AA1" s="2" t="s">
        <v>460</v>
      </c>
    </row>
    <row r="2" spans="1:27" s="137" customFormat="1" ht="21.95" customHeight="1" x14ac:dyDescent="0.15">
      <c r="A2" s="281" t="s">
        <v>748</v>
      </c>
      <c r="B2" s="270" t="s">
        <v>886</v>
      </c>
      <c r="C2" s="270" t="s">
        <v>750</v>
      </c>
      <c r="D2" s="271" t="s">
        <v>751</v>
      </c>
      <c r="E2" s="271" t="s">
        <v>752</v>
      </c>
      <c r="F2" s="274" t="s">
        <v>753</v>
      </c>
      <c r="G2" s="274" t="s">
        <v>754</v>
      </c>
      <c r="H2" s="274"/>
      <c r="I2" s="274"/>
      <c r="J2" s="274"/>
      <c r="K2" s="271" t="s">
        <v>750</v>
      </c>
      <c r="L2" s="274" t="s">
        <v>887</v>
      </c>
      <c r="M2" s="274"/>
      <c r="N2" s="274"/>
      <c r="O2" s="274"/>
      <c r="P2" s="274" t="s">
        <v>888</v>
      </c>
      <c r="Q2" s="274"/>
      <c r="R2" s="274"/>
      <c r="S2" s="282" t="s">
        <v>889</v>
      </c>
      <c r="T2" s="282" t="s">
        <v>890</v>
      </c>
    </row>
    <row r="3" spans="1:27" s="137" customFormat="1" ht="21.95" customHeight="1" x14ac:dyDescent="0.15">
      <c r="A3" s="281"/>
      <c r="B3" s="270"/>
      <c r="C3" s="270"/>
      <c r="D3" s="272"/>
      <c r="E3" s="272"/>
      <c r="F3" s="275"/>
      <c r="G3" s="134" t="s">
        <v>891</v>
      </c>
      <c r="H3" s="134" t="s">
        <v>892</v>
      </c>
      <c r="I3" s="134" t="s">
        <v>893</v>
      </c>
      <c r="J3" s="134" t="s">
        <v>894</v>
      </c>
      <c r="K3" s="284"/>
      <c r="L3" s="134" t="s">
        <v>895</v>
      </c>
      <c r="M3" s="134" t="s">
        <v>896</v>
      </c>
      <c r="N3" s="134" t="s">
        <v>897</v>
      </c>
      <c r="O3" s="134" t="s">
        <v>898</v>
      </c>
      <c r="P3" s="134" t="s">
        <v>899</v>
      </c>
      <c r="Q3" s="134" t="s">
        <v>900</v>
      </c>
      <c r="R3" s="134" t="s">
        <v>901</v>
      </c>
      <c r="S3" s="283"/>
      <c r="T3" s="283"/>
    </row>
    <row r="4" spans="1:27" ht="21.95" customHeight="1" x14ac:dyDescent="0.15">
      <c r="B4" s="21" t="s">
        <v>477</v>
      </c>
      <c r="D4" s="288" t="s">
        <v>1003</v>
      </c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89"/>
      <c r="R4" s="289"/>
      <c r="S4" s="289"/>
      <c r="T4" s="290"/>
    </row>
    <row r="5" spans="1:27" ht="21.95" customHeight="1" x14ac:dyDescent="0.15">
      <c r="B5" s="21" t="s">
        <v>478</v>
      </c>
      <c r="C5" s="21" t="s">
        <v>241</v>
      </c>
      <c r="D5" s="78" t="s">
        <v>242</v>
      </c>
      <c r="E5" s="78" t="s">
        <v>243</v>
      </c>
      <c r="F5" s="49" t="s">
        <v>190</v>
      </c>
      <c r="G5" s="49">
        <v>2</v>
      </c>
      <c r="H5" s="49">
        <f>IF(I5&lt;&gt;0,G5-I5,"")</f>
        <v>0</v>
      </c>
      <c r="I5" s="49">
        <v>2</v>
      </c>
      <c r="J5" s="49"/>
      <c r="K5" s="78" t="s">
        <v>479</v>
      </c>
      <c r="L5" s="49" t="s">
        <v>460</v>
      </c>
      <c r="M5" s="49">
        <v>3.5999999999999997E-2</v>
      </c>
      <c r="N5" s="49">
        <v>150</v>
      </c>
      <c r="O5" s="49">
        <f>IF(I5*M5=0,"",I5*M5*(N5/100))</f>
        <v>0.10799999999999998</v>
      </c>
      <c r="P5" s="64"/>
      <c r="Q5" s="64"/>
      <c r="R5" s="64"/>
      <c r="S5" s="18" t="s">
        <v>480</v>
      </c>
      <c r="T5" s="18"/>
      <c r="AA5" s="2">
        <f>O5</f>
        <v>0.10799999999999998</v>
      </c>
    </row>
    <row r="6" spans="1:27" ht="21.95" customHeight="1" x14ac:dyDescent="0.15">
      <c r="B6" s="21" t="s">
        <v>478</v>
      </c>
      <c r="C6" s="21" t="s">
        <v>458</v>
      </c>
      <c r="D6" s="78" t="s">
        <v>459</v>
      </c>
      <c r="E6" s="78" t="s">
        <v>460</v>
      </c>
      <c r="F6" s="49" t="s">
        <v>461</v>
      </c>
      <c r="G6" s="49">
        <f>IF(H6*I6/100 &lt;1, TRUNC(H6*I6/100, [2]옵션!$E$13), TRUNC(H6*I6/100, [2]옵션!$E$13))</f>
        <v>0.108</v>
      </c>
      <c r="H6" s="49">
        <f>[2]옵션!$B$13</f>
        <v>100</v>
      </c>
      <c r="I6" s="49">
        <f>SUM(AA5:AA5)</f>
        <v>0.10799999999999998</v>
      </c>
      <c r="J6" s="49"/>
      <c r="K6" s="78"/>
      <c r="L6" s="49"/>
      <c r="M6" s="49"/>
      <c r="N6" s="49"/>
      <c r="O6" s="49" t="str">
        <f>IF(I6*M6=0,"",I6*M6*(N6/100))</f>
        <v/>
      </c>
      <c r="P6" s="64"/>
      <c r="Q6" s="64"/>
      <c r="R6" s="64"/>
      <c r="S6" s="18"/>
      <c r="T6" s="18"/>
      <c r="AA6" s="2">
        <f>SUM(AA5:AA5)</f>
        <v>0.10799999999999998</v>
      </c>
    </row>
    <row r="7" spans="1:27" ht="21.95" customHeight="1" x14ac:dyDescent="0.15">
      <c r="D7" s="78"/>
      <c r="E7" s="78"/>
      <c r="F7" s="49"/>
      <c r="G7" s="49"/>
      <c r="H7" s="49"/>
      <c r="I7" s="49"/>
      <c r="J7" s="49"/>
      <c r="K7" s="78"/>
      <c r="L7" s="49"/>
      <c r="M7" s="49"/>
      <c r="N7" s="49"/>
      <c r="O7" s="49"/>
      <c r="P7" s="64"/>
      <c r="Q7" s="64"/>
      <c r="R7" s="64"/>
      <c r="S7" s="18"/>
      <c r="T7" s="18"/>
    </row>
    <row r="8" spans="1:27" ht="21.95" customHeight="1" x14ac:dyDescent="0.15">
      <c r="D8" s="149" t="s">
        <v>1002</v>
      </c>
      <c r="E8" s="78"/>
      <c r="F8" s="49"/>
      <c r="G8" s="49"/>
      <c r="H8" s="49"/>
      <c r="I8" s="49"/>
      <c r="J8" s="49"/>
      <c r="K8" s="78"/>
      <c r="L8" s="49"/>
      <c r="M8" s="49"/>
      <c r="N8" s="49"/>
      <c r="O8" s="49"/>
      <c r="P8" s="64"/>
      <c r="Q8" s="64"/>
      <c r="R8" s="64"/>
      <c r="S8" s="18"/>
      <c r="T8" s="18"/>
    </row>
    <row r="9" spans="1:27" ht="21.95" customHeight="1" x14ac:dyDescent="0.15">
      <c r="D9" s="78" t="s">
        <v>920</v>
      </c>
      <c r="E9" s="78" t="s">
        <v>921</v>
      </c>
      <c r="F9" s="148" t="s">
        <v>172</v>
      </c>
      <c r="G9" s="49">
        <f>I9</f>
        <v>2.2000000000000002</v>
      </c>
      <c r="H9" s="49"/>
      <c r="I9" s="49">
        <f>'일위대가 (2)'!G20</f>
        <v>2.2000000000000002</v>
      </c>
      <c r="J9" s="49"/>
      <c r="K9" s="78"/>
      <c r="L9" s="49" t="s">
        <v>936</v>
      </c>
      <c r="M9" s="49">
        <v>0.08</v>
      </c>
      <c r="N9" s="49">
        <v>100</v>
      </c>
      <c r="O9" s="49">
        <f>M9*G9</f>
        <v>0.17600000000000002</v>
      </c>
      <c r="P9" s="64"/>
      <c r="Q9" s="64"/>
      <c r="R9" s="64"/>
      <c r="S9" s="18" t="s">
        <v>937</v>
      </c>
      <c r="T9" s="18"/>
    </row>
    <row r="10" spans="1:27" ht="21.95" customHeight="1" x14ac:dyDescent="0.15">
      <c r="D10" s="78"/>
      <c r="E10" s="78"/>
      <c r="F10" s="148"/>
      <c r="G10" s="49"/>
      <c r="H10" s="49"/>
      <c r="I10" s="49"/>
      <c r="J10" s="49"/>
      <c r="K10" s="78"/>
      <c r="L10" s="49" t="s">
        <v>938</v>
      </c>
      <c r="M10" s="49">
        <v>0.06</v>
      </c>
      <c r="N10" s="49">
        <v>100</v>
      </c>
      <c r="O10" s="49">
        <f>M10*G9</f>
        <v>0.13200000000000001</v>
      </c>
      <c r="P10" s="64"/>
      <c r="Q10" s="64"/>
      <c r="R10" s="64"/>
      <c r="S10" s="18" t="s">
        <v>937</v>
      </c>
      <c r="T10" s="18"/>
    </row>
    <row r="11" spans="1:27" ht="21.95" customHeight="1" x14ac:dyDescent="0.15">
      <c r="D11" s="78" t="s">
        <v>924</v>
      </c>
      <c r="E11" s="78" t="s">
        <v>921</v>
      </c>
      <c r="F11" s="148" t="s">
        <v>172</v>
      </c>
      <c r="G11" s="49">
        <f>I11</f>
        <v>2.88</v>
      </c>
      <c r="H11" s="49"/>
      <c r="I11" s="49">
        <f>'일위대가 (2)'!G21</f>
        <v>2.88</v>
      </c>
      <c r="J11" s="49"/>
      <c r="K11" s="78"/>
      <c r="L11" s="49" t="s">
        <v>936</v>
      </c>
      <c r="M11" s="49">
        <v>0.08</v>
      </c>
      <c r="N11" s="49">
        <v>100</v>
      </c>
      <c r="O11" s="49">
        <f>M11*G11</f>
        <v>0.23039999999999999</v>
      </c>
      <c r="P11" s="64"/>
      <c r="Q11" s="64"/>
      <c r="R11" s="64"/>
      <c r="S11" s="18" t="s">
        <v>937</v>
      </c>
      <c r="T11" s="18"/>
    </row>
    <row r="12" spans="1:27" ht="21.95" customHeight="1" x14ac:dyDescent="0.15">
      <c r="D12" s="78"/>
      <c r="E12" s="78"/>
      <c r="F12" s="148"/>
      <c r="G12" s="49"/>
      <c r="H12" s="49"/>
      <c r="I12" s="49"/>
      <c r="J12" s="49"/>
      <c r="K12" s="78"/>
      <c r="L12" s="49" t="s">
        <v>938</v>
      </c>
      <c r="M12" s="49">
        <v>0.06</v>
      </c>
      <c r="N12" s="49">
        <v>100</v>
      </c>
      <c r="O12" s="49">
        <f>M12*G11</f>
        <v>0.17279999999999998</v>
      </c>
      <c r="P12" s="64"/>
      <c r="Q12" s="64"/>
      <c r="R12" s="64"/>
      <c r="S12" s="18" t="s">
        <v>937</v>
      </c>
      <c r="T12" s="18"/>
    </row>
    <row r="13" spans="1:27" ht="21.95" customHeight="1" x14ac:dyDescent="0.15">
      <c r="D13" s="78" t="s">
        <v>926</v>
      </c>
      <c r="E13" s="78" t="s">
        <v>928</v>
      </c>
      <c r="F13" s="148" t="s">
        <v>172</v>
      </c>
      <c r="G13" s="49">
        <f>I13</f>
        <v>5.08</v>
      </c>
      <c r="H13" s="49"/>
      <c r="I13" s="49">
        <f>'일위대가 (2)'!G22</f>
        <v>5.08</v>
      </c>
      <c r="J13" s="49"/>
      <c r="K13" s="78"/>
      <c r="L13" s="49" t="s">
        <v>936</v>
      </c>
      <c r="M13" s="49">
        <v>0.02</v>
      </c>
      <c r="N13" s="49">
        <v>100</v>
      </c>
      <c r="O13" s="49">
        <f>M13*G13</f>
        <v>0.10160000000000001</v>
      </c>
      <c r="P13" s="64"/>
      <c r="Q13" s="64"/>
      <c r="R13" s="64"/>
      <c r="S13" s="18" t="s">
        <v>939</v>
      </c>
      <c r="T13" s="18"/>
    </row>
    <row r="14" spans="1:27" ht="21.95" customHeight="1" x14ac:dyDescent="0.15">
      <c r="D14" s="78" t="s">
        <v>930</v>
      </c>
      <c r="E14" s="78" t="s">
        <v>931</v>
      </c>
      <c r="F14" s="49" t="s">
        <v>190</v>
      </c>
      <c r="G14" s="49">
        <f>I14</f>
        <v>5</v>
      </c>
      <c r="H14" s="49"/>
      <c r="I14" s="49">
        <f>'일위대가 (2)'!G24</f>
        <v>5</v>
      </c>
      <c r="J14" s="49"/>
      <c r="K14" s="78"/>
      <c r="L14" s="49" t="s">
        <v>940</v>
      </c>
      <c r="M14" s="49">
        <v>0.33</v>
      </c>
      <c r="N14" s="49">
        <v>100</v>
      </c>
      <c r="O14" s="49">
        <f>M14*G14</f>
        <v>1.6500000000000001</v>
      </c>
      <c r="P14" s="64"/>
      <c r="Q14" s="64"/>
      <c r="R14" s="64"/>
      <c r="S14" s="18" t="s">
        <v>941</v>
      </c>
      <c r="T14" s="18"/>
    </row>
    <row r="15" spans="1:27" ht="21.95" customHeight="1" x14ac:dyDescent="0.15">
      <c r="D15" s="78" t="s">
        <v>933</v>
      </c>
      <c r="E15" s="78" t="s">
        <v>935</v>
      </c>
      <c r="F15" s="49" t="s">
        <v>190</v>
      </c>
      <c r="G15" s="49">
        <f>I15</f>
        <v>8</v>
      </c>
      <c r="H15" s="49"/>
      <c r="I15" s="49">
        <f>'일위대가 (2)'!G25</f>
        <v>8</v>
      </c>
      <c r="J15" s="49"/>
      <c r="K15" s="78"/>
      <c r="L15" s="49" t="s">
        <v>940</v>
      </c>
      <c r="M15" s="49">
        <v>0.13</v>
      </c>
      <c r="N15" s="49">
        <v>100</v>
      </c>
      <c r="O15" s="49">
        <f>M15*G15</f>
        <v>1.04</v>
      </c>
      <c r="P15" s="64"/>
      <c r="Q15" s="64"/>
      <c r="R15" s="64"/>
      <c r="S15" s="18" t="s">
        <v>941</v>
      </c>
      <c r="T15" s="18"/>
    </row>
    <row r="16" spans="1:27" ht="21.95" customHeight="1" x14ac:dyDescent="0.15">
      <c r="D16" s="78" t="s">
        <v>459</v>
      </c>
      <c r="E16" s="49" t="s">
        <v>936</v>
      </c>
      <c r="F16" s="49" t="s">
        <v>461</v>
      </c>
      <c r="G16" s="49">
        <f>O9+O11+O13</f>
        <v>0.50800000000000001</v>
      </c>
      <c r="H16" s="49"/>
      <c r="I16" s="49"/>
      <c r="J16" s="49"/>
      <c r="K16" s="78"/>
      <c r="L16" s="49"/>
      <c r="M16" s="49"/>
      <c r="N16" s="49"/>
      <c r="O16" s="49"/>
      <c r="P16" s="64"/>
      <c r="Q16" s="64"/>
      <c r="R16" s="64"/>
      <c r="S16" s="18"/>
      <c r="T16" s="18"/>
    </row>
    <row r="17" spans="4:20" ht="21.95" customHeight="1" x14ac:dyDescent="0.15">
      <c r="D17" s="78"/>
      <c r="E17" s="49" t="s">
        <v>940</v>
      </c>
      <c r="F17" s="49" t="s">
        <v>461</v>
      </c>
      <c r="G17" s="49">
        <f>O14+O15</f>
        <v>2.6900000000000004</v>
      </c>
      <c r="H17" s="49"/>
      <c r="I17" s="49"/>
      <c r="J17" s="49"/>
      <c r="K17" s="78"/>
      <c r="L17" s="49"/>
      <c r="M17" s="49"/>
      <c r="N17" s="49"/>
      <c r="O17" s="49"/>
      <c r="P17" s="64"/>
      <c r="Q17" s="64"/>
      <c r="R17" s="64"/>
      <c r="S17" s="18"/>
      <c r="T17" s="18"/>
    </row>
    <row r="18" spans="4:20" ht="21.95" customHeight="1" x14ac:dyDescent="0.15">
      <c r="D18" s="78"/>
      <c r="E18" s="49" t="s">
        <v>938</v>
      </c>
      <c r="F18" s="49" t="s">
        <v>461</v>
      </c>
      <c r="G18" s="49">
        <f>O10+O12</f>
        <v>0.30479999999999996</v>
      </c>
      <c r="H18" s="49"/>
      <c r="I18" s="49"/>
      <c r="J18" s="49"/>
      <c r="K18" s="78"/>
      <c r="L18" s="49"/>
      <c r="M18" s="49"/>
      <c r="N18" s="49"/>
      <c r="O18" s="49"/>
      <c r="P18" s="64"/>
      <c r="Q18" s="64"/>
      <c r="R18" s="64"/>
      <c r="S18" s="18"/>
      <c r="T18" s="18"/>
    </row>
    <row r="19" spans="4:20" ht="21.95" customHeight="1" x14ac:dyDescent="0.15">
      <c r="D19" s="78"/>
      <c r="E19" s="78"/>
      <c r="F19" s="49"/>
      <c r="G19" s="49"/>
      <c r="H19" s="49"/>
      <c r="I19" s="49"/>
      <c r="J19" s="49"/>
      <c r="K19" s="78"/>
      <c r="L19" s="49"/>
      <c r="M19" s="49"/>
      <c r="N19" s="49"/>
      <c r="O19" s="49"/>
      <c r="P19" s="64"/>
      <c r="Q19" s="64"/>
      <c r="R19" s="64"/>
      <c r="S19" s="18"/>
      <c r="T19" s="18"/>
    </row>
    <row r="20" spans="4:20" ht="21.95" customHeight="1" x14ac:dyDescent="0.15">
      <c r="D20" s="149" t="s">
        <v>1001</v>
      </c>
      <c r="E20" s="78"/>
      <c r="F20" s="49"/>
      <c r="G20" s="49"/>
      <c r="H20" s="49"/>
      <c r="I20" s="49"/>
      <c r="J20" s="49"/>
      <c r="K20" s="78"/>
      <c r="L20" s="49"/>
      <c r="M20" s="49"/>
      <c r="N20" s="49"/>
      <c r="O20" s="49"/>
      <c r="P20" s="64"/>
      <c r="Q20" s="64"/>
      <c r="R20" s="64"/>
      <c r="S20" s="18"/>
      <c r="T20" s="18"/>
    </row>
    <row r="21" spans="4:20" ht="21.95" customHeight="1" x14ac:dyDescent="0.15">
      <c r="D21" s="78" t="s">
        <v>920</v>
      </c>
      <c r="E21" s="78" t="s">
        <v>921</v>
      </c>
      <c r="F21" s="148" t="s">
        <v>172</v>
      </c>
      <c r="G21" s="49">
        <f>I21</f>
        <v>1.5</v>
      </c>
      <c r="H21" s="49"/>
      <c r="I21" s="49">
        <f>'일위대가 (2)'!G39</f>
        <v>1.5</v>
      </c>
      <c r="J21" s="49"/>
      <c r="K21" s="78"/>
      <c r="L21" s="49" t="s">
        <v>936</v>
      </c>
      <c r="M21" s="49">
        <v>0.08</v>
      </c>
      <c r="N21" s="49">
        <v>100</v>
      </c>
      <c r="O21" s="49">
        <f>M21*G21</f>
        <v>0.12</v>
      </c>
      <c r="P21" s="64"/>
      <c r="Q21" s="64"/>
      <c r="R21" s="64"/>
      <c r="S21" s="18" t="s">
        <v>937</v>
      </c>
      <c r="T21" s="18"/>
    </row>
    <row r="22" spans="4:20" ht="21.95" customHeight="1" x14ac:dyDescent="0.15">
      <c r="D22" s="78"/>
      <c r="E22" s="78"/>
      <c r="F22" s="148"/>
      <c r="G22" s="49"/>
      <c r="H22" s="49"/>
      <c r="I22" s="49"/>
      <c r="J22" s="49"/>
      <c r="K22" s="78"/>
      <c r="L22" s="49" t="s">
        <v>938</v>
      </c>
      <c r="M22" s="49">
        <v>0.06</v>
      </c>
      <c r="N22" s="49">
        <v>100</v>
      </c>
      <c r="O22" s="49">
        <f>M22*G21</f>
        <v>0.09</v>
      </c>
      <c r="P22" s="64"/>
      <c r="Q22" s="64"/>
      <c r="R22" s="64"/>
      <c r="S22" s="18" t="s">
        <v>937</v>
      </c>
      <c r="T22" s="18"/>
    </row>
    <row r="23" spans="4:20" ht="21.95" customHeight="1" x14ac:dyDescent="0.15">
      <c r="D23" s="78" t="s">
        <v>924</v>
      </c>
      <c r="E23" s="78" t="s">
        <v>921</v>
      </c>
      <c r="F23" s="148" t="s">
        <v>172</v>
      </c>
      <c r="G23" s="49">
        <f>I23</f>
        <v>1.8</v>
      </c>
      <c r="H23" s="49"/>
      <c r="I23" s="49">
        <f>'일위대가 (2)'!G40</f>
        <v>1.8</v>
      </c>
      <c r="J23" s="49"/>
      <c r="K23" s="78"/>
      <c r="L23" s="49" t="s">
        <v>936</v>
      </c>
      <c r="M23" s="49">
        <v>0.08</v>
      </c>
      <c r="N23" s="49">
        <v>100</v>
      </c>
      <c r="O23" s="49">
        <f>M23*G23</f>
        <v>0.14400000000000002</v>
      </c>
      <c r="P23" s="64"/>
      <c r="Q23" s="64"/>
      <c r="R23" s="64"/>
      <c r="S23" s="18" t="s">
        <v>937</v>
      </c>
      <c r="T23" s="18"/>
    </row>
    <row r="24" spans="4:20" ht="21.95" customHeight="1" x14ac:dyDescent="0.15">
      <c r="D24" s="78"/>
      <c r="E24" s="78"/>
      <c r="F24" s="148"/>
      <c r="G24" s="49"/>
      <c r="H24" s="49"/>
      <c r="I24" s="49"/>
      <c r="J24" s="49"/>
      <c r="K24" s="78"/>
      <c r="L24" s="49" t="s">
        <v>938</v>
      </c>
      <c r="M24" s="49">
        <v>0.06</v>
      </c>
      <c r="N24" s="49">
        <v>100</v>
      </c>
      <c r="O24" s="49">
        <f>M24*G23</f>
        <v>0.108</v>
      </c>
      <c r="P24" s="64"/>
      <c r="Q24" s="64"/>
      <c r="R24" s="64"/>
      <c r="S24" s="18" t="s">
        <v>937</v>
      </c>
      <c r="T24" s="18"/>
    </row>
    <row r="25" spans="4:20" ht="21.95" customHeight="1" x14ac:dyDescent="0.15">
      <c r="D25" s="78" t="s">
        <v>816</v>
      </c>
      <c r="E25" s="78" t="s">
        <v>817</v>
      </c>
      <c r="F25" s="148" t="s">
        <v>944</v>
      </c>
      <c r="G25" s="49">
        <f t="shared" ref="G25:G28" si="0">I25</f>
        <v>1</v>
      </c>
      <c r="H25" s="49"/>
      <c r="I25" s="49">
        <f>'일위대가 (2)'!G43</f>
        <v>1</v>
      </c>
      <c r="J25" s="49"/>
      <c r="K25" s="78"/>
      <c r="L25" s="49" t="s">
        <v>940</v>
      </c>
      <c r="M25" s="49">
        <v>0.12</v>
      </c>
      <c r="N25" s="49">
        <v>100</v>
      </c>
      <c r="O25" s="49">
        <f>M25*G25</f>
        <v>0.12</v>
      </c>
      <c r="P25" s="64"/>
      <c r="Q25" s="64"/>
      <c r="R25" s="64"/>
      <c r="S25" s="18" t="s">
        <v>941</v>
      </c>
      <c r="T25" s="18"/>
    </row>
    <row r="26" spans="4:20" ht="21.95" customHeight="1" x14ac:dyDescent="0.15">
      <c r="D26" s="78" t="s">
        <v>823</v>
      </c>
      <c r="E26" s="78" t="s">
        <v>824</v>
      </c>
      <c r="F26" s="148" t="s">
        <v>172</v>
      </c>
      <c r="G26" s="49">
        <f t="shared" si="0"/>
        <v>1.6</v>
      </c>
      <c r="H26" s="49"/>
      <c r="I26" s="49">
        <f>'일위대가 (2)'!G47</f>
        <v>1.6</v>
      </c>
      <c r="J26" s="49"/>
      <c r="K26" s="78"/>
      <c r="L26" s="49" t="s">
        <v>940</v>
      </c>
      <c r="M26" s="49">
        <v>0.01</v>
      </c>
      <c r="N26" s="49">
        <v>100</v>
      </c>
      <c r="O26" s="49">
        <f t="shared" ref="O26:O30" si="1">M26*G26</f>
        <v>1.6E-2</v>
      </c>
      <c r="P26" s="64"/>
      <c r="Q26" s="64"/>
      <c r="R26" s="64"/>
      <c r="S26" s="18" t="s">
        <v>956</v>
      </c>
      <c r="T26" s="18"/>
    </row>
    <row r="27" spans="4:20" ht="21.95" customHeight="1" x14ac:dyDescent="0.15">
      <c r="D27" s="78" t="s">
        <v>827</v>
      </c>
      <c r="E27" s="78" t="s">
        <v>828</v>
      </c>
      <c r="F27" s="148" t="s">
        <v>949</v>
      </c>
      <c r="G27" s="49">
        <f t="shared" si="0"/>
        <v>2</v>
      </c>
      <c r="H27" s="49"/>
      <c r="I27" s="49">
        <f>'일위대가 (2)'!G49</f>
        <v>2</v>
      </c>
      <c r="J27" s="49"/>
      <c r="K27" s="78"/>
      <c r="L27" s="49" t="s">
        <v>940</v>
      </c>
      <c r="M27" s="49">
        <v>0.01</v>
      </c>
      <c r="N27" s="49">
        <v>100</v>
      </c>
      <c r="O27" s="49">
        <f t="shared" si="1"/>
        <v>0.02</v>
      </c>
      <c r="P27" s="64"/>
      <c r="Q27" s="64"/>
      <c r="R27" s="64"/>
      <c r="S27" s="18" t="s">
        <v>957</v>
      </c>
      <c r="T27" s="18"/>
    </row>
    <row r="28" spans="4:20" ht="21.95" customHeight="1" x14ac:dyDescent="0.15">
      <c r="D28" s="78" t="s">
        <v>829</v>
      </c>
      <c r="E28" s="78" t="s">
        <v>830</v>
      </c>
      <c r="F28" s="148" t="s">
        <v>949</v>
      </c>
      <c r="G28" s="49">
        <f t="shared" si="0"/>
        <v>1</v>
      </c>
      <c r="H28" s="49"/>
      <c r="I28" s="49">
        <f>'일위대가 (2)'!G50</f>
        <v>1</v>
      </c>
      <c r="J28" s="49"/>
      <c r="K28" s="78"/>
      <c r="L28" s="49" t="s">
        <v>940</v>
      </c>
      <c r="M28" s="49">
        <v>0.01</v>
      </c>
      <c r="N28" s="49">
        <v>100</v>
      </c>
      <c r="O28" s="49">
        <f t="shared" si="1"/>
        <v>0.01</v>
      </c>
      <c r="P28" s="64"/>
      <c r="Q28" s="64"/>
      <c r="R28" s="64"/>
      <c r="S28" s="18" t="s">
        <v>957</v>
      </c>
      <c r="T28" s="18"/>
    </row>
    <row r="29" spans="4:20" ht="21.95" customHeight="1" x14ac:dyDescent="0.15">
      <c r="D29" s="78" t="s">
        <v>926</v>
      </c>
      <c r="E29" s="78" t="s">
        <v>928</v>
      </c>
      <c r="F29" s="148" t="s">
        <v>172</v>
      </c>
      <c r="G29" s="49">
        <f>I29</f>
        <v>1</v>
      </c>
      <c r="H29" s="49"/>
      <c r="I29" s="49">
        <f>'일위대가 (2)'!G33</f>
        <v>1</v>
      </c>
      <c r="J29" s="49"/>
      <c r="K29" s="78"/>
      <c r="L29" s="49" t="s">
        <v>936</v>
      </c>
      <c r="M29" s="49">
        <v>0.02</v>
      </c>
      <c r="N29" s="49">
        <v>100</v>
      </c>
      <c r="O29" s="49">
        <f t="shared" si="1"/>
        <v>0.02</v>
      </c>
      <c r="P29" s="64"/>
      <c r="Q29" s="64"/>
      <c r="R29" s="64"/>
      <c r="S29" s="18" t="s">
        <v>939</v>
      </c>
      <c r="T29" s="18"/>
    </row>
    <row r="30" spans="4:20" ht="21.95" customHeight="1" x14ac:dyDescent="0.15">
      <c r="D30" s="78" t="s">
        <v>821</v>
      </c>
      <c r="E30" s="78" t="s">
        <v>822</v>
      </c>
      <c r="F30" s="148" t="s">
        <v>949</v>
      </c>
      <c r="G30" s="49">
        <f>I30</f>
        <v>1</v>
      </c>
      <c r="H30" s="49"/>
      <c r="I30" s="49">
        <f>'일위대가 (2)'!G46</f>
        <v>1</v>
      </c>
      <c r="J30" s="49"/>
      <c r="K30" s="78"/>
      <c r="L30" s="49" t="s">
        <v>936</v>
      </c>
      <c r="M30" s="49">
        <v>0.18</v>
      </c>
      <c r="N30" s="49">
        <v>100</v>
      </c>
      <c r="O30" s="49">
        <f t="shared" si="1"/>
        <v>0.18</v>
      </c>
      <c r="P30" s="64"/>
      <c r="Q30" s="64"/>
      <c r="R30" s="64"/>
      <c r="S30" s="18" t="s">
        <v>958</v>
      </c>
      <c r="T30" s="18"/>
    </row>
    <row r="31" spans="4:20" ht="21.95" customHeight="1" x14ac:dyDescent="0.15">
      <c r="D31" s="78" t="s">
        <v>930</v>
      </c>
      <c r="E31" s="78" t="s">
        <v>931</v>
      </c>
      <c r="F31" s="49" t="s">
        <v>190</v>
      </c>
      <c r="G31" s="49">
        <f>I31</f>
        <v>3</v>
      </c>
      <c r="H31" s="49"/>
      <c r="I31" s="49">
        <f>'일위대가 (2)'!G44</f>
        <v>3</v>
      </c>
      <c r="J31" s="49"/>
      <c r="K31" s="78"/>
      <c r="L31" s="49" t="s">
        <v>940</v>
      </c>
      <c r="M31" s="49">
        <v>0.33</v>
      </c>
      <c r="N31" s="49">
        <v>100</v>
      </c>
      <c r="O31" s="49">
        <f>M31*G31</f>
        <v>0.99</v>
      </c>
      <c r="P31" s="64"/>
      <c r="Q31" s="64"/>
      <c r="R31" s="64"/>
      <c r="S31" s="18" t="s">
        <v>941</v>
      </c>
      <c r="T31" s="18"/>
    </row>
    <row r="32" spans="4:20" ht="21.95" customHeight="1" x14ac:dyDescent="0.15">
      <c r="D32" s="78" t="s">
        <v>933</v>
      </c>
      <c r="E32" s="78" t="s">
        <v>935</v>
      </c>
      <c r="F32" s="49" t="s">
        <v>190</v>
      </c>
      <c r="G32" s="49">
        <f>I32</f>
        <v>6</v>
      </c>
      <c r="H32" s="49"/>
      <c r="I32" s="49">
        <f>'일위대가 (2)'!G45</f>
        <v>6</v>
      </c>
      <c r="J32" s="49"/>
      <c r="K32" s="78"/>
      <c r="L32" s="49" t="s">
        <v>940</v>
      </c>
      <c r="M32" s="49">
        <v>0.13</v>
      </c>
      <c r="N32" s="49">
        <v>100</v>
      </c>
      <c r="O32" s="49">
        <f>M32*G32</f>
        <v>0.78</v>
      </c>
      <c r="P32" s="64"/>
      <c r="Q32" s="64"/>
      <c r="R32" s="64"/>
      <c r="S32" s="18" t="s">
        <v>941</v>
      </c>
      <c r="T32" s="18"/>
    </row>
    <row r="33" spans="4:20" ht="21.95" customHeight="1" x14ac:dyDescent="0.15">
      <c r="D33" s="78" t="s">
        <v>833</v>
      </c>
      <c r="E33" s="78" t="s">
        <v>834</v>
      </c>
      <c r="F33" s="148" t="s">
        <v>172</v>
      </c>
      <c r="G33" s="49">
        <f>I33</f>
        <v>5.8</v>
      </c>
      <c r="H33" s="49"/>
      <c r="I33" s="49">
        <f>'일위대가 (2)'!G52</f>
        <v>5.8</v>
      </c>
      <c r="J33" s="49"/>
      <c r="K33" s="78"/>
      <c r="L33" s="49" t="s">
        <v>936</v>
      </c>
      <c r="M33" s="49">
        <v>0.05</v>
      </c>
      <c r="N33" s="49">
        <v>100</v>
      </c>
      <c r="O33" s="49">
        <f>M33*G33</f>
        <v>0.28999999999999998</v>
      </c>
      <c r="P33" s="64"/>
      <c r="Q33" s="64"/>
      <c r="R33" s="64"/>
      <c r="S33" s="18" t="s">
        <v>958</v>
      </c>
      <c r="T33" s="18"/>
    </row>
    <row r="34" spans="4:20" ht="21.95" customHeight="1" x14ac:dyDescent="0.15">
      <c r="D34" s="78" t="s">
        <v>459</v>
      </c>
      <c r="E34" s="49" t="s">
        <v>936</v>
      </c>
      <c r="F34" s="49" t="s">
        <v>461</v>
      </c>
      <c r="G34" s="49">
        <f>O21+O23+O29+O30+O33</f>
        <v>0.754</v>
      </c>
      <c r="H34" s="49"/>
      <c r="I34" s="49"/>
      <c r="J34" s="49"/>
      <c r="K34" s="78"/>
      <c r="L34" s="49"/>
      <c r="M34" s="49"/>
      <c r="N34" s="49"/>
      <c r="O34" s="49"/>
      <c r="P34" s="64"/>
      <c r="Q34" s="64"/>
      <c r="R34" s="64"/>
      <c r="S34" s="18"/>
      <c r="T34" s="18"/>
    </row>
    <row r="35" spans="4:20" ht="21.95" customHeight="1" x14ac:dyDescent="0.15">
      <c r="D35" s="78"/>
      <c r="E35" s="49" t="s">
        <v>940</v>
      </c>
      <c r="F35" s="49" t="s">
        <v>461</v>
      </c>
      <c r="G35" s="49">
        <f>O25+O26+O27+O26+O28+O31+O32</f>
        <v>1.952</v>
      </c>
      <c r="H35" s="49"/>
      <c r="I35" s="49"/>
      <c r="J35" s="49"/>
      <c r="K35" s="78"/>
      <c r="L35" s="49"/>
      <c r="M35" s="49"/>
      <c r="N35" s="49"/>
      <c r="O35" s="49"/>
      <c r="P35" s="64"/>
      <c r="Q35" s="64"/>
      <c r="R35" s="64"/>
      <c r="S35" s="18"/>
      <c r="T35" s="18"/>
    </row>
    <row r="36" spans="4:20" ht="21.95" customHeight="1" x14ac:dyDescent="0.15">
      <c r="D36" s="78"/>
      <c r="E36" s="49" t="s">
        <v>938</v>
      </c>
      <c r="F36" s="49" t="s">
        <v>461</v>
      </c>
      <c r="G36" s="49">
        <f>O22+O24</f>
        <v>0.19800000000000001</v>
      </c>
      <c r="H36" s="49"/>
      <c r="I36" s="49"/>
      <c r="J36" s="49"/>
      <c r="K36" s="78"/>
      <c r="L36" s="49"/>
      <c r="M36" s="49"/>
      <c r="N36" s="49"/>
      <c r="O36" s="49"/>
      <c r="P36" s="64"/>
      <c r="Q36" s="64"/>
      <c r="R36" s="64"/>
      <c r="S36" s="18"/>
      <c r="T36" s="18"/>
    </row>
    <row r="37" spans="4:20" ht="21.95" customHeight="1" x14ac:dyDescent="0.15">
      <c r="D37" s="78"/>
      <c r="E37" s="78"/>
      <c r="F37" s="148"/>
      <c r="G37" s="49"/>
      <c r="H37" s="49"/>
      <c r="I37" s="49"/>
      <c r="J37" s="49"/>
      <c r="K37" s="78"/>
      <c r="L37" s="49"/>
      <c r="M37" s="49"/>
      <c r="N37" s="49"/>
      <c r="O37" s="49"/>
      <c r="P37" s="64"/>
      <c r="Q37" s="64"/>
      <c r="R37" s="64"/>
      <c r="S37" s="18"/>
      <c r="T37" s="18"/>
    </row>
    <row r="38" spans="4:20" ht="21.95" customHeight="1" x14ac:dyDescent="0.15">
      <c r="D38" s="149" t="s">
        <v>1000</v>
      </c>
      <c r="E38" s="78"/>
      <c r="F38" s="148"/>
      <c r="G38" s="49"/>
      <c r="H38" s="49"/>
      <c r="I38" s="49"/>
      <c r="J38" s="49"/>
      <c r="K38" s="78"/>
      <c r="L38" s="49"/>
      <c r="M38" s="49"/>
      <c r="N38" s="49"/>
      <c r="O38" s="49"/>
      <c r="P38" s="64"/>
      <c r="Q38" s="64"/>
      <c r="R38" s="64"/>
      <c r="S38" s="18"/>
      <c r="T38" s="18"/>
    </row>
    <row r="39" spans="4:20" ht="21.95" customHeight="1" x14ac:dyDescent="0.15">
      <c r="D39" s="78" t="s">
        <v>839</v>
      </c>
      <c r="E39" s="78" t="s">
        <v>840</v>
      </c>
      <c r="F39" s="148" t="s">
        <v>949</v>
      </c>
      <c r="G39" s="49">
        <f>I39</f>
        <v>3</v>
      </c>
      <c r="H39" s="49"/>
      <c r="I39" s="49">
        <f>'일위대가 (2)'!G63</f>
        <v>3</v>
      </c>
      <c r="J39" s="49"/>
      <c r="K39" s="78"/>
      <c r="L39" s="49" t="s">
        <v>940</v>
      </c>
      <c r="M39" s="49">
        <v>0.22</v>
      </c>
      <c r="N39" s="49">
        <v>100</v>
      </c>
      <c r="O39" s="49">
        <f>M39*G39</f>
        <v>0.66</v>
      </c>
      <c r="P39" s="64"/>
      <c r="Q39" s="64"/>
      <c r="R39" s="64"/>
      <c r="S39" s="18" t="s">
        <v>961</v>
      </c>
      <c r="T39" s="18"/>
    </row>
    <row r="40" spans="4:20" ht="21.95" customHeight="1" x14ac:dyDescent="0.15">
      <c r="D40" s="78" t="s">
        <v>841</v>
      </c>
      <c r="E40" s="78" t="s">
        <v>842</v>
      </c>
      <c r="F40" s="148" t="s">
        <v>172</v>
      </c>
      <c r="G40" s="49">
        <f t="shared" ref="G40:G46" si="2">I40</f>
        <v>0.7</v>
      </c>
      <c r="H40" s="49"/>
      <c r="I40" s="49">
        <f>'일위대가 (2)'!G64</f>
        <v>0.7</v>
      </c>
      <c r="J40" s="49"/>
      <c r="K40" s="78"/>
      <c r="L40" s="49" t="s">
        <v>936</v>
      </c>
      <c r="M40" s="49">
        <v>0.09</v>
      </c>
      <c r="N40" s="49">
        <v>100</v>
      </c>
      <c r="O40" s="49">
        <f>M40*G40</f>
        <v>6.3E-2</v>
      </c>
      <c r="P40" s="64"/>
      <c r="Q40" s="64"/>
      <c r="R40" s="64"/>
      <c r="S40" s="18" t="s">
        <v>937</v>
      </c>
      <c r="T40" s="18"/>
    </row>
    <row r="41" spans="4:20" ht="21.95" customHeight="1" x14ac:dyDescent="0.15">
      <c r="D41" s="78"/>
      <c r="E41" s="78"/>
      <c r="F41" s="148"/>
      <c r="G41" s="49"/>
      <c r="H41" s="49"/>
      <c r="I41" s="49"/>
      <c r="J41" s="49"/>
      <c r="K41" s="78"/>
      <c r="L41" s="49" t="s">
        <v>938</v>
      </c>
      <c r="M41" s="49">
        <v>0.7</v>
      </c>
      <c r="N41" s="49">
        <v>100</v>
      </c>
      <c r="O41" s="49">
        <f>M41*G40</f>
        <v>0.48999999999999994</v>
      </c>
      <c r="P41" s="64"/>
      <c r="Q41" s="64"/>
      <c r="R41" s="64"/>
      <c r="S41" s="18" t="s">
        <v>937</v>
      </c>
      <c r="T41" s="18"/>
    </row>
    <row r="42" spans="4:20" ht="21.95" customHeight="1" x14ac:dyDescent="0.15">
      <c r="D42" s="78" t="s">
        <v>843</v>
      </c>
      <c r="E42" s="78"/>
      <c r="F42" s="148" t="s">
        <v>944</v>
      </c>
      <c r="G42" s="49">
        <f t="shared" si="2"/>
        <v>1</v>
      </c>
      <c r="H42" s="49"/>
      <c r="I42" s="49">
        <f>'일위대가 (2)'!G66</f>
        <v>1</v>
      </c>
      <c r="J42" s="49"/>
      <c r="K42" s="78"/>
      <c r="L42" s="49" t="s">
        <v>936</v>
      </c>
      <c r="M42" s="49">
        <v>1.31</v>
      </c>
      <c r="N42" s="49">
        <v>100</v>
      </c>
      <c r="O42" s="49">
        <f t="shared" ref="O42:O46" si="3">M42*G42</f>
        <v>1.31</v>
      </c>
      <c r="P42" s="64"/>
      <c r="Q42" s="64"/>
      <c r="R42" s="64"/>
      <c r="S42" s="18" t="s">
        <v>965</v>
      </c>
      <c r="T42" s="18"/>
    </row>
    <row r="43" spans="4:20" ht="21.95" customHeight="1" x14ac:dyDescent="0.15">
      <c r="D43" s="78" t="s">
        <v>845</v>
      </c>
      <c r="E43" s="78" t="s">
        <v>846</v>
      </c>
      <c r="F43" s="148" t="s">
        <v>949</v>
      </c>
      <c r="G43" s="49">
        <f t="shared" si="2"/>
        <v>3</v>
      </c>
      <c r="H43" s="49"/>
      <c r="I43" s="49">
        <f>'일위대가 (2)'!G69</f>
        <v>3</v>
      </c>
      <c r="J43" s="49"/>
      <c r="K43" s="78"/>
      <c r="L43" s="49" t="s">
        <v>936</v>
      </c>
      <c r="M43" s="49">
        <v>0.34</v>
      </c>
      <c r="N43" s="49">
        <v>100</v>
      </c>
      <c r="O43" s="49">
        <f t="shared" si="3"/>
        <v>1.02</v>
      </c>
      <c r="P43" s="64"/>
      <c r="Q43" s="64"/>
      <c r="R43" s="64"/>
      <c r="S43" s="18" t="s">
        <v>958</v>
      </c>
      <c r="T43" s="18"/>
    </row>
    <row r="44" spans="4:20" ht="21.95" customHeight="1" x14ac:dyDescent="0.15">
      <c r="D44" s="78" t="s">
        <v>930</v>
      </c>
      <c r="E44" s="78" t="s">
        <v>983</v>
      </c>
      <c r="F44" s="49" t="s">
        <v>190</v>
      </c>
      <c r="G44" s="49">
        <f t="shared" si="2"/>
        <v>4</v>
      </c>
      <c r="H44" s="49"/>
      <c r="I44" s="49">
        <v>4</v>
      </c>
      <c r="J44" s="49"/>
      <c r="K44" s="78"/>
      <c r="L44" s="49" t="s">
        <v>940</v>
      </c>
      <c r="M44" s="49">
        <v>0.26</v>
      </c>
      <c r="N44" s="49">
        <v>100</v>
      </c>
      <c r="O44" s="49">
        <f t="shared" si="3"/>
        <v>1.04</v>
      </c>
      <c r="P44" s="64"/>
      <c r="Q44" s="64"/>
      <c r="R44" s="64"/>
      <c r="S44" s="18" t="s">
        <v>941</v>
      </c>
      <c r="T44" s="18"/>
    </row>
    <row r="45" spans="4:20" ht="21.95" customHeight="1" x14ac:dyDescent="0.15">
      <c r="D45" s="78" t="s">
        <v>848</v>
      </c>
      <c r="E45" s="78" t="s">
        <v>849</v>
      </c>
      <c r="F45" s="148" t="s">
        <v>944</v>
      </c>
      <c r="G45" s="49">
        <f t="shared" si="2"/>
        <v>2</v>
      </c>
      <c r="H45" s="49"/>
      <c r="I45" s="49">
        <f>'일위대가 (2)'!G71</f>
        <v>2</v>
      </c>
      <c r="J45" s="49"/>
      <c r="K45" s="78"/>
      <c r="L45" s="49" t="s">
        <v>940</v>
      </c>
      <c r="M45" s="49">
        <v>0.12</v>
      </c>
      <c r="N45" s="49">
        <v>100</v>
      </c>
      <c r="O45" s="49">
        <f t="shared" si="3"/>
        <v>0.24</v>
      </c>
      <c r="P45" s="64"/>
      <c r="Q45" s="64"/>
      <c r="R45" s="64"/>
      <c r="S45" s="18" t="s">
        <v>941</v>
      </c>
      <c r="T45" s="18"/>
    </row>
    <row r="46" spans="4:20" ht="21.95" customHeight="1" x14ac:dyDescent="0.15">
      <c r="D46" s="78" t="s">
        <v>866</v>
      </c>
      <c r="E46" s="78" t="s">
        <v>867</v>
      </c>
      <c r="F46" s="148" t="s">
        <v>944</v>
      </c>
      <c r="G46" s="49">
        <f t="shared" si="2"/>
        <v>2</v>
      </c>
      <c r="H46" s="49"/>
      <c r="I46" s="49">
        <f>'일위대가 (2)'!G88</f>
        <v>2</v>
      </c>
      <c r="J46" s="49"/>
      <c r="K46" s="78"/>
      <c r="L46" s="49" t="s">
        <v>940</v>
      </c>
      <c r="M46" s="49">
        <v>0.12</v>
      </c>
      <c r="N46" s="49">
        <v>100</v>
      </c>
      <c r="O46" s="49">
        <f t="shared" si="3"/>
        <v>0.24</v>
      </c>
      <c r="P46" s="64"/>
      <c r="Q46" s="64"/>
      <c r="R46" s="64"/>
      <c r="S46" s="18" t="s">
        <v>941</v>
      </c>
      <c r="T46" s="18"/>
    </row>
    <row r="47" spans="4:20" ht="21.95" customHeight="1" x14ac:dyDescent="0.15">
      <c r="D47" s="78" t="s">
        <v>942</v>
      </c>
      <c r="E47" s="78" t="s">
        <v>817</v>
      </c>
      <c r="F47" s="148" t="s">
        <v>944</v>
      </c>
      <c r="G47" s="49">
        <f t="shared" ref="G47:G64" si="4">I47</f>
        <v>2</v>
      </c>
      <c r="H47" s="49"/>
      <c r="I47" s="49">
        <f>'일위대가 (2)'!G105</f>
        <v>2</v>
      </c>
      <c r="J47" s="49"/>
      <c r="K47" s="78"/>
      <c r="L47" s="49" t="s">
        <v>940</v>
      </c>
      <c r="M47" s="49">
        <v>0.12</v>
      </c>
      <c r="N47" s="49">
        <v>100</v>
      </c>
      <c r="O47" s="49">
        <f t="shared" ref="O47:O55" si="5">M47*G47</f>
        <v>0.24</v>
      </c>
      <c r="P47" s="64"/>
      <c r="Q47" s="64"/>
      <c r="R47" s="64"/>
      <c r="S47" s="18" t="s">
        <v>941</v>
      </c>
      <c r="T47" s="18"/>
    </row>
    <row r="48" spans="4:20" ht="21.95" customHeight="1" x14ac:dyDescent="0.15">
      <c r="D48" s="78" t="s">
        <v>869</v>
      </c>
      <c r="E48" s="78" t="s">
        <v>870</v>
      </c>
      <c r="F48" s="148" t="s">
        <v>944</v>
      </c>
      <c r="G48" s="49">
        <f t="shared" si="4"/>
        <v>4</v>
      </c>
      <c r="H48" s="49"/>
      <c r="I48" s="49">
        <f>'일위대가 (2)'!G104</f>
        <v>4</v>
      </c>
      <c r="J48" s="49"/>
      <c r="K48" s="78"/>
      <c r="L48" s="49" t="s">
        <v>940</v>
      </c>
      <c r="M48" s="49">
        <v>0.12</v>
      </c>
      <c r="N48" s="49">
        <v>100</v>
      </c>
      <c r="O48" s="49">
        <f t="shared" si="5"/>
        <v>0.48</v>
      </c>
      <c r="P48" s="64"/>
      <c r="Q48" s="64"/>
      <c r="R48" s="64"/>
      <c r="S48" s="18" t="s">
        <v>941</v>
      </c>
      <c r="T48" s="18"/>
    </row>
    <row r="49" spans="4:20" ht="21.95" customHeight="1" x14ac:dyDescent="0.15">
      <c r="D49" s="78" t="s">
        <v>850</v>
      </c>
      <c r="E49" s="78"/>
      <c r="F49" s="49" t="s">
        <v>190</v>
      </c>
      <c r="G49" s="49">
        <f t="shared" si="4"/>
        <v>6</v>
      </c>
      <c r="H49" s="49"/>
      <c r="I49" s="49">
        <v>6</v>
      </c>
      <c r="J49" s="49"/>
      <c r="K49" s="78"/>
      <c r="L49" s="49" t="s">
        <v>936</v>
      </c>
      <c r="M49" s="49">
        <v>0.18</v>
      </c>
      <c r="N49" s="49">
        <v>100</v>
      </c>
      <c r="O49" s="49">
        <f t="shared" si="5"/>
        <v>1.08</v>
      </c>
      <c r="P49" s="64"/>
      <c r="Q49" s="64"/>
      <c r="R49" s="64"/>
      <c r="S49" s="18" t="s">
        <v>958</v>
      </c>
      <c r="T49" s="18"/>
    </row>
    <row r="50" spans="4:20" ht="21.95" customHeight="1" x14ac:dyDescent="0.15">
      <c r="D50" s="78" t="s">
        <v>851</v>
      </c>
      <c r="E50" s="78"/>
      <c r="F50" s="49" t="s">
        <v>190</v>
      </c>
      <c r="G50" s="49">
        <f t="shared" si="4"/>
        <v>6</v>
      </c>
      <c r="H50" s="49"/>
      <c r="I50" s="49">
        <v>6</v>
      </c>
      <c r="J50" s="49"/>
      <c r="K50" s="78"/>
      <c r="L50" s="49" t="s">
        <v>936</v>
      </c>
      <c r="M50" s="49">
        <v>0.1</v>
      </c>
      <c r="N50" s="49">
        <v>100</v>
      </c>
      <c r="O50" s="49">
        <f t="shared" si="5"/>
        <v>0.60000000000000009</v>
      </c>
      <c r="P50" s="64"/>
      <c r="Q50" s="64"/>
      <c r="R50" s="64"/>
      <c r="S50" s="18" t="s">
        <v>958</v>
      </c>
      <c r="T50" s="18"/>
    </row>
    <row r="51" spans="4:20" ht="21.95" customHeight="1" x14ac:dyDescent="0.15">
      <c r="D51" s="78" t="s">
        <v>852</v>
      </c>
      <c r="E51" s="78" t="s">
        <v>978</v>
      </c>
      <c r="F51" s="49" t="s">
        <v>190</v>
      </c>
      <c r="G51" s="49">
        <f t="shared" si="4"/>
        <v>2</v>
      </c>
      <c r="H51" s="49"/>
      <c r="I51" s="49">
        <f>'일위대가 (2)'!G74</f>
        <v>2</v>
      </c>
      <c r="J51" s="49"/>
      <c r="K51" s="78"/>
      <c r="L51" s="49" t="s">
        <v>936</v>
      </c>
      <c r="M51" s="49">
        <v>0.09</v>
      </c>
      <c r="N51" s="49">
        <v>100</v>
      </c>
      <c r="O51" s="49">
        <f t="shared" si="5"/>
        <v>0.18</v>
      </c>
      <c r="P51" s="64"/>
      <c r="Q51" s="64"/>
      <c r="R51" s="64"/>
      <c r="S51" s="18" t="s">
        <v>979</v>
      </c>
      <c r="T51" s="18"/>
    </row>
    <row r="52" spans="4:20" ht="21.95" customHeight="1" x14ac:dyDescent="0.15">
      <c r="D52" s="78" t="s">
        <v>977</v>
      </c>
      <c r="E52" s="78" t="s">
        <v>868</v>
      </c>
      <c r="F52" s="49" t="s">
        <v>190</v>
      </c>
      <c r="G52" s="49">
        <f t="shared" si="4"/>
        <v>2</v>
      </c>
      <c r="H52" s="49"/>
      <c r="I52" s="49">
        <f>'일위대가 (2)'!G91</f>
        <v>2</v>
      </c>
      <c r="J52" s="49"/>
      <c r="K52" s="78"/>
      <c r="L52" s="49" t="s">
        <v>936</v>
      </c>
      <c r="M52" s="49">
        <v>0.09</v>
      </c>
      <c r="N52" s="49">
        <v>100</v>
      </c>
      <c r="O52" s="49">
        <f t="shared" si="5"/>
        <v>0.18</v>
      </c>
      <c r="P52" s="64"/>
      <c r="Q52" s="64"/>
      <c r="R52" s="64"/>
      <c r="S52" s="18" t="s">
        <v>979</v>
      </c>
      <c r="T52" s="18"/>
    </row>
    <row r="53" spans="4:20" ht="21.95" customHeight="1" x14ac:dyDescent="0.15">
      <c r="D53" s="78" t="s">
        <v>852</v>
      </c>
      <c r="E53" s="78" t="s">
        <v>871</v>
      </c>
      <c r="F53" s="49" t="s">
        <v>190</v>
      </c>
      <c r="G53" s="49">
        <f t="shared" si="4"/>
        <v>2</v>
      </c>
      <c r="H53" s="49"/>
      <c r="I53" s="49">
        <f>'일위대가 (2)'!G108</f>
        <v>2</v>
      </c>
      <c r="J53" s="49"/>
      <c r="K53" s="78"/>
      <c r="L53" s="49" t="s">
        <v>936</v>
      </c>
      <c r="M53" s="49">
        <v>0.09</v>
      </c>
      <c r="N53" s="49">
        <v>100</v>
      </c>
      <c r="O53" s="49">
        <f t="shared" si="5"/>
        <v>0.18</v>
      </c>
      <c r="P53" s="64"/>
      <c r="Q53" s="64"/>
      <c r="R53" s="64"/>
      <c r="S53" s="18" t="s">
        <v>979</v>
      </c>
      <c r="T53" s="18"/>
    </row>
    <row r="54" spans="4:20" ht="21.95" customHeight="1" x14ac:dyDescent="0.15">
      <c r="D54" s="78" t="s">
        <v>823</v>
      </c>
      <c r="E54" s="78" t="s">
        <v>834</v>
      </c>
      <c r="F54" s="148" t="s">
        <v>172</v>
      </c>
      <c r="G54" s="49">
        <f t="shared" si="4"/>
        <v>60</v>
      </c>
      <c r="H54" s="49"/>
      <c r="I54" s="49">
        <v>60</v>
      </c>
      <c r="J54" s="49"/>
      <c r="K54" s="78"/>
      <c r="L54" s="49" t="s">
        <v>940</v>
      </c>
      <c r="M54" s="49">
        <v>0.05</v>
      </c>
      <c r="N54" s="49">
        <v>100</v>
      </c>
      <c r="O54" s="49">
        <f t="shared" si="5"/>
        <v>3</v>
      </c>
      <c r="P54" s="64"/>
      <c r="Q54" s="64"/>
      <c r="R54" s="64"/>
      <c r="S54" s="18" t="s">
        <v>958</v>
      </c>
      <c r="T54" s="18"/>
    </row>
    <row r="55" spans="4:20" ht="21.95" customHeight="1" x14ac:dyDescent="0.15">
      <c r="D55" s="78" t="s">
        <v>823</v>
      </c>
      <c r="E55" s="78" t="s">
        <v>982</v>
      </c>
      <c r="F55" s="148" t="s">
        <v>172</v>
      </c>
      <c r="G55" s="49">
        <f t="shared" si="4"/>
        <v>14</v>
      </c>
      <c r="H55" s="49"/>
      <c r="I55" s="49">
        <v>14</v>
      </c>
      <c r="J55" s="49"/>
      <c r="K55" s="78"/>
      <c r="L55" s="49" t="s">
        <v>940</v>
      </c>
      <c r="M55" s="49">
        <v>0.01</v>
      </c>
      <c r="N55" s="49">
        <v>100</v>
      </c>
      <c r="O55" s="49">
        <f t="shared" si="5"/>
        <v>0.14000000000000001</v>
      </c>
      <c r="P55" s="64"/>
      <c r="Q55" s="64"/>
      <c r="R55" s="64"/>
      <c r="S55" s="18" t="s">
        <v>956</v>
      </c>
      <c r="T55" s="18"/>
    </row>
    <row r="56" spans="4:20" ht="21.95" customHeight="1" x14ac:dyDescent="0.15">
      <c r="D56" s="78" t="s">
        <v>823</v>
      </c>
      <c r="E56" s="78" t="s">
        <v>824</v>
      </c>
      <c r="F56" s="148" t="s">
        <v>172</v>
      </c>
      <c r="G56" s="49">
        <f t="shared" si="4"/>
        <v>11.2</v>
      </c>
      <c r="H56" s="49"/>
      <c r="I56" s="49">
        <v>11.2</v>
      </c>
      <c r="J56" s="49"/>
      <c r="K56" s="78"/>
      <c r="L56" s="49" t="s">
        <v>940</v>
      </c>
      <c r="M56" s="49">
        <v>0.01</v>
      </c>
      <c r="N56" s="49">
        <v>100</v>
      </c>
      <c r="O56" s="49">
        <f t="shared" ref="O56:O66" si="6">M56*G56</f>
        <v>0.11199999999999999</v>
      </c>
      <c r="P56" s="64"/>
      <c r="Q56" s="64"/>
      <c r="R56" s="64"/>
      <c r="S56" s="18" t="s">
        <v>956</v>
      </c>
      <c r="T56" s="18"/>
    </row>
    <row r="57" spans="4:20" ht="21.95" customHeight="1" x14ac:dyDescent="0.15">
      <c r="D57" s="78" t="s">
        <v>856</v>
      </c>
      <c r="E57" s="78" t="s">
        <v>857</v>
      </c>
      <c r="F57" s="49" t="s">
        <v>190</v>
      </c>
      <c r="G57" s="49">
        <f t="shared" si="4"/>
        <v>10</v>
      </c>
      <c r="H57" s="49"/>
      <c r="I57" s="49">
        <v>10</v>
      </c>
      <c r="J57" s="49"/>
      <c r="K57" s="78"/>
      <c r="L57" s="49" t="s">
        <v>936</v>
      </c>
      <c r="M57" s="49">
        <v>0.18</v>
      </c>
      <c r="N57" s="49">
        <v>100</v>
      </c>
      <c r="O57" s="49">
        <f t="shared" si="6"/>
        <v>1.7999999999999998</v>
      </c>
      <c r="P57" s="64"/>
      <c r="Q57" s="64"/>
      <c r="R57" s="64"/>
      <c r="S57" s="18" t="s">
        <v>958</v>
      </c>
      <c r="T57" s="18"/>
    </row>
    <row r="58" spans="4:20" ht="21.95" customHeight="1" x14ac:dyDescent="0.15">
      <c r="D58" s="78" t="s">
        <v>859</v>
      </c>
      <c r="E58" s="78" t="s">
        <v>860</v>
      </c>
      <c r="F58" s="49" t="s">
        <v>190</v>
      </c>
      <c r="G58" s="49">
        <f t="shared" si="4"/>
        <v>6</v>
      </c>
      <c r="H58" s="49"/>
      <c r="I58" s="49">
        <v>6</v>
      </c>
      <c r="J58" s="49"/>
      <c r="K58" s="78"/>
      <c r="L58" s="49" t="s">
        <v>940</v>
      </c>
      <c r="M58" s="49">
        <v>0.1</v>
      </c>
      <c r="N58" s="49">
        <v>100</v>
      </c>
      <c r="O58" s="49">
        <f t="shared" si="6"/>
        <v>0.60000000000000009</v>
      </c>
      <c r="P58" s="64"/>
      <c r="Q58" s="64"/>
      <c r="R58" s="64"/>
      <c r="S58" s="18" t="s">
        <v>957</v>
      </c>
      <c r="T58" s="18"/>
    </row>
    <row r="59" spans="4:20" ht="21.95" customHeight="1" x14ac:dyDescent="0.15">
      <c r="D59" s="78" t="s">
        <v>989</v>
      </c>
      <c r="E59" s="78" t="s">
        <v>872</v>
      </c>
      <c r="F59" s="49" t="s">
        <v>190</v>
      </c>
      <c r="G59" s="49">
        <f t="shared" si="4"/>
        <v>74</v>
      </c>
      <c r="H59" s="49"/>
      <c r="I59" s="49">
        <v>74</v>
      </c>
      <c r="J59" s="49"/>
      <c r="K59" s="78"/>
      <c r="L59" s="49" t="s">
        <v>940</v>
      </c>
      <c r="M59" s="49">
        <v>0.01</v>
      </c>
      <c r="N59" s="49">
        <v>100</v>
      </c>
      <c r="O59" s="49">
        <f t="shared" si="6"/>
        <v>0.74</v>
      </c>
      <c r="P59" s="64"/>
      <c r="Q59" s="64"/>
      <c r="R59" s="64"/>
      <c r="S59" s="18" t="s">
        <v>994</v>
      </c>
      <c r="T59" s="18"/>
    </row>
    <row r="60" spans="4:20" ht="21.95" customHeight="1" x14ac:dyDescent="0.15">
      <c r="D60" s="78" t="s">
        <v>989</v>
      </c>
      <c r="E60" s="78" t="s">
        <v>992</v>
      </c>
      <c r="F60" s="49" t="s">
        <v>190</v>
      </c>
      <c r="G60" s="49">
        <f t="shared" si="4"/>
        <v>60</v>
      </c>
      <c r="H60" s="49"/>
      <c r="I60" s="49">
        <v>60</v>
      </c>
      <c r="J60" s="49"/>
      <c r="K60" s="78"/>
      <c r="L60" s="49" t="s">
        <v>940</v>
      </c>
      <c r="M60" s="49">
        <v>0.01</v>
      </c>
      <c r="N60" s="49">
        <v>100</v>
      </c>
      <c r="O60" s="49">
        <f t="shared" si="6"/>
        <v>0.6</v>
      </c>
      <c r="P60" s="64"/>
      <c r="Q60" s="64"/>
      <c r="R60" s="64"/>
      <c r="S60" s="18" t="s">
        <v>994</v>
      </c>
      <c r="T60" s="18"/>
    </row>
    <row r="61" spans="4:20" ht="21.95" customHeight="1" x14ac:dyDescent="0.15">
      <c r="D61" s="78" t="s">
        <v>989</v>
      </c>
      <c r="E61" s="78" t="s">
        <v>993</v>
      </c>
      <c r="F61" s="49" t="s">
        <v>190</v>
      </c>
      <c r="G61" s="49">
        <f t="shared" si="4"/>
        <v>74</v>
      </c>
      <c r="H61" s="49"/>
      <c r="I61" s="49">
        <v>74</v>
      </c>
      <c r="J61" s="49"/>
      <c r="K61" s="78"/>
      <c r="L61" s="49" t="s">
        <v>940</v>
      </c>
      <c r="M61" s="49">
        <v>0.01</v>
      </c>
      <c r="N61" s="49">
        <v>100</v>
      </c>
      <c r="O61" s="49">
        <f t="shared" si="6"/>
        <v>0.74</v>
      </c>
      <c r="P61" s="64"/>
      <c r="Q61" s="64"/>
      <c r="R61" s="64"/>
      <c r="S61" s="18" t="s">
        <v>994</v>
      </c>
      <c r="T61" s="18"/>
    </row>
    <row r="62" spans="4:20" ht="21.95" customHeight="1" x14ac:dyDescent="0.15">
      <c r="D62" s="78" t="s">
        <v>865</v>
      </c>
      <c r="E62" s="78" t="s">
        <v>996</v>
      </c>
      <c r="F62" s="49" t="s">
        <v>190</v>
      </c>
      <c r="G62" s="49">
        <f t="shared" si="4"/>
        <v>2</v>
      </c>
      <c r="H62" s="49"/>
      <c r="I62" s="49">
        <v>2</v>
      </c>
      <c r="J62" s="49"/>
      <c r="K62" s="78"/>
      <c r="L62" s="49" t="s">
        <v>940</v>
      </c>
      <c r="M62" s="49">
        <v>0.01</v>
      </c>
      <c r="N62" s="49">
        <v>100</v>
      </c>
      <c r="O62" s="49">
        <f t="shared" si="6"/>
        <v>0.02</v>
      </c>
      <c r="P62" s="64"/>
      <c r="Q62" s="64"/>
      <c r="R62" s="64"/>
      <c r="S62" s="18" t="s">
        <v>957</v>
      </c>
      <c r="T62" s="18"/>
    </row>
    <row r="63" spans="4:20" ht="21.95" customHeight="1" x14ac:dyDescent="0.15">
      <c r="D63" s="78" t="s">
        <v>827</v>
      </c>
      <c r="E63" s="78" t="s">
        <v>828</v>
      </c>
      <c r="F63" s="148" t="s">
        <v>949</v>
      </c>
      <c r="G63" s="49">
        <f t="shared" si="4"/>
        <v>12</v>
      </c>
      <c r="H63" s="49"/>
      <c r="I63" s="49">
        <v>12</v>
      </c>
      <c r="J63" s="49"/>
      <c r="K63" s="78"/>
      <c r="L63" s="49" t="s">
        <v>940</v>
      </c>
      <c r="M63" s="49">
        <v>0.01</v>
      </c>
      <c r="N63" s="49">
        <v>100</v>
      </c>
      <c r="O63" s="49">
        <f t="shared" si="6"/>
        <v>0.12</v>
      </c>
      <c r="P63" s="64"/>
      <c r="Q63" s="64"/>
      <c r="R63" s="64"/>
      <c r="S63" s="18" t="s">
        <v>957</v>
      </c>
      <c r="T63" s="18"/>
    </row>
    <row r="64" spans="4:20" ht="21.95" customHeight="1" x14ac:dyDescent="0.15">
      <c r="D64" s="78" t="s">
        <v>829</v>
      </c>
      <c r="E64" s="78" t="s">
        <v>988</v>
      </c>
      <c r="F64" s="148" t="s">
        <v>949</v>
      </c>
      <c r="G64" s="49">
        <f t="shared" si="4"/>
        <v>6</v>
      </c>
      <c r="H64" s="49"/>
      <c r="I64" s="49">
        <v>6</v>
      </c>
      <c r="J64" s="49"/>
      <c r="K64" s="78"/>
      <c r="L64" s="49" t="s">
        <v>940</v>
      </c>
      <c r="M64" s="49">
        <v>0.01</v>
      </c>
      <c r="N64" s="49">
        <v>100</v>
      </c>
      <c r="O64" s="49">
        <f t="shared" si="6"/>
        <v>0.06</v>
      </c>
      <c r="P64" s="64"/>
      <c r="Q64" s="64"/>
      <c r="R64" s="64"/>
      <c r="S64" s="18" t="s">
        <v>957</v>
      </c>
      <c r="T64" s="18"/>
    </row>
    <row r="65" spans="4:20" ht="21.95" customHeight="1" x14ac:dyDescent="0.15">
      <c r="D65" s="78" t="s">
        <v>926</v>
      </c>
      <c r="E65" s="78" t="s">
        <v>928</v>
      </c>
      <c r="F65" s="148" t="s">
        <v>172</v>
      </c>
      <c r="G65" s="49">
        <f t="shared" ref="G65:G70" si="7">I65</f>
        <v>1</v>
      </c>
      <c r="H65" s="49"/>
      <c r="I65" s="49">
        <v>1</v>
      </c>
      <c r="J65" s="49"/>
      <c r="K65" s="78"/>
      <c r="L65" s="49" t="s">
        <v>936</v>
      </c>
      <c r="M65" s="49">
        <v>0.02</v>
      </c>
      <c r="N65" s="49">
        <v>100</v>
      </c>
      <c r="O65" s="49">
        <f t="shared" si="6"/>
        <v>0.02</v>
      </c>
      <c r="P65" s="64"/>
      <c r="Q65" s="64"/>
      <c r="R65" s="64"/>
      <c r="S65" s="18" t="s">
        <v>939</v>
      </c>
      <c r="T65" s="18"/>
    </row>
    <row r="66" spans="4:20" ht="21.95" customHeight="1" x14ac:dyDescent="0.15">
      <c r="D66" s="78" t="s">
        <v>821</v>
      </c>
      <c r="E66" s="78" t="s">
        <v>822</v>
      </c>
      <c r="F66" s="148" t="s">
        <v>949</v>
      </c>
      <c r="G66" s="49">
        <f t="shared" si="7"/>
        <v>3</v>
      </c>
      <c r="H66" s="49"/>
      <c r="I66" s="49">
        <f>'일위대가 (2)'!G63</f>
        <v>3</v>
      </c>
      <c r="J66" s="49"/>
      <c r="K66" s="78"/>
      <c r="L66" s="49" t="s">
        <v>936</v>
      </c>
      <c r="M66" s="49">
        <v>0.18</v>
      </c>
      <c r="N66" s="49">
        <v>100</v>
      </c>
      <c r="O66" s="49">
        <f t="shared" si="6"/>
        <v>0.54</v>
      </c>
      <c r="P66" s="64"/>
      <c r="Q66" s="64"/>
      <c r="R66" s="64"/>
      <c r="S66" s="18" t="s">
        <v>958</v>
      </c>
      <c r="T66" s="18"/>
    </row>
    <row r="67" spans="4:20" ht="21.95" customHeight="1" x14ac:dyDescent="0.15">
      <c r="D67" s="78" t="s">
        <v>930</v>
      </c>
      <c r="E67" s="78" t="s">
        <v>966</v>
      </c>
      <c r="F67" s="49" t="s">
        <v>190</v>
      </c>
      <c r="G67" s="49">
        <f t="shared" si="7"/>
        <v>1</v>
      </c>
      <c r="H67" s="49"/>
      <c r="I67" s="49">
        <f>'일위대가 (2)'!G67</f>
        <v>1</v>
      </c>
      <c r="J67" s="49"/>
      <c r="K67" s="78"/>
      <c r="L67" s="49" t="s">
        <v>940</v>
      </c>
      <c r="M67" s="49">
        <v>0.46</v>
      </c>
      <c r="N67" s="49">
        <v>100</v>
      </c>
      <c r="O67" s="49">
        <f>M67*G67</f>
        <v>0.46</v>
      </c>
      <c r="P67" s="64"/>
      <c r="Q67" s="64"/>
      <c r="R67" s="64"/>
      <c r="S67" s="18" t="s">
        <v>941</v>
      </c>
      <c r="T67" s="18"/>
    </row>
    <row r="68" spans="4:20" ht="21.95" customHeight="1" x14ac:dyDescent="0.15">
      <c r="D68" s="78" t="s">
        <v>933</v>
      </c>
      <c r="E68" s="78" t="s">
        <v>935</v>
      </c>
      <c r="F68" s="49" t="s">
        <v>190</v>
      </c>
      <c r="G68" s="49">
        <f t="shared" si="7"/>
        <v>1</v>
      </c>
      <c r="H68" s="49"/>
      <c r="I68" s="49">
        <f>'일위대가 (2)'!G68</f>
        <v>1</v>
      </c>
      <c r="J68" s="49"/>
      <c r="K68" s="78"/>
      <c r="L68" s="49" t="s">
        <v>940</v>
      </c>
      <c r="M68" s="49">
        <v>0.13</v>
      </c>
      <c r="N68" s="49">
        <v>100</v>
      </c>
      <c r="O68" s="49">
        <f>M68*G68</f>
        <v>0.13</v>
      </c>
      <c r="P68" s="64"/>
      <c r="Q68" s="64"/>
      <c r="R68" s="64"/>
      <c r="S68" s="18" t="s">
        <v>941</v>
      </c>
      <c r="T68" s="18"/>
    </row>
    <row r="69" spans="4:20" ht="21.95" customHeight="1" x14ac:dyDescent="0.15">
      <c r="D69" s="78" t="s">
        <v>873</v>
      </c>
      <c r="E69" s="78" t="s">
        <v>874</v>
      </c>
      <c r="F69" s="49" t="s">
        <v>190</v>
      </c>
      <c r="G69" s="49">
        <f t="shared" si="7"/>
        <v>2</v>
      </c>
      <c r="H69" s="49"/>
      <c r="I69" s="49">
        <v>2</v>
      </c>
      <c r="J69" s="49"/>
      <c r="K69" s="78"/>
      <c r="L69" s="49" t="s">
        <v>936</v>
      </c>
      <c r="M69" s="49">
        <v>0.18</v>
      </c>
      <c r="N69" s="49">
        <v>100</v>
      </c>
      <c r="O69" s="49">
        <f>M69*G69</f>
        <v>0.36</v>
      </c>
      <c r="P69" s="64"/>
      <c r="Q69" s="64"/>
      <c r="R69" s="64"/>
      <c r="S69" s="18" t="s">
        <v>958</v>
      </c>
      <c r="T69" s="18"/>
    </row>
    <row r="70" spans="4:20" ht="21.95" customHeight="1" x14ac:dyDescent="0.15">
      <c r="D70" s="78" t="s">
        <v>833</v>
      </c>
      <c r="E70" s="78" t="s">
        <v>834</v>
      </c>
      <c r="F70" s="148" t="s">
        <v>172</v>
      </c>
      <c r="G70" s="49">
        <f t="shared" si="7"/>
        <v>13</v>
      </c>
      <c r="H70" s="49"/>
      <c r="I70" s="49">
        <f>'일위대가 (2)'!G65</f>
        <v>13</v>
      </c>
      <c r="J70" s="49"/>
      <c r="K70" s="78"/>
      <c r="L70" s="49" t="s">
        <v>936</v>
      </c>
      <c r="M70" s="49">
        <v>0.05</v>
      </c>
      <c r="N70" s="49">
        <v>100</v>
      </c>
      <c r="O70" s="49">
        <f>M70*G70</f>
        <v>0.65</v>
      </c>
      <c r="P70" s="64"/>
      <c r="Q70" s="64"/>
      <c r="R70" s="64"/>
      <c r="S70" s="18" t="s">
        <v>958</v>
      </c>
      <c r="T70" s="18"/>
    </row>
    <row r="71" spans="4:20" ht="21.95" customHeight="1" x14ac:dyDescent="0.15">
      <c r="D71" s="78" t="s">
        <v>459</v>
      </c>
      <c r="E71" s="49" t="s">
        <v>936</v>
      </c>
      <c r="F71" s="49" t="s">
        <v>461</v>
      </c>
      <c r="G71" s="49">
        <f>O40+O42+O43+O49+O50+O51+O52+O53+O57+O65+O66+O70+O69</f>
        <v>7.9829999999999997</v>
      </c>
      <c r="H71" s="49"/>
      <c r="I71" s="49"/>
      <c r="J71" s="49"/>
      <c r="K71" s="78"/>
      <c r="L71" s="49"/>
      <c r="M71" s="49"/>
      <c r="N71" s="49"/>
      <c r="O71" s="49"/>
      <c r="P71" s="64"/>
      <c r="Q71" s="64"/>
      <c r="R71" s="64"/>
      <c r="S71" s="18"/>
      <c r="T71" s="18"/>
    </row>
    <row r="72" spans="4:20" ht="21.95" customHeight="1" x14ac:dyDescent="0.15">
      <c r="D72" s="78"/>
      <c r="E72" s="49" t="s">
        <v>940</v>
      </c>
      <c r="F72" s="49" t="s">
        <v>461</v>
      </c>
      <c r="G72" s="49">
        <f>O68+O67+O64+O63+O62+O61+O60+O59+O58+O56+O55+O54+O48+O47+O46+O45+O44+O39</f>
        <v>9.6219999999999999</v>
      </c>
      <c r="H72" s="49"/>
      <c r="I72" s="49"/>
      <c r="J72" s="49"/>
      <c r="K72" s="78"/>
      <c r="L72" s="49"/>
      <c r="M72" s="49"/>
      <c r="N72" s="49"/>
      <c r="O72" s="49"/>
      <c r="P72" s="64"/>
      <c r="Q72" s="64"/>
      <c r="R72" s="64"/>
      <c r="S72" s="18"/>
      <c r="T72" s="18"/>
    </row>
    <row r="73" spans="4:20" ht="21.95" customHeight="1" x14ac:dyDescent="0.15">
      <c r="D73" s="78"/>
      <c r="E73" s="49" t="s">
        <v>938</v>
      </c>
      <c r="F73" s="49" t="s">
        <v>461</v>
      </c>
      <c r="G73" s="49">
        <f>O41</f>
        <v>0.48999999999999994</v>
      </c>
      <c r="H73" s="49"/>
      <c r="I73" s="49"/>
      <c r="J73" s="49"/>
      <c r="K73" s="78"/>
      <c r="L73" s="49"/>
      <c r="M73" s="49"/>
      <c r="N73" s="49"/>
      <c r="O73" s="49"/>
      <c r="P73" s="64"/>
      <c r="Q73" s="64"/>
      <c r="R73" s="64"/>
      <c r="S73" s="18"/>
      <c r="T73" s="18"/>
    </row>
    <row r="74" spans="4:20" ht="21.95" customHeight="1" x14ac:dyDescent="0.15">
      <c r="D74" s="78"/>
      <c r="E74" s="78"/>
      <c r="F74" s="148"/>
      <c r="G74" s="49"/>
      <c r="H74" s="49"/>
      <c r="I74" s="49"/>
      <c r="J74" s="49"/>
      <c r="K74" s="78"/>
      <c r="L74" s="49"/>
      <c r="M74" s="49"/>
      <c r="N74" s="49"/>
      <c r="O74" s="49"/>
      <c r="P74" s="64"/>
      <c r="Q74" s="64"/>
      <c r="R74" s="64"/>
      <c r="S74" s="18"/>
      <c r="T74" s="18"/>
    </row>
    <row r="75" spans="4:20" ht="21.95" customHeight="1" x14ac:dyDescent="0.15">
      <c r="D75" s="149" t="s">
        <v>999</v>
      </c>
      <c r="E75" s="78"/>
      <c r="F75" s="148"/>
      <c r="G75" s="49"/>
      <c r="H75" s="49"/>
      <c r="I75" s="49"/>
      <c r="J75" s="49"/>
      <c r="K75" s="78"/>
      <c r="L75" s="49"/>
      <c r="M75" s="49"/>
      <c r="N75" s="49"/>
      <c r="O75" s="49"/>
      <c r="P75" s="64"/>
      <c r="Q75" s="64"/>
      <c r="R75" s="64"/>
      <c r="S75" s="18"/>
      <c r="T75" s="18"/>
    </row>
    <row r="76" spans="4:20" ht="21.95" customHeight="1" x14ac:dyDescent="0.15">
      <c r="D76" s="78" t="s">
        <v>839</v>
      </c>
      <c r="E76" s="78" t="s">
        <v>840</v>
      </c>
      <c r="F76" s="148" t="s">
        <v>949</v>
      </c>
      <c r="G76" s="49">
        <f>I76</f>
        <v>3</v>
      </c>
      <c r="H76" s="49"/>
      <c r="I76" s="49">
        <f>'일위대가 (2)'!G132</f>
        <v>3</v>
      </c>
      <c r="J76" s="49"/>
      <c r="K76" s="78"/>
      <c r="L76" s="49" t="s">
        <v>940</v>
      </c>
      <c r="M76" s="49">
        <v>0.22</v>
      </c>
      <c r="N76" s="49">
        <v>100</v>
      </c>
      <c r="O76" s="49">
        <f>M76*G76</f>
        <v>0.66</v>
      </c>
      <c r="P76" s="64"/>
      <c r="Q76" s="64"/>
      <c r="R76" s="64"/>
      <c r="S76" s="18" t="s">
        <v>961</v>
      </c>
      <c r="T76" s="18"/>
    </row>
    <row r="77" spans="4:20" ht="21.95" customHeight="1" x14ac:dyDescent="0.15">
      <c r="D77" s="78" t="s">
        <v>841</v>
      </c>
      <c r="E77" s="78" t="s">
        <v>842</v>
      </c>
      <c r="F77" s="148" t="s">
        <v>172</v>
      </c>
      <c r="G77" s="49">
        <f t="shared" ref="G77" si="8">I77</f>
        <v>0.8</v>
      </c>
      <c r="H77" s="49"/>
      <c r="I77" s="49">
        <f>'일위대가 (2)'!G133</f>
        <v>0.8</v>
      </c>
      <c r="J77" s="49"/>
      <c r="K77" s="78"/>
      <c r="L77" s="49" t="s">
        <v>936</v>
      </c>
      <c r="M77" s="49">
        <v>0.09</v>
      </c>
      <c r="N77" s="49">
        <v>100</v>
      </c>
      <c r="O77" s="49">
        <f>M77*G77</f>
        <v>7.1999999999999995E-2</v>
      </c>
      <c r="P77" s="64"/>
      <c r="Q77" s="64"/>
      <c r="R77" s="64"/>
      <c r="S77" s="18" t="s">
        <v>937</v>
      </c>
      <c r="T77" s="18"/>
    </row>
    <row r="78" spans="4:20" ht="21.95" customHeight="1" x14ac:dyDescent="0.15">
      <c r="D78" s="78"/>
      <c r="E78" s="78"/>
      <c r="F78" s="148"/>
      <c r="G78" s="49"/>
      <c r="H78" s="49"/>
      <c r="I78" s="49"/>
      <c r="J78" s="49"/>
      <c r="K78" s="78"/>
      <c r="L78" s="49" t="s">
        <v>938</v>
      </c>
      <c r="M78" s="49">
        <v>0.7</v>
      </c>
      <c r="N78" s="49">
        <v>100</v>
      </c>
      <c r="O78" s="49">
        <f>M78*G77</f>
        <v>0.55999999999999994</v>
      </c>
      <c r="P78" s="64"/>
      <c r="Q78" s="64"/>
      <c r="R78" s="64"/>
      <c r="S78" s="18" t="s">
        <v>937</v>
      </c>
      <c r="T78" s="18"/>
    </row>
    <row r="79" spans="4:20" ht="21.95" customHeight="1" x14ac:dyDescent="0.15">
      <c r="D79" s="78" t="s">
        <v>843</v>
      </c>
      <c r="E79" s="78"/>
      <c r="F79" s="148" t="s">
        <v>944</v>
      </c>
      <c r="G79" s="49">
        <f t="shared" ref="G79:G98" si="9">I79</f>
        <v>1</v>
      </c>
      <c r="H79" s="49"/>
      <c r="I79" s="49">
        <f>'일위대가 (2)'!G135</f>
        <v>1</v>
      </c>
      <c r="J79" s="49"/>
      <c r="K79" s="78"/>
      <c r="L79" s="49" t="s">
        <v>936</v>
      </c>
      <c r="M79" s="49">
        <v>1.31</v>
      </c>
      <c r="N79" s="49">
        <v>100</v>
      </c>
      <c r="O79" s="49">
        <f t="shared" ref="O79:O83" si="10">M79*G79</f>
        <v>1.31</v>
      </c>
      <c r="P79" s="64"/>
      <c r="Q79" s="64"/>
      <c r="R79" s="64"/>
      <c r="S79" s="18" t="s">
        <v>965</v>
      </c>
      <c r="T79" s="18"/>
    </row>
    <row r="80" spans="4:20" ht="21.95" customHeight="1" x14ac:dyDescent="0.15">
      <c r="D80" s="78" t="s">
        <v>845</v>
      </c>
      <c r="E80" s="78" t="s">
        <v>846</v>
      </c>
      <c r="F80" s="148" t="s">
        <v>949</v>
      </c>
      <c r="G80" s="49">
        <f t="shared" si="9"/>
        <v>3</v>
      </c>
      <c r="H80" s="49"/>
      <c r="I80" s="49">
        <f>'일위대가 (2)'!G138</f>
        <v>3</v>
      </c>
      <c r="J80" s="49"/>
      <c r="K80" s="78"/>
      <c r="L80" s="49" t="s">
        <v>936</v>
      </c>
      <c r="M80" s="49">
        <v>0.34</v>
      </c>
      <c r="N80" s="49">
        <v>100</v>
      </c>
      <c r="O80" s="49">
        <f t="shared" si="10"/>
        <v>1.02</v>
      </c>
      <c r="P80" s="64"/>
      <c r="Q80" s="64"/>
      <c r="R80" s="64"/>
      <c r="S80" s="18" t="s">
        <v>958</v>
      </c>
      <c r="T80" s="18"/>
    </row>
    <row r="81" spans="4:20" ht="21.95" customHeight="1" x14ac:dyDescent="0.15">
      <c r="D81" s="78" t="s">
        <v>930</v>
      </c>
      <c r="E81" s="78" t="s">
        <v>1004</v>
      </c>
      <c r="F81" s="49" t="s">
        <v>190</v>
      </c>
      <c r="G81" s="49">
        <f t="shared" si="9"/>
        <v>1</v>
      </c>
      <c r="H81" s="49"/>
      <c r="I81" s="49">
        <f>'일위대가 (2)'!G136</f>
        <v>1</v>
      </c>
      <c r="J81" s="49"/>
      <c r="K81" s="78"/>
      <c r="L81" s="49" t="s">
        <v>940</v>
      </c>
      <c r="M81" s="49">
        <v>0.36</v>
      </c>
      <c r="N81" s="49">
        <v>100</v>
      </c>
      <c r="O81" s="49">
        <f t="shared" si="10"/>
        <v>0.36</v>
      </c>
      <c r="P81" s="64"/>
      <c r="Q81" s="64"/>
      <c r="R81" s="64"/>
      <c r="S81" s="18" t="s">
        <v>941</v>
      </c>
      <c r="T81" s="18"/>
    </row>
    <row r="82" spans="4:20" ht="21.95" customHeight="1" x14ac:dyDescent="0.15">
      <c r="D82" s="78" t="s">
        <v>930</v>
      </c>
      <c r="E82" s="78" t="s">
        <v>983</v>
      </c>
      <c r="F82" s="49" t="s">
        <v>190</v>
      </c>
      <c r="G82" s="49">
        <f t="shared" si="9"/>
        <v>1</v>
      </c>
      <c r="H82" s="49"/>
      <c r="I82" s="49">
        <f>'일위대가 (2)'!G155</f>
        <v>1</v>
      </c>
      <c r="J82" s="49"/>
      <c r="K82" s="78"/>
      <c r="L82" s="49" t="s">
        <v>940</v>
      </c>
      <c r="M82" s="49">
        <v>0.26</v>
      </c>
      <c r="N82" s="49">
        <v>100</v>
      </c>
      <c r="O82" s="49">
        <f t="shared" si="10"/>
        <v>0.26</v>
      </c>
      <c r="P82" s="64"/>
      <c r="Q82" s="64"/>
      <c r="R82" s="64"/>
      <c r="S82" s="18" t="s">
        <v>941</v>
      </c>
      <c r="T82" s="18"/>
    </row>
    <row r="83" spans="4:20" ht="21.95" customHeight="1" x14ac:dyDescent="0.15">
      <c r="D83" s="78" t="s">
        <v>866</v>
      </c>
      <c r="E83" s="78" t="s">
        <v>867</v>
      </c>
      <c r="F83" s="148" t="s">
        <v>944</v>
      </c>
      <c r="G83" s="49">
        <f t="shared" si="9"/>
        <v>1</v>
      </c>
      <c r="H83" s="49"/>
      <c r="I83" s="49">
        <f>'일위대가 (2)'!G140</f>
        <v>1</v>
      </c>
      <c r="J83" s="49"/>
      <c r="K83" s="78"/>
      <c r="L83" s="49" t="s">
        <v>940</v>
      </c>
      <c r="M83" s="49">
        <v>0.12</v>
      </c>
      <c r="N83" s="49">
        <v>100</v>
      </c>
      <c r="O83" s="49">
        <f t="shared" si="10"/>
        <v>0.12</v>
      </c>
      <c r="P83" s="64"/>
      <c r="Q83" s="64"/>
      <c r="R83" s="64"/>
      <c r="S83" s="18" t="s">
        <v>941</v>
      </c>
      <c r="T83" s="18"/>
    </row>
    <row r="84" spans="4:20" ht="21.95" customHeight="1" x14ac:dyDescent="0.15">
      <c r="D84" s="78" t="s">
        <v>942</v>
      </c>
      <c r="E84" s="78" t="s">
        <v>817</v>
      </c>
      <c r="F84" s="148" t="s">
        <v>944</v>
      </c>
      <c r="G84" s="49">
        <f t="shared" si="9"/>
        <v>1</v>
      </c>
      <c r="H84" s="49"/>
      <c r="I84" s="49">
        <f>'일위대가 (2)'!G157</f>
        <v>1</v>
      </c>
      <c r="J84" s="49"/>
      <c r="K84" s="78"/>
      <c r="L84" s="49" t="s">
        <v>940</v>
      </c>
      <c r="M84" s="49">
        <v>0.12</v>
      </c>
      <c r="N84" s="49">
        <v>100</v>
      </c>
      <c r="O84" s="49">
        <f t="shared" ref="O84:O90" si="11">M84*G84</f>
        <v>0.12</v>
      </c>
      <c r="P84" s="64"/>
      <c r="Q84" s="64"/>
      <c r="R84" s="64"/>
      <c r="S84" s="18" t="s">
        <v>941</v>
      </c>
      <c r="T84" s="18"/>
    </row>
    <row r="85" spans="4:20" ht="21.95" customHeight="1" x14ac:dyDescent="0.15">
      <c r="D85" s="78" t="s">
        <v>869</v>
      </c>
      <c r="E85" s="78" t="s">
        <v>870</v>
      </c>
      <c r="F85" s="148" t="s">
        <v>944</v>
      </c>
      <c r="G85" s="49">
        <f t="shared" si="9"/>
        <v>2</v>
      </c>
      <c r="H85" s="49"/>
      <c r="I85" s="49">
        <f>'일위대가 (2)'!G156</f>
        <v>2</v>
      </c>
      <c r="J85" s="49"/>
      <c r="K85" s="78"/>
      <c r="L85" s="49" t="s">
        <v>940</v>
      </c>
      <c r="M85" s="49">
        <v>0.12</v>
      </c>
      <c r="N85" s="49">
        <v>100</v>
      </c>
      <c r="O85" s="49">
        <f t="shared" si="11"/>
        <v>0.24</v>
      </c>
      <c r="P85" s="64"/>
      <c r="Q85" s="64"/>
      <c r="R85" s="64"/>
      <c r="S85" s="18" t="s">
        <v>941</v>
      </c>
      <c r="T85" s="18"/>
    </row>
    <row r="86" spans="4:20" ht="21.95" customHeight="1" x14ac:dyDescent="0.15">
      <c r="D86" s="78" t="s">
        <v>850</v>
      </c>
      <c r="E86" s="78"/>
      <c r="F86" s="49" t="s">
        <v>190</v>
      </c>
      <c r="G86" s="49">
        <f t="shared" si="9"/>
        <v>2</v>
      </c>
      <c r="H86" s="49"/>
      <c r="I86" s="49">
        <v>2</v>
      </c>
      <c r="J86" s="49"/>
      <c r="K86" s="78"/>
      <c r="L86" s="49" t="s">
        <v>936</v>
      </c>
      <c r="M86" s="49">
        <v>0.18</v>
      </c>
      <c r="N86" s="49">
        <v>100</v>
      </c>
      <c r="O86" s="49">
        <f t="shared" si="11"/>
        <v>0.36</v>
      </c>
      <c r="P86" s="64"/>
      <c r="Q86" s="64"/>
      <c r="R86" s="64"/>
      <c r="S86" s="18" t="s">
        <v>958</v>
      </c>
      <c r="T86" s="18"/>
    </row>
    <row r="87" spans="4:20" ht="21.95" customHeight="1" x14ac:dyDescent="0.15">
      <c r="D87" s="78" t="s">
        <v>851</v>
      </c>
      <c r="E87" s="78"/>
      <c r="F87" s="49" t="s">
        <v>190</v>
      </c>
      <c r="G87" s="49">
        <f t="shared" si="9"/>
        <v>2</v>
      </c>
      <c r="H87" s="49"/>
      <c r="I87" s="49">
        <v>2</v>
      </c>
      <c r="J87" s="49"/>
      <c r="K87" s="78"/>
      <c r="L87" s="49" t="s">
        <v>936</v>
      </c>
      <c r="M87" s="49">
        <v>0.1</v>
      </c>
      <c r="N87" s="49">
        <v>100</v>
      </c>
      <c r="O87" s="49">
        <f t="shared" si="11"/>
        <v>0.2</v>
      </c>
      <c r="P87" s="64"/>
      <c r="Q87" s="64"/>
      <c r="R87" s="64"/>
      <c r="S87" s="18" t="s">
        <v>958</v>
      </c>
      <c r="T87" s="18"/>
    </row>
    <row r="88" spans="4:20" ht="21.95" customHeight="1" x14ac:dyDescent="0.15">
      <c r="D88" s="78" t="s">
        <v>977</v>
      </c>
      <c r="E88" s="78" t="s">
        <v>868</v>
      </c>
      <c r="F88" s="49" t="s">
        <v>190</v>
      </c>
      <c r="G88" s="49">
        <f t="shared" si="9"/>
        <v>1</v>
      </c>
      <c r="H88" s="49"/>
      <c r="I88" s="49">
        <f>'일위대가 (2)'!G143</f>
        <v>1</v>
      </c>
      <c r="J88" s="49"/>
      <c r="K88" s="78"/>
      <c r="L88" s="49" t="s">
        <v>936</v>
      </c>
      <c r="M88" s="49">
        <v>0.09</v>
      </c>
      <c r="N88" s="49">
        <v>100</v>
      </c>
      <c r="O88" s="49">
        <f t="shared" si="11"/>
        <v>0.09</v>
      </c>
      <c r="P88" s="64"/>
      <c r="Q88" s="64"/>
      <c r="R88" s="64"/>
      <c r="S88" s="18" t="s">
        <v>979</v>
      </c>
      <c r="T88" s="18"/>
    </row>
    <row r="89" spans="4:20" ht="21.95" customHeight="1" x14ac:dyDescent="0.15">
      <c r="D89" s="78" t="s">
        <v>852</v>
      </c>
      <c r="E89" s="78" t="s">
        <v>871</v>
      </c>
      <c r="F89" s="49" t="s">
        <v>190</v>
      </c>
      <c r="G89" s="49">
        <f t="shared" si="9"/>
        <v>1</v>
      </c>
      <c r="H89" s="49"/>
      <c r="I89" s="49">
        <f>'일위대가 (2)'!G160</f>
        <v>1</v>
      </c>
      <c r="J89" s="49"/>
      <c r="K89" s="78"/>
      <c r="L89" s="49" t="s">
        <v>936</v>
      </c>
      <c r="M89" s="49">
        <v>0.09</v>
      </c>
      <c r="N89" s="49">
        <v>100</v>
      </c>
      <c r="O89" s="49">
        <f t="shared" si="11"/>
        <v>0.09</v>
      </c>
      <c r="P89" s="64"/>
      <c r="Q89" s="64"/>
      <c r="R89" s="64"/>
      <c r="S89" s="18" t="s">
        <v>979</v>
      </c>
      <c r="T89" s="18"/>
    </row>
    <row r="90" spans="4:20" ht="21.95" customHeight="1" x14ac:dyDescent="0.15">
      <c r="D90" s="78" t="s">
        <v>823</v>
      </c>
      <c r="E90" s="78" t="s">
        <v>982</v>
      </c>
      <c r="F90" s="148" t="s">
        <v>172</v>
      </c>
      <c r="G90" s="49">
        <f t="shared" si="9"/>
        <v>3.5</v>
      </c>
      <c r="H90" s="49"/>
      <c r="I90" s="49">
        <f>'일위대가 (2)'!G145</f>
        <v>3.5</v>
      </c>
      <c r="J90" s="49"/>
      <c r="K90" s="78"/>
      <c r="L90" s="49" t="s">
        <v>940</v>
      </c>
      <c r="M90" s="49">
        <v>0.01</v>
      </c>
      <c r="N90" s="49">
        <v>100</v>
      </c>
      <c r="O90" s="49">
        <f t="shared" si="11"/>
        <v>3.5000000000000003E-2</v>
      </c>
      <c r="P90" s="64"/>
      <c r="Q90" s="64"/>
      <c r="R90" s="64"/>
      <c r="S90" s="18" t="s">
        <v>956</v>
      </c>
      <c r="T90" s="18"/>
    </row>
    <row r="91" spans="4:20" ht="21.95" customHeight="1" x14ac:dyDescent="0.15">
      <c r="D91" s="78" t="s">
        <v>823</v>
      </c>
      <c r="E91" s="78" t="s">
        <v>824</v>
      </c>
      <c r="F91" s="148" t="s">
        <v>172</v>
      </c>
      <c r="G91" s="49">
        <f t="shared" si="9"/>
        <v>5.6</v>
      </c>
      <c r="H91" s="49"/>
      <c r="I91" s="49">
        <v>5.6</v>
      </c>
      <c r="J91" s="49"/>
      <c r="K91" s="78"/>
      <c r="L91" s="49" t="s">
        <v>940</v>
      </c>
      <c r="M91" s="49">
        <v>0.01</v>
      </c>
      <c r="N91" s="49">
        <v>100</v>
      </c>
      <c r="O91" s="49">
        <f t="shared" ref="O91:O99" si="12">M91*G91</f>
        <v>5.5999999999999994E-2</v>
      </c>
      <c r="P91" s="64"/>
      <c r="Q91" s="64"/>
      <c r="R91" s="64"/>
      <c r="S91" s="18" t="s">
        <v>956</v>
      </c>
      <c r="T91" s="18"/>
    </row>
    <row r="92" spans="4:20" ht="21.95" customHeight="1" x14ac:dyDescent="0.15">
      <c r="D92" s="78" t="s">
        <v>856</v>
      </c>
      <c r="E92" s="78" t="s">
        <v>857</v>
      </c>
      <c r="F92" s="49" t="s">
        <v>190</v>
      </c>
      <c r="G92" s="49">
        <f t="shared" si="9"/>
        <v>4</v>
      </c>
      <c r="H92" s="49"/>
      <c r="I92" s="49">
        <v>4</v>
      </c>
      <c r="J92" s="49"/>
      <c r="K92" s="78"/>
      <c r="L92" s="49" t="s">
        <v>936</v>
      </c>
      <c r="M92" s="49">
        <v>0.18</v>
      </c>
      <c r="N92" s="49">
        <v>100</v>
      </c>
      <c r="O92" s="49">
        <f t="shared" si="12"/>
        <v>0.72</v>
      </c>
      <c r="P92" s="64"/>
      <c r="Q92" s="64"/>
      <c r="R92" s="64"/>
      <c r="S92" s="18" t="s">
        <v>958</v>
      </c>
      <c r="T92" s="18"/>
    </row>
    <row r="93" spans="4:20" ht="21.95" customHeight="1" x14ac:dyDescent="0.15">
      <c r="D93" s="78" t="s">
        <v>859</v>
      </c>
      <c r="E93" s="78" t="s">
        <v>860</v>
      </c>
      <c r="F93" s="49" t="s">
        <v>190</v>
      </c>
      <c r="G93" s="49">
        <f t="shared" si="9"/>
        <v>2</v>
      </c>
      <c r="H93" s="49"/>
      <c r="I93" s="49">
        <v>2</v>
      </c>
      <c r="J93" s="49"/>
      <c r="K93" s="78"/>
      <c r="L93" s="49" t="s">
        <v>940</v>
      </c>
      <c r="M93" s="49">
        <v>0.1</v>
      </c>
      <c r="N93" s="49">
        <v>100</v>
      </c>
      <c r="O93" s="49">
        <f t="shared" si="12"/>
        <v>0.2</v>
      </c>
      <c r="P93" s="64"/>
      <c r="Q93" s="64"/>
      <c r="R93" s="64"/>
      <c r="S93" s="18" t="s">
        <v>957</v>
      </c>
      <c r="T93" s="18"/>
    </row>
    <row r="94" spans="4:20" ht="21.95" customHeight="1" x14ac:dyDescent="0.15">
      <c r="D94" s="78" t="s">
        <v>989</v>
      </c>
      <c r="E94" s="78" t="s">
        <v>872</v>
      </c>
      <c r="F94" s="49" t="s">
        <v>190</v>
      </c>
      <c r="G94" s="49">
        <f t="shared" si="9"/>
        <v>37</v>
      </c>
      <c r="H94" s="49"/>
      <c r="I94" s="49">
        <v>37</v>
      </c>
      <c r="J94" s="49"/>
      <c r="K94" s="78"/>
      <c r="L94" s="49" t="s">
        <v>940</v>
      </c>
      <c r="M94" s="49">
        <v>0.01</v>
      </c>
      <c r="N94" s="49">
        <v>100</v>
      </c>
      <c r="O94" s="49">
        <f t="shared" si="12"/>
        <v>0.37</v>
      </c>
      <c r="P94" s="64"/>
      <c r="Q94" s="64"/>
      <c r="R94" s="64"/>
      <c r="S94" s="18" t="s">
        <v>994</v>
      </c>
      <c r="T94" s="18"/>
    </row>
    <row r="95" spans="4:20" ht="21.95" customHeight="1" x14ac:dyDescent="0.15">
      <c r="D95" s="78" t="s">
        <v>989</v>
      </c>
      <c r="E95" s="78" t="s">
        <v>992</v>
      </c>
      <c r="F95" s="49" t="s">
        <v>190</v>
      </c>
      <c r="G95" s="49">
        <f t="shared" si="9"/>
        <v>15</v>
      </c>
      <c r="H95" s="49"/>
      <c r="I95" s="49">
        <v>15</v>
      </c>
      <c r="J95" s="49"/>
      <c r="K95" s="78"/>
      <c r="L95" s="49" t="s">
        <v>940</v>
      </c>
      <c r="M95" s="49">
        <v>0.01</v>
      </c>
      <c r="N95" s="49">
        <v>100</v>
      </c>
      <c r="O95" s="49">
        <f t="shared" si="12"/>
        <v>0.15</v>
      </c>
      <c r="P95" s="64"/>
      <c r="Q95" s="64"/>
      <c r="R95" s="64"/>
      <c r="S95" s="18" t="s">
        <v>994</v>
      </c>
      <c r="T95" s="18"/>
    </row>
    <row r="96" spans="4:20" ht="21.95" customHeight="1" x14ac:dyDescent="0.15">
      <c r="D96" s="78" t="s">
        <v>989</v>
      </c>
      <c r="E96" s="78" t="s">
        <v>993</v>
      </c>
      <c r="F96" s="49" t="s">
        <v>190</v>
      </c>
      <c r="G96" s="49">
        <f t="shared" si="9"/>
        <v>37</v>
      </c>
      <c r="H96" s="49"/>
      <c r="I96" s="49">
        <v>37</v>
      </c>
      <c r="J96" s="49"/>
      <c r="K96" s="78"/>
      <c r="L96" s="49" t="s">
        <v>940</v>
      </c>
      <c r="M96" s="49">
        <v>0.01</v>
      </c>
      <c r="N96" s="49">
        <v>100</v>
      </c>
      <c r="O96" s="49">
        <f t="shared" si="12"/>
        <v>0.37</v>
      </c>
      <c r="P96" s="64"/>
      <c r="Q96" s="64"/>
      <c r="R96" s="64"/>
      <c r="S96" s="18" t="s">
        <v>994</v>
      </c>
      <c r="T96" s="18"/>
    </row>
    <row r="97" spans="4:20" ht="21.95" customHeight="1" x14ac:dyDescent="0.15">
      <c r="D97" s="78" t="s">
        <v>827</v>
      </c>
      <c r="E97" s="78" t="s">
        <v>828</v>
      </c>
      <c r="F97" s="148" t="s">
        <v>949</v>
      </c>
      <c r="G97" s="49">
        <f t="shared" si="9"/>
        <v>4</v>
      </c>
      <c r="H97" s="49"/>
      <c r="I97" s="49">
        <v>4</v>
      </c>
      <c r="J97" s="49"/>
      <c r="K97" s="78"/>
      <c r="L97" s="49" t="s">
        <v>940</v>
      </c>
      <c r="M97" s="49">
        <v>0.01</v>
      </c>
      <c r="N97" s="49">
        <v>100</v>
      </c>
      <c r="O97" s="49">
        <f t="shared" si="12"/>
        <v>0.04</v>
      </c>
      <c r="P97" s="64"/>
      <c r="Q97" s="64"/>
      <c r="R97" s="64"/>
      <c r="S97" s="18" t="s">
        <v>957</v>
      </c>
      <c r="T97" s="18"/>
    </row>
    <row r="98" spans="4:20" ht="21.95" customHeight="1" x14ac:dyDescent="0.15">
      <c r="D98" s="78" t="s">
        <v>829</v>
      </c>
      <c r="E98" s="78" t="s">
        <v>988</v>
      </c>
      <c r="F98" s="148" t="s">
        <v>949</v>
      </c>
      <c r="G98" s="49">
        <f t="shared" si="9"/>
        <v>2</v>
      </c>
      <c r="H98" s="49"/>
      <c r="I98" s="49">
        <v>2</v>
      </c>
      <c r="J98" s="49"/>
      <c r="K98" s="78"/>
      <c r="L98" s="49" t="s">
        <v>940</v>
      </c>
      <c r="M98" s="49">
        <v>0.01</v>
      </c>
      <c r="N98" s="49">
        <v>100</v>
      </c>
      <c r="O98" s="49">
        <f t="shared" si="12"/>
        <v>0.02</v>
      </c>
      <c r="P98" s="64"/>
      <c r="Q98" s="64"/>
      <c r="R98" s="64"/>
      <c r="S98" s="18" t="s">
        <v>957</v>
      </c>
      <c r="T98" s="18"/>
    </row>
    <row r="99" spans="4:20" ht="21.95" customHeight="1" x14ac:dyDescent="0.15">
      <c r="D99" s="78" t="s">
        <v>926</v>
      </c>
      <c r="E99" s="78" t="s">
        <v>928</v>
      </c>
      <c r="F99" s="148" t="s">
        <v>172</v>
      </c>
      <c r="G99" s="49">
        <f>I99</f>
        <v>2</v>
      </c>
      <c r="H99" s="49"/>
      <c r="I99" s="49">
        <f>'일위대가 (2)'!G87</f>
        <v>2</v>
      </c>
      <c r="J99" s="49"/>
      <c r="K99" s="78"/>
      <c r="L99" s="49" t="s">
        <v>936</v>
      </c>
      <c r="M99" s="49">
        <v>0.02</v>
      </c>
      <c r="N99" s="49">
        <v>100</v>
      </c>
      <c r="O99" s="49">
        <f t="shared" si="12"/>
        <v>0.04</v>
      </c>
      <c r="P99" s="64"/>
      <c r="Q99" s="64"/>
      <c r="R99" s="64"/>
      <c r="S99" s="18" t="s">
        <v>939</v>
      </c>
      <c r="T99" s="18"/>
    </row>
    <row r="100" spans="4:20" ht="21.95" customHeight="1" x14ac:dyDescent="0.15">
      <c r="D100" s="78" t="s">
        <v>930</v>
      </c>
      <c r="E100" s="78" t="s">
        <v>966</v>
      </c>
      <c r="F100" s="49" t="s">
        <v>190</v>
      </c>
      <c r="G100" s="49">
        <f>I100</f>
        <v>1</v>
      </c>
      <c r="H100" s="49"/>
      <c r="I100" s="49">
        <f>'일위대가 (2)'!G136</f>
        <v>1</v>
      </c>
      <c r="J100" s="49"/>
      <c r="K100" s="78"/>
      <c r="L100" s="49" t="s">
        <v>940</v>
      </c>
      <c r="M100" s="49">
        <v>0.46</v>
      </c>
      <c r="N100" s="49">
        <v>100</v>
      </c>
      <c r="O100" s="49">
        <f>M100*G100</f>
        <v>0.46</v>
      </c>
      <c r="P100" s="64"/>
      <c r="Q100" s="64"/>
      <c r="R100" s="64"/>
      <c r="S100" s="18" t="s">
        <v>941</v>
      </c>
      <c r="T100" s="18"/>
    </row>
    <row r="101" spans="4:20" ht="21.95" customHeight="1" x14ac:dyDescent="0.15">
      <c r="D101" s="78" t="s">
        <v>933</v>
      </c>
      <c r="E101" s="78" t="s">
        <v>935</v>
      </c>
      <c r="F101" s="49" t="s">
        <v>190</v>
      </c>
      <c r="G101" s="49">
        <f>I101</f>
        <v>1</v>
      </c>
      <c r="H101" s="49"/>
      <c r="I101" s="49">
        <f>'일위대가 (2)'!G137</f>
        <v>1</v>
      </c>
      <c r="J101" s="49"/>
      <c r="K101" s="78"/>
      <c r="L101" s="49" t="s">
        <v>940</v>
      </c>
      <c r="M101" s="49">
        <v>0.13</v>
      </c>
      <c r="N101" s="49">
        <v>100</v>
      </c>
      <c r="O101" s="49">
        <f>M101*G101</f>
        <v>0.13</v>
      </c>
      <c r="P101" s="64"/>
      <c r="Q101" s="64"/>
      <c r="R101" s="64"/>
      <c r="S101" s="18" t="s">
        <v>941</v>
      </c>
      <c r="T101" s="18"/>
    </row>
    <row r="102" spans="4:20" ht="21.95" customHeight="1" x14ac:dyDescent="0.15">
      <c r="D102" s="78" t="s">
        <v>873</v>
      </c>
      <c r="E102" s="78" t="s">
        <v>874</v>
      </c>
      <c r="F102" s="49" t="s">
        <v>190</v>
      </c>
      <c r="G102" s="49">
        <f>I102</f>
        <v>1</v>
      </c>
      <c r="H102" s="49"/>
      <c r="I102" s="49">
        <v>1</v>
      </c>
      <c r="J102" s="49"/>
      <c r="K102" s="78"/>
      <c r="L102" s="49" t="s">
        <v>936</v>
      </c>
      <c r="M102" s="49">
        <v>0.18</v>
      </c>
      <c r="N102" s="49">
        <v>100</v>
      </c>
      <c r="O102" s="49">
        <f>M102*G102</f>
        <v>0.18</v>
      </c>
      <c r="P102" s="64"/>
      <c r="Q102" s="64"/>
      <c r="R102" s="64"/>
      <c r="S102" s="18" t="s">
        <v>958</v>
      </c>
      <c r="T102" s="18"/>
    </row>
    <row r="103" spans="4:20" ht="21.95" customHeight="1" x14ac:dyDescent="0.15">
      <c r="D103" s="78" t="s">
        <v>833</v>
      </c>
      <c r="E103" s="78" t="s">
        <v>834</v>
      </c>
      <c r="F103" s="148" t="s">
        <v>172</v>
      </c>
      <c r="G103" s="49">
        <f>I103</f>
        <v>45</v>
      </c>
      <c r="H103" s="49"/>
      <c r="I103" s="49">
        <v>45</v>
      </c>
      <c r="J103" s="49"/>
      <c r="K103" s="78"/>
      <c r="L103" s="49" t="s">
        <v>936</v>
      </c>
      <c r="M103" s="49">
        <v>0.05</v>
      </c>
      <c r="N103" s="49">
        <v>100</v>
      </c>
      <c r="O103" s="49">
        <f>M103*G103</f>
        <v>2.25</v>
      </c>
      <c r="P103" s="64"/>
      <c r="Q103" s="64"/>
      <c r="R103" s="64"/>
      <c r="S103" s="18" t="s">
        <v>958</v>
      </c>
      <c r="T103" s="18"/>
    </row>
    <row r="104" spans="4:20" ht="21.95" customHeight="1" x14ac:dyDescent="0.15">
      <c r="D104" s="78" t="s">
        <v>459</v>
      </c>
      <c r="E104" s="49" t="s">
        <v>936</v>
      </c>
      <c r="F104" s="49" t="s">
        <v>461</v>
      </c>
      <c r="G104" s="49">
        <f>O103+O102+O99+O92+O89+O88+O87+O86+O80+O79+O77</f>
        <v>6.3319999999999999</v>
      </c>
      <c r="H104" s="49"/>
      <c r="I104" s="49"/>
      <c r="J104" s="49"/>
      <c r="K104" s="78"/>
      <c r="L104" s="49"/>
      <c r="M104" s="49"/>
      <c r="N104" s="49"/>
      <c r="O104" s="49"/>
      <c r="P104" s="64"/>
      <c r="Q104" s="64"/>
      <c r="R104" s="64"/>
      <c r="S104" s="18"/>
      <c r="T104" s="18"/>
    </row>
    <row r="105" spans="4:20" ht="21.95" customHeight="1" x14ac:dyDescent="0.15">
      <c r="D105" s="78"/>
      <c r="E105" s="49" t="s">
        <v>940</v>
      </c>
      <c r="F105" s="49" t="s">
        <v>461</v>
      </c>
      <c r="G105" s="49">
        <f>O101+O100+O98+O97+O96+O95+O94+O93+O91+O90+O85+O84+O83+O82+O81+O76</f>
        <v>3.5909999999999997</v>
      </c>
      <c r="H105" s="49"/>
      <c r="I105" s="49"/>
      <c r="J105" s="49"/>
      <c r="K105" s="78"/>
      <c r="L105" s="49"/>
      <c r="M105" s="49"/>
      <c r="N105" s="49"/>
      <c r="O105" s="49"/>
      <c r="P105" s="64"/>
      <c r="Q105" s="64"/>
      <c r="R105" s="64"/>
      <c r="S105" s="18"/>
      <c r="T105" s="18"/>
    </row>
    <row r="106" spans="4:20" ht="21.95" customHeight="1" x14ac:dyDescent="0.15">
      <c r="D106" s="78"/>
      <c r="E106" s="49" t="s">
        <v>938</v>
      </c>
      <c r="F106" s="49" t="s">
        <v>461</v>
      </c>
      <c r="G106" s="49">
        <f>O78</f>
        <v>0.55999999999999994</v>
      </c>
      <c r="H106" s="49"/>
      <c r="I106" s="49"/>
      <c r="J106" s="49"/>
      <c r="K106" s="78"/>
      <c r="L106" s="49"/>
      <c r="M106" s="49"/>
      <c r="N106" s="49"/>
      <c r="O106" s="49"/>
      <c r="P106" s="64"/>
      <c r="Q106" s="64"/>
      <c r="R106" s="64"/>
      <c r="S106" s="18"/>
      <c r="T106" s="18"/>
    </row>
    <row r="107" spans="4:20" ht="21.95" customHeight="1" x14ac:dyDescent="0.15">
      <c r="D107" s="149"/>
      <c r="E107" s="78"/>
      <c r="F107" s="148"/>
      <c r="G107" s="49"/>
      <c r="H107" s="49"/>
      <c r="I107" s="49"/>
      <c r="J107" s="49"/>
      <c r="K107" s="78"/>
      <c r="L107" s="49"/>
      <c r="M107" s="49"/>
      <c r="N107" s="49"/>
      <c r="O107" s="49"/>
      <c r="P107" s="64"/>
      <c r="Q107" s="64"/>
      <c r="R107" s="64"/>
      <c r="S107" s="18"/>
      <c r="T107" s="18"/>
    </row>
    <row r="108" spans="4:20" ht="21.95" customHeight="1" x14ac:dyDescent="0.15">
      <c r="D108" s="149" t="s">
        <v>1005</v>
      </c>
      <c r="E108" s="78"/>
      <c r="F108" s="148"/>
      <c r="G108" s="49"/>
      <c r="H108" s="49"/>
      <c r="I108" s="49"/>
      <c r="J108" s="49"/>
      <c r="K108" s="78"/>
      <c r="L108" s="49"/>
      <c r="M108" s="49"/>
      <c r="N108" s="49"/>
      <c r="O108" s="49"/>
      <c r="P108" s="64"/>
      <c r="Q108" s="64"/>
      <c r="R108" s="64"/>
      <c r="S108" s="18"/>
      <c r="T108" s="18"/>
    </row>
    <row r="109" spans="4:20" ht="21.95" customHeight="1" x14ac:dyDescent="0.15">
      <c r="D109" s="78" t="s">
        <v>839</v>
      </c>
      <c r="E109" s="78" t="s">
        <v>840</v>
      </c>
      <c r="F109" s="148" t="s">
        <v>949</v>
      </c>
      <c r="G109" s="49">
        <f>I109</f>
        <v>3</v>
      </c>
      <c r="H109" s="49"/>
      <c r="I109" s="49">
        <f>'일위대가 (2)'!G184</f>
        <v>3</v>
      </c>
      <c r="J109" s="49"/>
      <c r="K109" s="78"/>
      <c r="L109" s="49" t="s">
        <v>940</v>
      </c>
      <c r="M109" s="49">
        <v>0.22</v>
      </c>
      <c r="N109" s="49">
        <v>100</v>
      </c>
      <c r="O109" s="49">
        <f>M109*G109</f>
        <v>0.66</v>
      </c>
      <c r="P109" s="64"/>
      <c r="Q109" s="64"/>
      <c r="R109" s="64"/>
      <c r="S109" s="18" t="s">
        <v>961</v>
      </c>
      <c r="T109" s="18"/>
    </row>
    <row r="110" spans="4:20" ht="21.95" customHeight="1" x14ac:dyDescent="0.15">
      <c r="D110" s="78" t="s">
        <v>841</v>
      </c>
      <c r="E110" s="78" t="s">
        <v>842</v>
      </c>
      <c r="F110" s="148" t="s">
        <v>172</v>
      </c>
      <c r="G110" s="49">
        <f t="shared" ref="G110" si="13">I110</f>
        <v>0.7</v>
      </c>
      <c r="H110" s="49"/>
      <c r="I110" s="49">
        <f>'일위대가 (2)'!G185</f>
        <v>0.7</v>
      </c>
      <c r="J110" s="49"/>
      <c r="K110" s="78"/>
      <c r="L110" s="49" t="s">
        <v>936</v>
      </c>
      <c r="M110" s="49">
        <v>0.09</v>
      </c>
      <c r="N110" s="49">
        <v>100</v>
      </c>
      <c r="O110" s="49">
        <f>M110*G110</f>
        <v>6.3E-2</v>
      </c>
      <c r="P110" s="64"/>
      <c r="Q110" s="64"/>
      <c r="R110" s="64"/>
      <c r="S110" s="18" t="s">
        <v>937</v>
      </c>
      <c r="T110" s="18"/>
    </row>
    <row r="111" spans="4:20" ht="21.95" customHeight="1" x14ac:dyDescent="0.15">
      <c r="D111" s="78"/>
      <c r="E111" s="78"/>
      <c r="F111" s="148"/>
      <c r="G111" s="49"/>
      <c r="H111" s="49"/>
      <c r="I111" s="49"/>
      <c r="J111" s="49"/>
      <c r="K111" s="78"/>
      <c r="L111" s="49" t="s">
        <v>938</v>
      </c>
      <c r="M111" s="49">
        <v>0.7</v>
      </c>
      <c r="N111" s="49">
        <v>100</v>
      </c>
      <c r="O111" s="49">
        <f>M111*G110</f>
        <v>0.48999999999999994</v>
      </c>
      <c r="P111" s="64"/>
      <c r="Q111" s="64"/>
      <c r="R111" s="64"/>
      <c r="S111" s="18" t="s">
        <v>937</v>
      </c>
      <c r="T111" s="18"/>
    </row>
    <row r="112" spans="4:20" ht="21.95" customHeight="1" x14ac:dyDescent="0.15">
      <c r="D112" s="78" t="s">
        <v>843</v>
      </c>
      <c r="E112" s="78"/>
      <c r="F112" s="148" t="s">
        <v>944</v>
      </c>
      <c r="G112" s="49">
        <f t="shared" ref="G112:G132" si="14">I112</f>
        <v>1</v>
      </c>
      <c r="H112" s="49"/>
      <c r="I112" s="49">
        <f>'일위대가 (2)'!G187</f>
        <v>1</v>
      </c>
      <c r="J112" s="49"/>
      <c r="K112" s="78"/>
      <c r="L112" s="49" t="s">
        <v>936</v>
      </c>
      <c r="M112" s="49">
        <v>1.31</v>
      </c>
      <c r="N112" s="49">
        <v>100</v>
      </c>
      <c r="O112" s="49">
        <f t="shared" ref="O112:O116" si="15">M112*G112</f>
        <v>1.31</v>
      </c>
      <c r="P112" s="64"/>
      <c r="Q112" s="64"/>
      <c r="R112" s="64"/>
      <c r="S112" s="18" t="s">
        <v>965</v>
      </c>
      <c r="T112" s="18"/>
    </row>
    <row r="113" spans="4:20" ht="21.95" customHeight="1" x14ac:dyDescent="0.15">
      <c r="D113" s="78" t="s">
        <v>845</v>
      </c>
      <c r="E113" s="78" t="s">
        <v>846</v>
      </c>
      <c r="F113" s="148" t="s">
        <v>949</v>
      </c>
      <c r="G113" s="49">
        <f t="shared" si="14"/>
        <v>3</v>
      </c>
      <c r="H113" s="49"/>
      <c r="I113" s="49">
        <f>'일위대가 (2)'!G190</f>
        <v>3</v>
      </c>
      <c r="J113" s="49"/>
      <c r="K113" s="78"/>
      <c r="L113" s="49" t="s">
        <v>936</v>
      </c>
      <c r="M113" s="49">
        <v>0.34</v>
      </c>
      <c r="N113" s="49">
        <v>100</v>
      </c>
      <c r="O113" s="49">
        <f t="shared" si="15"/>
        <v>1.02</v>
      </c>
      <c r="P113" s="64"/>
      <c r="Q113" s="64"/>
      <c r="R113" s="64"/>
      <c r="S113" s="18" t="s">
        <v>958</v>
      </c>
      <c r="T113" s="18"/>
    </row>
    <row r="114" spans="4:20" ht="21.95" customHeight="1" x14ac:dyDescent="0.15">
      <c r="D114" s="78" t="s">
        <v>930</v>
      </c>
      <c r="E114" s="78" t="s">
        <v>1004</v>
      </c>
      <c r="F114" s="49" t="s">
        <v>190</v>
      </c>
      <c r="G114" s="49">
        <f t="shared" si="14"/>
        <v>1</v>
      </c>
      <c r="H114" s="49"/>
      <c r="I114" s="49">
        <f>'일위대가 (2)'!G207</f>
        <v>1</v>
      </c>
      <c r="J114" s="49"/>
      <c r="K114" s="78"/>
      <c r="L114" s="49" t="s">
        <v>940</v>
      </c>
      <c r="M114" s="49">
        <v>0.32</v>
      </c>
      <c r="N114" s="49">
        <v>100</v>
      </c>
      <c r="O114" s="49">
        <f t="shared" si="15"/>
        <v>0.32</v>
      </c>
      <c r="P114" s="64"/>
      <c r="Q114" s="64"/>
      <c r="R114" s="64"/>
      <c r="S114" s="18" t="s">
        <v>941</v>
      </c>
      <c r="T114" s="18"/>
    </row>
    <row r="115" spans="4:20" ht="21.95" customHeight="1" x14ac:dyDescent="0.15">
      <c r="D115" s="78" t="s">
        <v>930</v>
      </c>
      <c r="E115" s="78" t="s">
        <v>983</v>
      </c>
      <c r="F115" s="49" t="s">
        <v>190</v>
      </c>
      <c r="G115" s="49">
        <f t="shared" si="14"/>
        <v>1</v>
      </c>
      <c r="H115" s="49"/>
      <c r="I115" s="49">
        <f>'일위대가 (2)'!G191</f>
        <v>1</v>
      </c>
      <c r="J115" s="49"/>
      <c r="K115" s="78"/>
      <c r="L115" s="49" t="s">
        <v>940</v>
      </c>
      <c r="M115" s="49">
        <v>0.26</v>
      </c>
      <c r="N115" s="49">
        <v>100</v>
      </c>
      <c r="O115" s="49">
        <f t="shared" si="15"/>
        <v>0.26</v>
      </c>
      <c r="P115" s="64"/>
      <c r="Q115" s="64"/>
      <c r="R115" s="64"/>
      <c r="S115" s="18" t="s">
        <v>941</v>
      </c>
      <c r="T115" s="18"/>
    </row>
    <row r="116" spans="4:20" ht="21.95" customHeight="1" x14ac:dyDescent="0.15">
      <c r="D116" s="78" t="s">
        <v>866</v>
      </c>
      <c r="E116" s="78" t="s">
        <v>867</v>
      </c>
      <c r="F116" s="148" t="s">
        <v>944</v>
      </c>
      <c r="G116" s="49">
        <f t="shared" si="14"/>
        <v>1</v>
      </c>
      <c r="H116" s="49"/>
      <c r="I116" s="49">
        <f>'일위대가 (2)'!G192</f>
        <v>1</v>
      </c>
      <c r="J116" s="49"/>
      <c r="K116" s="78"/>
      <c r="L116" s="49" t="s">
        <v>940</v>
      </c>
      <c r="M116" s="49">
        <v>0.12</v>
      </c>
      <c r="N116" s="49">
        <v>100</v>
      </c>
      <c r="O116" s="49">
        <f t="shared" si="15"/>
        <v>0.12</v>
      </c>
      <c r="P116" s="64"/>
      <c r="Q116" s="64"/>
      <c r="R116" s="64"/>
      <c r="S116" s="18" t="s">
        <v>941</v>
      </c>
      <c r="T116" s="18"/>
    </row>
    <row r="117" spans="4:20" ht="21.95" customHeight="1" x14ac:dyDescent="0.15">
      <c r="D117" s="78" t="s">
        <v>1006</v>
      </c>
      <c r="E117" s="78" t="s">
        <v>1008</v>
      </c>
      <c r="F117" s="148" t="s">
        <v>944</v>
      </c>
      <c r="G117" s="49">
        <f t="shared" si="14"/>
        <v>1</v>
      </c>
      <c r="H117" s="49"/>
      <c r="I117" s="49">
        <f>'일위대가 (2)'!G209</f>
        <v>1</v>
      </c>
      <c r="J117" s="49"/>
      <c r="K117" s="78"/>
      <c r="L117" s="49" t="s">
        <v>940</v>
      </c>
      <c r="M117" s="49">
        <v>0.12</v>
      </c>
      <c r="N117" s="49">
        <v>100</v>
      </c>
      <c r="O117" s="49">
        <f t="shared" ref="O117:O123" si="16">M117*G117</f>
        <v>0.12</v>
      </c>
      <c r="P117" s="64"/>
      <c r="Q117" s="64"/>
      <c r="R117" s="64"/>
      <c r="S117" s="18" t="s">
        <v>941</v>
      </c>
      <c r="T117" s="18"/>
    </row>
    <row r="118" spans="4:20" ht="21.95" customHeight="1" x14ac:dyDescent="0.15">
      <c r="D118" s="78" t="s">
        <v>1007</v>
      </c>
      <c r="E118" s="78" t="s">
        <v>1009</v>
      </c>
      <c r="F118" s="148" t="s">
        <v>944</v>
      </c>
      <c r="G118" s="49">
        <f t="shared" si="14"/>
        <v>2</v>
      </c>
      <c r="H118" s="49"/>
      <c r="I118" s="49">
        <f>'일위대가 (2)'!G208</f>
        <v>2</v>
      </c>
      <c r="J118" s="49"/>
      <c r="K118" s="78"/>
      <c r="L118" s="49" t="s">
        <v>940</v>
      </c>
      <c r="M118" s="49">
        <v>0.12</v>
      </c>
      <c r="N118" s="49">
        <v>100</v>
      </c>
      <c r="O118" s="49">
        <f t="shared" si="16"/>
        <v>0.24</v>
      </c>
      <c r="P118" s="64"/>
      <c r="Q118" s="64"/>
      <c r="R118" s="64"/>
      <c r="S118" s="18" t="s">
        <v>941</v>
      </c>
      <c r="T118" s="18"/>
    </row>
    <row r="119" spans="4:20" ht="21.95" customHeight="1" x14ac:dyDescent="0.15">
      <c r="D119" s="78" t="s">
        <v>850</v>
      </c>
      <c r="E119" s="78"/>
      <c r="F119" s="49" t="s">
        <v>190</v>
      </c>
      <c r="G119" s="49">
        <f t="shared" si="14"/>
        <v>2</v>
      </c>
      <c r="H119" s="49"/>
      <c r="I119" s="49">
        <v>2</v>
      </c>
      <c r="J119" s="49"/>
      <c r="K119" s="78"/>
      <c r="L119" s="49" t="s">
        <v>936</v>
      </c>
      <c r="M119" s="49">
        <v>0.18</v>
      </c>
      <c r="N119" s="49">
        <v>100</v>
      </c>
      <c r="O119" s="49">
        <f t="shared" si="16"/>
        <v>0.36</v>
      </c>
      <c r="P119" s="64"/>
      <c r="Q119" s="64"/>
      <c r="R119" s="64"/>
      <c r="S119" s="18" t="s">
        <v>958</v>
      </c>
      <c r="T119" s="18"/>
    </row>
    <row r="120" spans="4:20" ht="21.95" customHeight="1" x14ac:dyDescent="0.15">
      <c r="D120" s="78" t="s">
        <v>851</v>
      </c>
      <c r="E120" s="78"/>
      <c r="F120" s="49" t="s">
        <v>190</v>
      </c>
      <c r="G120" s="49">
        <f t="shared" si="14"/>
        <v>2</v>
      </c>
      <c r="H120" s="49"/>
      <c r="I120" s="49">
        <v>2</v>
      </c>
      <c r="J120" s="49"/>
      <c r="K120" s="78"/>
      <c r="L120" s="49" t="s">
        <v>936</v>
      </c>
      <c r="M120" s="49">
        <v>0.1</v>
      </c>
      <c r="N120" s="49">
        <v>100</v>
      </c>
      <c r="O120" s="49">
        <f t="shared" si="16"/>
        <v>0.2</v>
      </c>
      <c r="P120" s="64"/>
      <c r="Q120" s="64"/>
      <c r="R120" s="64"/>
      <c r="S120" s="18" t="s">
        <v>958</v>
      </c>
      <c r="T120" s="18"/>
    </row>
    <row r="121" spans="4:20" ht="21.95" customHeight="1" x14ac:dyDescent="0.15">
      <c r="D121" s="78" t="s">
        <v>977</v>
      </c>
      <c r="E121" s="78" t="s">
        <v>868</v>
      </c>
      <c r="F121" s="49" t="s">
        <v>190</v>
      </c>
      <c r="G121" s="49">
        <f t="shared" si="14"/>
        <v>1</v>
      </c>
      <c r="H121" s="49"/>
      <c r="I121" s="49">
        <f>'일위대가 (2)'!G195</f>
        <v>1</v>
      </c>
      <c r="J121" s="49"/>
      <c r="K121" s="78"/>
      <c r="L121" s="49" t="s">
        <v>936</v>
      </c>
      <c r="M121" s="49">
        <v>0.09</v>
      </c>
      <c r="N121" s="49">
        <v>100</v>
      </c>
      <c r="O121" s="49">
        <f t="shared" si="16"/>
        <v>0.09</v>
      </c>
      <c r="P121" s="64"/>
      <c r="Q121" s="64"/>
      <c r="R121" s="64"/>
      <c r="S121" s="18" t="s">
        <v>979</v>
      </c>
      <c r="T121" s="18"/>
    </row>
    <row r="122" spans="4:20" ht="21.95" customHeight="1" x14ac:dyDescent="0.15">
      <c r="D122" s="78" t="s">
        <v>852</v>
      </c>
      <c r="E122" s="78" t="s">
        <v>1010</v>
      </c>
      <c r="F122" s="49" t="s">
        <v>190</v>
      </c>
      <c r="G122" s="49">
        <f t="shared" si="14"/>
        <v>1</v>
      </c>
      <c r="H122" s="49"/>
      <c r="I122" s="49">
        <f>'일위대가 (2)'!G212</f>
        <v>1</v>
      </c>
      <c r="J122" s="49"/>
      <c r="K122" s="78"/>
      <c r="L122" s="49" t="s">
        <v>936</v>
      </c>
      <c r="M122" s="49">
        <v>0.09</v>
      </c>
      <c r="N122" s="49">
        <v>100</v>
      </c>
      <c r="O122" s="49">
        <f t="shared" si="16"/>
        <v>0.09</v>
      </c>
      <c r="P122" s="64"/>
      <c r="Q122" s="64"/>
      <c r="R122" s="64"/>
      <c r="S122" s="18" t="s">
        <v>979</v>
      </c>
      <c r="T122" s="18"/>
    </row>
    <row r="123" spans="4:20" ht="21.95" customHeight="1" x14ac:dyDescent="0.15">
      <c r="D123" s="78" t="s">
        <v>823</v>
      </c>
      <c r="E123" s="78" t="s">
        <v>982</v>
      </c>
      <c r="F123" s="148" t="s">
        <v>172</v>
      </c>
      <c r="G123" s="49">
        <f t="shared" si="14"/>
        <v>3.5</v>
      </c>
      <c r="H123" s="49"/>
      <c r="I123" s="49">
        <f>'일위대가 (2)'!G197</f>
        <v>3.5</v>
      </c>
      <c r="J123" s="49"/>
      <c r="K123" s="78"/>
      <c r="L123" s="49" t="s">
        <v>940</v>
      </c>
      <c r="M123" s="49">
        <v>0.01</v>
      </c>
      <c r="N123" s="49">
        <v>100</v>
      </c>
      <c r="O123" s="49">
        <f t="shared" si="16"/>
        <v>3.5000000000000003E-2</v>
      </c>
      <c r="P123" s="64"/>
      <c r="Q123" s="64"/>
      <c r="R123" s="64"/>
      <c r="S123" s="18" t="s">
        <v>956</v>
      </c>
      <c r="T123" s="18"/>
    </row>
    <row r="124" spans="4:20" ht="21.95" customHeight="1" x14ac:dyDescent="0.15">
      <c r="D124" s="78" t="s">
        <v>823</v>
      </c>
      <c r="E124" s="78" t="s">
        <v>1011</v>
      </c>
      <c r="F124" s="148" t="s">
        <v>172</v>
      </c>
      <c r="G124" s="49">
        <f t="shared" si="14"/>
        <v>3.9</v>
      </c>
      <c r="H124" s="49"/>
      <c r="I124" s="49">
        <f>'일위대가 (2)'!G215</f>
        <v>3.9</v>
      </c>
      <c r="J124" s="49"/>
      <c r="K124" s="78"/>
      <c r="L124" s="49" t="s">
        <v>940</v>
      </c>
      <c r="M124" s="49">
        <v>0.2</v>
      </c>
      <c r="N124" s="49">
        <v>100</v>
      </c>
      <c r="O124" s="49">
        <f t="shared" ref="O124:O133" si="17">M124*G124</f>
        <v>0.78</v>
      </c>
      <c r="P124" s="64"/>
      <c r="Q124" s="64"/>
      <c r="R124" s="64"/>
      <c r="S124" s="18" t="s">
        <v>956</v>
      </c>
      <c r="T124" s="18"/>
    </row>
    <row r="125" spans="4:20" ht="21.95" customHeight="1" x14ac:dyDescent="0.15">
      <c r="D125" s="78" t="s">
        <v>823</v>
      </c>
      <c r="E125" s="78" t="s">
        <v>1012</v>
      </c>
      <c r="F125" s="148" t="s">
        <v>172</v>
      </c>
      <c r="G125" s="49">
        <f t="shared" si="14"/>
        <v>3.9</v>
      </c>
      <c r="H125" s="49"/>
      <c r="I125" s="49">
        <f>'일위대가 (2)'!G214</f>
        <v>3.9</v>
      </c>
      <c r="J125" s="49"/>
      <c r="K125" s="78"/>
      <c r="L125" s="49" t="s">
        <v>940</v>
      </c>
      <c r="M125" s="49">
        <v>0.2</v>
      </c>
      <c r="N125" s="49">
        <v>100</v>
      </c>
      <c r="O125" s="49">
        <f t="shared" si="17"/>
        <v>0.78</v>
      </c>
      <c r="P125" s="64"/>
      <c r="Q125" s="64"/>
      <c r="R125" s="64"/>
      <c r="S125" s="18" t="s">
        <v>956</v>
      </c>
      <c r="T125" s="18"/>
    </row>
    <row r="126" spans="4:20" ht="21.95" customHeight="1" x14ac:dyDescent="0.15">
      <c r="D126" s="78" t="s">
        <v>856</v>
      </c>
      <c r="E126" s="78" t="s">
        <v>857</v>
      </c>
      <c r="F126" s="49" t="s">
        <v>190</v>
      </c>
      <c r="G126" s="49">
        <f t="shared" si="14"/>
        <v>4</v>
      </c>
      <c r="H126" s="49"/>
      <c r="I126" s="49">
        <v>4</v>
      </c>
      <c r="J126" s="49"/>
      <c r="K126" s="78"/>
      <c r="L126" s="49" t="s">
        <v>936</v>
      </c>
      <c r="M126" s="49">
        <v>0.18</v>
      </c>
      <c r="N126" s="49">
        <v>100</v>
      </c>
      <c r="O126" s="49">
        <f t="shared" si="17"/>
        <v>0.72</v>
      </c>
      <c r="P126" s="64"/>
      <c r="Q126" s="64"/>
      <c r="R126" s="64"/>
      <c r="S126" s="18" t="s">
        <v>958</v>
      </c>
      <c r="T126" s="18"/>
    </row>
    <row r="127" spans="4:20" ht="21.95" customHeight="1" x14ac:dyDescent="0.15">
      <c r="D127" s="78" t="s">
        <v>859</v>
      </c>
      <c r="E127" s="78" t="s">
        <v>860</v>
      </c>
      <c r="F127" s="49" t="s">
        <v>190</v>
      </c>
      <c r="G127" s="49">
        <f t="shared" si="14"/>
        <v>2</v>
      </c>
      <c r="H127" s="49"/>
      <c r="I127" s="49">
        <v>2</v>
      </c>
      <c r="J127" s="49"/>
      <c r="K127" s="78"/>
      <c r="L127" s="49" t="s">
        <v>940</v>
      </c>
      <c r="M127" s="49">
        <v>0.1</v>
      </c>
      <c r="N127" s="49">
        <v>100</v>
      </c>
      <c r="O127" s="49">
        <f t="shared" si="17"/>
        <v>0.2</v>
      </c>
      <c r="P127" s="64"/>
      <c r="Q127" s="64"/>
      <c r="R127" s="64"/>
      <c r="S127" s="18" t="s">
        <v>957</v>
      </c>
      <c r="T127" s="18"/>
    </row>
    <row r="128" spans="4:20" ht="21.95" customHeight="1" x14ac:dyDescent="0.15">
      <c r="D128" s="78" t="s">
        <v>989</v>
      </c>
      <c r="E128" s="78" t="s">
        <v>872</v>
      </c>
      <c r="F128" s="49" t="s">
        <v>190</v>
      </c>
      <c r="G128" s="49">
        <f t="shared" si="14"/>
        <v>37</v>
      </c>
      <c r="H128" s="49"/>
      <c r="I128" s="49">
        <f>'일위대가 (2)'!G223</f>
        <v>37</v>
      </c>
      <c r="J128" s="49"/>
      <c r="K128" s="78"/>
      <c r="L128" s="49" t="s">
        <v>940</v>
      </c>
      <c r="M128" s="49">
        <v>0.01</v>
      </c>
      <c r="N128" s="49">
        <v>100</v>
      </c>
      <c r="O128" s="49">
        <f t="shared" si="17"/>
        <v>0.37</v>
      </c>
      <c r="P128" s="64"/>
      <c r="Q128" s="64"/>
      <c r="R128" s="64"/>
      <c r="S128" s="18" t="s">
        <v>994</v>
      </c>
      <c r="T128" s="18"/>
    </row>
    <row r="129" spans="4:20" ht="21.95" customHeight="1" x14ac:dyDescent="0.15">
      <c r="D129" s="78" t="s">
        <v>989</v>
      </c>
      <c r="E129" s="78" t="s">
        <v>992</v>
      </c>
      <c r="F129" s="49" t="s">
        <v>190</v>
      </c>
      <c r="G129" s="49">
        <f t="shared" si="14"/>
        <v>15</v>
      </c>
      <c r="H129" s="49"/>
      <c r="I129" s="49">
        <f>'일위대가 (2)'!G206</f>
        <v>15</v>
      </c>
      <c r="J129" s="49"/>
      <c r="K129" s="78"/>
      <c r="L129" s="49" t="s">
        <v>940</v>
      </c>
      <c r="M129" s="49">
        <v>0.01</v>
      </c>
      <c r="N129" s="49">
        <v>100</v>
      </c>
      <c r="O129" s="49">
        <f t="shared" si="17"/>
        <v>0.15</v>
      </c>
      <c r="P129" s="64"/>
      <c r="Q129" s="64"/>
      <c r="R129" s="64"/>
      <c r="S129" s="18" t="s">
        <v>994</v>
      </c>
      <c r="T129" s="18"/>
    </row>
    <row r="130" spans="4:20" ht="21.95" customHeight="1" x14ac:dyDescent="0.15">
      <c r="D130" s="78" t="s">
        <v>989</v>
      </c>
      <c r="E130" s="78" t="s">
        <v>1013</v>
      </c>
      <c r="F130" s="49" t="s">
        <v>190</v>
      </c>
      <c r="G130" s="49">
        <f t="shared" si="14"/>
        <v>37</v>
      </c>
      <c r="H130" s="49"/>
      <c r="I130" s="49">
        <f>'일위대가 (2)'!G225</f>
        <v>37</v>
      </c>
      <c r="J130" s="49"/>
      <c r="K130" s="78"/>
      <c r="L130" s="49" t="s">
        <v>940</v>
      </c>
      <c r="M130" s="49">
        <v>0.04</v>
      </c>
      <c r="N130" s="49">
        <v>100</v>
      </c>
      <c r="O130" s="49">
        <f t="shared" si="17"/>
        <v>1.48</v>
      </c>
      <c r="P130" s="64"/>
      <c r="Q130" s="64"/>
      <c r="R130" s="64"/>
      <c r="S130" s="18" t="s">
        <v>994</v>
      </c>
      <c r="T130" s="18"/>
    </row>
    <row r="131" spans="4:20" ht="21.95" customHeight="1" x14ac:dyDescent="0.15">
      <c r="D131" s="78" t="s">
        <v>827</v>
      </c>
      <c r="E131" s="78" t="s">
        <v>828</v>
      </c>
      <c r="F131" s="148" t="s">
        <v>949</v>
      </c>
      <c r="G131" s="49">
        <f t="shared" si="14"/>
        <v>4</v>
      </c>
      <c r="H131" s="49"/>
      <c r="I131" s="49">
        <v>4</v>
      </c>
      <c r="J131" s="49"/>
      <c r="K131" s="78"/>
      <c r="L131" s="49" t="s">
        <v>940</v>
      </c>
      <c r="M131" s="49">
        <v>0.01</v>
      </c>
      <c r="N131" s="49">
        <v>100</v>
      </c>
      <c r="O131" s="49">
        <f t="shared" si="17"/>
        <v>0.04</v>
      </c>
      <c r="P131" s="64"/>
      <c r="Q131" s="64"/>
      <c r="R131" s="64"/>
      <c r="S131" s="18" t="s">
        <v>957</v>
      </c>
      <c r="T131" s="18"/>
    </row>
    <row r="132" spans="4:20" ht="21.95" customHeight="1" x14ac:dyDescent="0.15">
      <c r="D132" s="78" t="s">
        <v>829</v>
      </c>
      <c r="E132" s="78" t="s">
        <v>988</v>
      </c>
      <c r="F132" s="148" t="s">
        <v>949</v>
      </c>
      <c r="G132" s="49">
        <f t="shared" si="14"/>
        <v>2</v>
      </c>
      <c r="H132" s="49"/>
      <c r="I132" s="49">
        <v>2</v>
      </c>
      <c r="J132" s="49"/>
      <c r="K132" s="78"/>
      <c r="L132" s="49" t="s">
        <v>940</v>
      </c>
      <c r="M132" s="49">
        <v>0.01</v>
      </c>
      <c r="N132" s="49">
        <v>100</v>
      </c>
      <c r="O132" s="49">
        <f t="shared" si="17"/>
        <v>0.02</v>
      </c>
      <c r="P132" s="64"/>
      <c r="Q132" s="64"/>
      <c r="R132" s="64"/>
      <c r="S132" s="18" t="s">
        <v>957</v>
      </c>
      <c r="T132" s="18"/>
    </row>
    <row r="133" spans="4:20" ht="21.95" customHeight="1" x14ac:dyDescent="0.15">
      <c r="D133" s="78" t="s">
        <v>926</v>
      </c>
      <c r="E133" s="78" t="s">
        <v>928</v>
      </c>
      <c r="F133" s="148" t="s">
        <v>172</v>
      </c>
      <c r="G133" s="49">
        <f>I133</f>
        <v>1</v>
      </c>
      <c r="H133" s="49"/>
      <c r="I133" s="49">
        <v>1</v>
      </c>
      <c r="J133" s="49"/>
      <c r="K133" s="78"/>
      <c r="L133" s="49" t="s">
        <v>936</v>
      </c>
      <c r="M133" s="49">
        <v>0.02</v>
      </c>
      <c r="N133" s="49">
        <v>100</v>
      </c>
      <c r="O133" s="49">
        <f t="shared" si="17"/>
        <v>0.02</v>
      </c>
      <c r="P133" s="64"/>
      <c r="Q133" s="64"/>
      <c r="R133" s="64"/>
      <c r="S133" s="18" t="s">
        <v>939</v>
      </c>
      <c r="T133" s="18"/>
    </row>
    <row r="134" spans="4:20" ht="21.95" customHeight="1" x14ac:dyDescent="0.15">
      <c r="D134" s="78" t="s">
        <v>930</v>
      </c>
      <c r="E134" s="78" t="s">
        <v>966</v>
      </c>
      <c r="F134" s="49" t="s">
        <v>190</v>
      </c>
      <c r="G134" s="49">
        <f>I134</f>
        <v>1</v>
      </c>
      <c r="H134" s="49"/>
      <c r="I134" s="49">
        <v>1</v>
      </c>
      <c r="J134" s="49"/>
      <c r="K134" s="78"/>
      <c r="L134" s="49" t="s">
        <v>940</v>
      </c>
      <c r="M134" s="49">
        <v>0.46</v>
      </c>
      <c r="N134" s="49">
        <v>100</v>
      </c>
      <c r="O134" s="49">
        <f>M134*G134</f>
        <v>0.46</v>
      </c>
      <c r="P134" s="64"/>
      <c r="Q134" s="64"/>
      <c r="R134" s="64"/>
      <c r="S134" s="18" t="s">
        <v>941</v>
      </c>
      <c r="T134" s="18"/>
    </row>
    <row r="135" spans="4:20" ht="21.95" customHeight="1" x14ac:dyDescent="0.15">
      <c r="D135" s="78" t="s">
        <v>933</v>
      </c>
      <c r="E135" s="78" t="s">
        <v>935</v>
      </c>
      <c r="F135" s="49" t="s">
        <v>190</v>
      </c>
      <c r="G135" s="49">
        <f>I135</f>
        <v>1</v>
      </c>
      <c r="H135" s="49"/>
      <c r="I135" s="49">
        <v>1</v>
      </c>
      <c r="J135" s="49"/>
      <c r="K135" s="78"/>
      <c r="L135" s="49" t="s">
        <v>940</v>
      </c>
      <c r="M135" s="49">
        <v>0.13</v>
      </c>
      <c r="N135" s="49">
        <v>100</v>
      </c>
      <c r="O135" s="49">
        <f>M135*G135</f>
        <v>0.13</v>
      </c>
      <c r="P135" s="64"/>
      <c r="Q135" s="64"/>
      <c r="R135" s="64"/>
      <c r="S135" s="18" t="s">
        <v>941</v>
      </c>
      <c r="T135" s="18"/>
    </row>
    <row r="136" spans="4:20" ht="21.95" customHeight="1" x14ac:dyDescent="0.15">
      <c r="D136" s="78" t="s">
        <v>873</v>
      </c>
      <c r="E136" s="78" t="s">
        <v>874</v>
      </c>
      <c r="F136" s="49" t="s">
        <v>190</v>
      </c>
      <c r="G136" s="49">
        <f>I136</f>
        <v>1</v>
      </c>
      <c r="H136" s="49"/>
      <c r="I136" s="49">
        <v>1</v>
      </c>
      <c r="J136" s="49"/>
      <c r="K136" s="78"/>
      <c r="L136" s="49" t="s">
        <v>936</v>
      </c>
      <c r="M136" s="49">
        <v>0.18</v>
      </c>
      <c r="N136" s="49">
        <v>100</v>
      </c>
      <c r="O136" s="49">
        <f>M136*G136</f>
        <v>0.18</v>
      </c>
      <c r="P136" s="64"/>
      <c r="Q136" s="64"/>
      <c r="R136" s="64"/>
      <c r="S136" s="18" t="s">
        <v>958</v>
      </c>
      <c r="T136" s="18"/>
    </row>
    <row r="137" spans="4:20" ht="21.95" customHeight="1" x14ac:dyDescent="0.15">
      <c r="D137" s="78" t="s">
        <v>833</v>
      </c>
      <c r="E137" s="78" t="s">
        <v>834</v>
      </c>
      <c r="F137" s="148" t="s">
        <v>172</v>
      </c>
      <c r="G137" s="49">
        <f>I137</f>
        <v>50</v>
      </c>
      <c r="H137" s="49"/>
      <c r="I137" s="49">
        <v>50</v>
      </c>
      <c r="J137" s="49"/>
      <c r="K137" s="78"/>
      <c r="L137" s="49" t="s">
        <v>936</v>
      </c>
      <c r="M137" s="49">
        <v>0.05</v>
      </c>
      <c r="N137" s="49">
        <v>100</v>
      </c>
      <c r="O137" s="49">
        <f>M137*G137</f>
        <v>2.5</v>
      </c>
      <c r="P137" s="64"/>
      <c r="Q137" s="64"/>
      <c r="R137" s="64"/>
      <c r="S137" s="18" t="s">
        <v>958</v>
      </c>
      <c r="T137" s="18"/>
    </row>
    <row r="138" spans="4:20" ht="21.95" customHeight="1" x14ac:dyDescent="0.15">
      <c r="D138" s="78" t="s">
        <v>459</v>
      </c>
      <c r="E138" s="49" t="s">
        <v>936</v>
      </c>
      <c r="F138" s="49" t="s">
        <v>461</v>
      </c>
      <c r="G138" s="49">
        <f>O137+O136+O133+O126+O122+O121+O120+O119+O113+O112+O110</f>
        <v>6.5529999999999999</v>
      </c>
      <c r="H138" s="49"/>
      <c r="I138" s="49"/>
      <c r="J138" s="49"/>
      <c r="K138" s="78"/>
      <c r="L138" s="49"/>
      <c r="M138" s="49"/>
      <c r="N138" s="49"/>
      <c r="O138" s="49"/>
      <c r="P138" s="64"/>
      <c r="Q138" s="64"/>
      <c r="R138" s="64"/>
      <c r="S138" s="18"/>
      <c r="T138" s="18"/>
    </row>
    <row r="139" spans="4:20" ht="21.95" customHeight="1" x14ac:dyDescent="0.15">
      <c r="D139" s="78"/>
      <c r="E139" s="49" t="s">
        <v>940</v>
      </c>
      <c r="F139" s="49" t="s">
        <v>461</v>
      </c>
      <c r="G139" s="49">
        <f>O135+O134+O132+O131+O130+O129+O128+O127+O125+O124+O123+O118+O117+O116+O115+O114+O109</f>
        <v>6.1650000000000009</v>
      </c>
      <c r="H139" s="49"/>
      <c r="I139" s="49"/>
      <c r="J139" s="49"/>
      <c r="K139" s="78"/>
      <c r="L139" s="49"/>
      <c r="M139" s="49"/>
      <c r="N139" s="49"/>
      <c r="O139" s="49"/>
      <c r="P139" s="64"/>
      <c r="Q139" s="64"/>
      <c r="R139" s="64"/>
      <c r="S139" s="18"/>
      <c r="T139" s="18"/>
    </row>
    <row r="140" spans="4:20" ht="21.95" customHeight="1" x14ac:dyDescent="0.15">
      <c r="D140" s="78"/>
      <c r="E140" s="49" t="s">
        <v>938</v>
      </c>
      <c r="F140" s="49" t="s">
        <v>461</v>
      </c>
      <c r="G140" s="49">
        <f>O111</f>
        <v>0.48999999999999994</v>
      </c>
      <c r="H140" s="49"/>
      <c r="I140" s="49"/>
      <c r="J140" s="49"/>
      <c r="K140" s="78"/>
      <c r="L140" s="49"/>
      <c r="M140" s="49"/>
      <c r="N140" s="49"/>
      <c r="O140" s="49"/>
      <c r="P140" s="64"/>
      <c r="Q140" s="64"/>
      <c r="R140" s="64"/>
      <c r="S140" s="18"/>
      <c r="T140" s="18"/>
    </row>
    <row r="141" spans="4:20" ht="21.95" customHeight="1" x14ac:dyDescent="0.15">
      <c r="D141" s="149"/>
      <c r="E141" s="78"/>
      <c r="F141" s="148"/>
      <c r="G141" s="49"/>
      <c r="H141" s="49"/>
      <c r="I141" s="49"/>
      <c r="J141" s="49"/>
      <c r="K141" s="78"/>
      <c r="L141" s="49"/>
      <c r="M141" s="49"/>
      <c r="N141" s="49"/>
      <c r="O141" s="49"/>
      <c r="P141" s="64"/>
      <c r="Q141" s="64"/>
      <c r="R141" s="64"/>
      <c r="S141" s="18"/>
      <c r="T141" s="18"/>
    </row>
    <row r="142" spans="4:20" ht="21.95" customHeight="1" x14ac:dyDescent="0.15">
      <c r="D142" s="149" t="s">
        <v>1027</v>
      </c>
      <c r="E142" s="78"/>
      <c r="F142" s="148"/>
      <c r="G142" s="49"/>
      <c r="H142" s="49"/>
      <c r="I142" s="49"/>
      <c r="J142" s="49"/>
      <c r="K142" s="78"/>
      <c r="L142" s="49"/>
      <c r="M142" s="49"/>
      <c r="N142" s="49"/>
      <c r="O142" s="49"/>
      <c r="P142" s="64"/>
      <c r="Q142" s="64"/>
      <c r="R142" s="64"/>
      <c r="S142" s="18"/>
      <c r="T142" s="18"/>
    </row>
    <row r="143" spans="4:20" ht="21.95" customHeight="1" x14ac:dyDescent="0.15">
      <c r="D143" s="78" t="s">
        <v>920</v>
      </c>
      <c r="E143" s="78" t="s">
        <v>1022</v>
      </c>
      <c r="F143" s="148" t="s">
        <v>172</v>
      </c>
      <c r="G143" s="49">
        <f>I143</f>
        <v>3.1</v>
      </c>
      <c r="H143" s="49"/>
      <c r="I143" s="49">
        <f>'일위대가 (2)'!G238</f>
        <v>3.1</v>
      </c>
      <c r="J143" s="49"/>
      <c r="K143" s="78"/>
      <c r="L143" s="49" t="s">
        <v>936</v>
      </c>
      <c r="M143" s="49">
        <v>0.08</v>
      </c>
      <c r="N143" s="49">
        <v>100</v>
      </c>
      <c r="O143" s="49">
        <f>M143*G143</f>
        <v>0.24800000000000003</v>
      </c>
      <c r="P143" s="64"/>
      <c r="Q143" s="64"/>
      <c r="R143" s="64"/>
      <c r="S143" s="18" t="s">
        <v>937</v>
      </c>
      <c r="T143" s="18"/>
    </row>
    <row r="144" spans="4:20" ht="21.95" customHeight="1" x14ac:dyDescent="0.15">
      <c r="D144" s="78"/>
      <c r="E144" s="78"/>
      <c r="F144" s="148"/>
      <c r="G144" s="49"/>
      <c r="H144" s="49"/>
      <c r="I144" s="49"/>
      <c r="J144" s="49"/>
      <c r="K144" s="78"/>
      <c r="L144" s="49" t="s">
        <v>938</v>
      </c>
      <c r="M144" s="49">
        <v>0.06</v>
      </c>
      <c r="N144" s="49">
        <v>100</v>
      </c>
      <c r="O144" s="49">
        <f>M144*G143</f>
        <v>0.186</v>
      </c>
      <c r="P144" s="64"/>
      <c r="Q144" s="64"/>
      <c r="R144" s="64"/>
      <c r="S144" s="18" t="s">
        <v>937</v>
      </c>
      <c r="T144" s="18"/>
    </row>
    <row r="145" spans="4:20" ht="21.95" customHeight="1" x14ac:dyDescent="0.15">
      <c r="D145" s="78" t="s">
        <v>924</v>
      </c>
      <c r="E145" s="78" t="s">
        <v>921</v>
      </c>
      <c r="F145" s="148" t="s">
        <v>172</v>
      </c>
      <c r="G145" s="49">
        <f>I145</f>
        <v>1.2</v>
      </c>
      <c r="H145" s="49"/>
      <c r="I145" s="49">
        <f>'일위대가 (2)'!G239</f>
        <v>1.2</v>
      </c>
      <c r="J145" s="49"/>
      <c r="K145" s="78"/>
      <c r="L145" s="49" t="s">
        <v>936</v>
      </c>
      <c r="M145" s="49">
        <v>0.08</v>
      </c>
      <c r="N145" s="49">
        <v>100</v>
      </c>
      <c r="O145" s="49">
        <f>M145*G145</f>
        <v>9.6000000000000002E-2</v>
      </c>
      <c r="P145" s="64"/>
      <c r="Q145" s="64"/>
      <c r="R145" s="64"/>
      <c r="S145" s="18" t="s">
        <v>937</v>
      </c>
      <c r="T145" s="18"/>
    </row>
    <row r="146" spans="4:20" ht="21.95" customHeight="1" x14ac:dyDescent="0.15">
      <c r="D146" s="78"/>
      <c r="E146" s="78"/>
      <c r="F146" s="148"/>
      <c r="G146" s="49"/>
      <c r="H146" s="49"/>
      <c r="I146" s="49"/>
      <c r="J146" s="49"/>
      <c r="K146" s="78"/>
      <c r="L146" s="49" t="s">
        <v>938</v>
      </c>
      <c r="M146" s="49">
        <v>0.06</v>
      </c>
      <c r="N146" s="49">
        <v>100</v>
      </c>
      <c r="O146" s="49">
        <f>M146*G145</f>
        <v>7.1999999999999995E-2</v>
      </c>
      <c r="P146" s="64"/>
      <c r="Q146" s="64"/>
      <c r="R146" s="64"/>
      <c r="S146" s="18" t="s">
        <v>937</v>
      </c>
      <c r="T146" s="18"/>
    </row>
    <row r="147" spans="4:20" ht="21.95" customHeight="1" x14ac:dyDescent="0.15">
      <c r="D147" s="78" t="s">
        <v>926</v>
      </c>
      <c r="E147" s="78" t="s">
        <v>928</v>
      </c>
      <c r="F147" s="148" t="s">
        <v>172</v>
      </c>
      <c r="G147" s="49">
        <f>I147</f>
        <v>4.5</v>
      </c>
      <c r="H147" s="49"/>
      <c r="I147" s="49">
        <f>'일위대가 (2)'!G240</f>
        <v>4.5</v>
      </c>
      <c r="J147" s="49"/>
      <c r="K147" s="78"/>
      <c r="L147" s="49" t="s">
        <v>936</v>
      </c>
      <c r="M147" s="49">
        <v>0.02</v>
      </c>
      <c r="N147" s="49">
        <v>100</v>
      </c>
      <c r="O147" s="49">
        <f>M147*G147</f>
        <v>0.09</v>
      </c>
      <c r="P147" s="64"/>
      <c r="Q147" s="64"/>
      <c r="R147" s="64"/>
      <c r="S147" s="18" t="s">
        <v>939</v>
      </c>
      <c r="T147" s="18"/>
    </row>
    <row r="148" spans="4:20" ht="21.95" customHeight="1" x14ac:dyDescent="0.15">
      <c r="D148" s="78" t="s">
        <v>930</v>
      </c>
      <c r="E148" s="78" t="s">
        <v>966</v>
      </c>
      <c r="F148" s="49" t="s">
        <v>190</v>
      </c>
      <c r="G148" s="49">
        <f>I148</f>
        <v>1</v>
      </c>
      <c r="H148" s="49"/>
      <c r="I148" s="49">
        <f>'일위대가 (2)'!G242</f>
        <v>1</v>
      </c>
      <c r="J148" s="49"/>
      <c r="K148" s="78"/>
      <c r="L148" s="49" t="s">
        <v>940</v>
      </c>
      <c r="M148" s="49">
        <v>0.46</v>
      </c>
      <c r="N148" s="49">
        <v>100</v>
      </c>
      <c r="O148" s="49">
        <f>M148*G148</f>
        <v>0.46</v>
      </c>
      <c r="P148" s="64"/>
      <c r="Q148" s="64"/>
      <c r="R148" s="64"/>
      <c r="S148" s="18" t="s">
        <v>941</v>
      </c>
      <c r="T148" s="18"/>
    </row>
    <row r="149" spans="4:20" ht="21.95" customHeight="1" x14ac:dyDescent="0.15">
      <c r="D149" s="78" t="s">
        <v>930</v>
      </c>
      <c r="E149" s="78" t="s">
        <v>1026</v>
      </c>
      <c r="F149" s="49" t="s">
        <v>190</v>
      </c>
      <c r="G149" s="49">
        <f t="shared" ref="G149:G151" si="18">I149</f>
        <v>1</v>
      </c>
      <c r="H149" s="49"/>
      <c r="I149" s="49">
        <f>'일위대가 (2)'!G246</f>
        <v>1</v>
      </c>
      <c r="J149" s="49"/>
      <c r="K149" s="78"/>
      <c r="L149" s="49" t="s">
        <v>940</v>
      </c>
      <c r="M149" s="49">
        <v>0.25</v>
      </c>
      <c r="N149" s="49">
        <v>100</v>
      </c>
      <c r="O149" s="49">
        <f t="shared" ref="O149:O151" si="19">M149*G149</f>
        <v>0.25</v>
      </c>
      <c r="P149" s="64"/>
      <c r="Q149" s="64"/>
      <c r="R149" s="64"/>
      <c r="S149" s="18" t="s">
        <v>941</v>
      </c>
      <c r="T149" s="18"/>
    </row>
    <row r="150" spans="4:20" ht="21.95" customHeight="1" x14ac:dyDescent="0.15">
      <c r="D150" s="78" t="s">
        <v>933</v>
      </c>
      <c r="E150" s="78" t="s">
        <v>931</v>
      </c>
      <c r="F150" s="49" t="s">
        <v>190</v>
      </c>
      <c r="G150" s="49">
        <f t="shared" si="18"/>
        <v>7</v>
      </c>
      <c r="H150" s="49"/>
      <c r="I150" s="49">
        <f>'일위대가 (2)'!G243</f>
        <v>7</v>
      </c>
      <c r="J150" s="49"/>
      <c r="K150" s="78"/>
      <c r="L150" s="49" t="s">
        <v>940</v>
      </c>
      <c r="M150" s="49">
        <v>0.33</v>
      </c>
      <c r="N150" s="49">
        <v>100</v>
      </c>
      <c r="O150" s="49">
        <f t="shared" si="19"/>
        <v>2.31</v>
      </c>
      <c r="P150" s="64"/>
      <c r="Q150" s="64"/>
      <c r="R150" s="64"/>
      <c r="S150" s="18" t="s">
        <v>941</v>
      </c>
      <c r="T150" s="18"/>
    </row>
    <row r="151" spans="4:20" ht="21.95" customHeight="1" x14ac:dyDescent="0.15">
      <c r="D151" s="78" t="s">
        <v>933</v>
      </c>
      <c r="E151" s="78" t="s">
        <v>1025</v>
      </c>
      <c r="F151" s="49" t="s">
        <v>190</v>
      </c>
      <c r="G151" s="49">
        <f t="shared" si="18"/>
        <v>1</v>
      </c>
      <c r="H151" s="49"/>
      <c r="I151" s="49">
        <f>'일위대가 (2)'!G245</f>
        <v>1</v>
      </c>
      <c r="J151" s="49"/>
      <c r="K151" s="78"/>
      <c r="L151" s="49" t="s">
        <v>940</v>
      </c>
      <c r="M151" s="49">
        <v>0.18</v>
      </c>
      <c r="N151" s="49">
        <v>100</v>
      </c>
      <c r="O151" s="49">
        <f t="shared" si="19"/>
        <v>0.18</v>
      </c>
      <c r="P151" s="64"/>
      <c r="Q151" s="64"/>
      <c r="R151" s="64"/>
      <c r="S151" s="18" t="s">
        <v>941</v>
      </c>
      <c r="T151" s="18"/>
    </row>
    <row r="152" spans="4:20" ht="21.95" customHeight="1" x14ac:dyDescent="0.15">
      <c r="D152" s="78" t="s">
        <v>933</v>
      </c>
      <c r="E152" s="78" t="s">
        <v>935</v>
      </c>
      <c r="F152" s="49" t="s">
        <v>190</v>
      </c>
      <c r="G152" s="49">
        <f>I152</f>
        <v>10</v>
      </c>
      <c r="H152" s="49"/>
      <c r="I152" s="49">
        <f>'일위대가 (2)'!G244</f>
        <v>10</v>
      </c>
      <c r="J152" s="49"/>
      <c r="K152" s="78"/>
      <c r="L152" s="49" t="s">
        <v>940</v>
      </c>
      <c r="M152" s="49">
        <v>0.13</v>
      </c>
      <c r="N152" s="49">
        <v>100</v>
      </c>
      <c r="O152" s="49">
        <f>M152*G152</f>
        <v>1.3</v>
      </c>
      <c r="P152" s="64"/>
      <c r="Q152" s="64"/>
      <c r="R152" s="64"/>
      <c r="S152" s="18" t="s">
        <v>941</v>
      </c>
      <c r="T152" s="18"/>
    </row>
    <row r="153" spans="4:20" ht="21.95" customHeight="1" x14ac:dyDescent="0.15">
      <c r="D153" s="78" t="s">
        <v>459</v>
      </c>
      <c r="E153" s="49" t="s">
        <v>936</v>
      </c>
      <c r="F153" s="49" t="s">
        <v>461</v>
      </c>
      <c r="G153" s="49">
        <f>O147+O145+O143</f>
        <v>0.43400000000000005</v>
      </c>
      <c r="H153" s="49"/>
      <c r="I153" s="49"/>
      <c r="J153" s="49"/>
      <c r="K153" s="78"/>
      <c r="L153" s="49"/>
      <c r="M153" s="49"/>
      <c r="N153" s="49"/>
      <c r="O153" s="49"/>
      <c r="P153" s="64"/>
      <c r="Q153" s="64"/>
      <c r="R153" s="64"/>
      <c r="S153" s="18"/>
      <c r="T153" s="18"/>
    </row>
    <row r="154" spans="4:20" ht="21.95" customHeight="1" x14ac:dyDescent="0.15">
      <c r="D154" s="78"/>
      <c r="E154" s="49" t="s">
        <v>940</v>
      </c>
      <c r="F154" s="49" t="s">
        <v>461</v>
      </c>
      <c r="G154" s="49">
        <f>O152+O151+O150+O149+O148</f>
        <v>4.5</v>
      </c>
      <c r="H154" s="49"/>
      <c r="I154" s="49"/>
      <c r="J154" s="49"/>
      <c r="K154" s="78"/>
      <c r="L154" s="49"/>
      <c r="M154" s="49"/>
      <c r="N154" s="49"/>
      <c r="O154" s="49"/>
      <c r="P154" s="64"/>
      <c r="Q154" s="64"/>
      <c r="R154" s="64"/>
      <c r="S154" s="18"/>
      <c r="T154" s="18"/>
    </row>
    <row r="155" spans="4:20" ht="21.95" customHeight="1" x14ac:dyDescent="0.15">
      <c r="D155" s="78"/>
      <c r="E155" s="49" t="s">
        <v>938</v>
      </c>
      <c r="F155" s="49" t="s">
        <v>461</v>
      </c>
      <c r="G155" s="49">
        <f>O146+O144</f>
        <v>0.25800000000000001</v>
      </c>
      <c r="H155" s="49"/>
      <c r="I155" s="49"/>
      <c r="J155" s="49"/>
      <c r="K155" s="78"/>
      <c r="L155" s="49"/>
      <c r="M155" s="49"/>
      <c r="N155" s="49"/>
      <c r="O155" s="49"/>
      <c r="P155" s="64"/>
      <c r="Q155" s="64"/>
      <c r="R155" s="64"/>
      <c r="S155" s="18"/>
      <c r="T155" s="18"/>
    </row>
    <row r="156" spans="4:20" ht="21.95" customHeight="1" x14ac:dyDescent="0.15">
      <c r="D156" s="149"/>
      <c r="E156" s="78"/>
      <c r="F156" s="148"/>
      <c r="G156" s="49"/>
      <c r="H156" s="49"/>
      <c r="I156" s="49"/>
      <c r="J156" s="49"/>
      <c r="K156" s="78"/>
      <c r="L156" s="49"/>
      <c r="M156" s="49"/>
      <c r="N156" s="49"/>
      <c r="O156" s="49"/>
      <c r="P156" s="64"/>
      <c r="Q156" s="64"/>
      <c r="R156" s="64"/>
      <c r="S156" s="18"/>
      <c r="T156" s="18"/>
    </row>
    <row r="157" spans="4:20" ht="21.95" customHeight="1" x14ac:dyDescent="0.15">
      <c r="D157" s="149" t="s">
        <v>1031</v>
      </c>
      <c r="E157" s="78"/>
      <c r="F157" s="148"/>
      <c r="G157" s="49"/>
      <c r="H157" s="49"/>
      <c r="I157" s="49"/>
      <c r="J157" s="49"/>
      <c r="K157" s="78"/>
      <c r="L157" s="49"/>
      <c r="M157" s="49"/>
      <c r="N157" s="49"/>
      <c r="O157" s="49"/>
      <c r="P157" s="64"/>
      <c r="Q157" s="64"/>
      <c r="R157" s="64"/>
      <c r="S157" s="18"/>
      <c r="T157" s="18"/>
    </row>
    <row r="158" spans="4:20" ht="21.95" customHeight="1" x14ac:dyDescent="0.15">
      <c r="D158" s="78" t="s">
        <v>920</v>
      </c>
      <c r="E158" s="78" t="s">
        <v>1022</v>
      </c>
      <c r="F158" s="148" t="s">
        <v>172</v>
      </c>
      <c r="G158" s="49">
        <f>I158</f>
        <v>2.8</v>
      </c>
      <c r="H158" s="49"/>
      <c r="I158" s="49">
        <f>'일위대가 (2)'!G256</f>
        <v>2.8</v>
      </c>
      <c r="J158" s="49"/>
      <c r="K158" s="78"/>
      <c r="L158" s="49" t="s">
        <v>936</v>
      </c>
      <c r="M158" s="49">
        <v>0.08</v>
      </c>
      <c r="N158" s="49">
        <v>100</v>
      </c>
      <c r="O158" s="49">
        <f>M158*G158</f>
        <v>0.22399999999999998</v>
      </c>
      <c r="P158" s="64"/>
      <c r="Q158" s="64"/>
      <c r="R158" s="64"/>
      <c r="S158" s="18" t="s">
        <v>937</v>
      </c>
      <c r="T158" s="18"/>
    </row>
    <row r="159" spans="4:20" ht="21.95" customHeight="1" x14ac:dyDescent="0.15">
      <c r="D159" s="78"/>
      <c r="E159" s="78"/>
      <c r="F159" s="148"/>
      <c r="G159" s="49"/>
      <c r="H159" s="49"/>
      <c r="I159" s="49"/>
      <c r="J159" s="49"/>
      <c r="K159" s="78"/>
      <c r="L159" s="49" t="s">
        <v>938</v>
      </c>
      <c r="M159" s="49">
        <v>0.06</v>
      </c>
      <c r="N159" s="49">
        <v>100</v>
      </c>
      <c r="O159" s="49">
        <f>M159*G158</f>
        <v>0.16799999999999998</v>
      </c>
      <c r="P159" s="64"/>
      <c r="Q159" s="64"/>
      <c r="R159" s="64"/>
      <c r="S159" s="18" t="s">
        <v>937</v>
      </c>
      <c r="T159" s="18"/>
    </row>
    <row r="160" spans="4:20" ht="21.95" customHeight="1" x14ac:dyDescent="0.15">
      <c r="D160" s="78" t="s">
        <v>924</v>
      </c>
      <c r="E160" s="78" t="s">
        <v>921</v>
      </c>
      <c r="F160" s="148" t="s">
        <v>172</v>
      </c>
      <c r="G160" s="49">
        <f>I160</f>
        <v>1.2</v>
      </c>
      <c r="H160" s="49"/>
      <c r="I160" s="49">
        <f>'일위대가 (2)'!G257</f>
        <v>1.2</v>
      </c>
      <c r="J160" s="49"/>
      <c r="K160" s="78"/>
      <c r="L160" s="49" t="s">
        <v>936</v>
      </c>
      <c r="M160" s="49">
        <v>0.08</v>
      </c>
      <c r="N160" s="49">
        <v>100</v>
      </c>
      <c r="O160" s="49">
        <f>M160*G160</f>
        <v>9.6000000000000002E-2</v>
      </c>
      <c r="P160" s="64"/>
      <c r="Q160" s="64"/>
      <c r="R160" s="64"/>
      <c r="S160" s="18" t="s">
        <v>937</v>
      </c>
      <c r="T160" s="18"/>
    </row>
    <row r="161" spans="4:20" ht="21.95" customHeight="1" x14ac:dyDescent="0.15">
      <c r="D161" s="78"/>
      <c r="E161" s="78"/>
      <c r="F161" s="148"/>
      <c r="G161" s="49"/>
      <c r="H161" s="49"/>
      <c r="I161" s="49"/>
      <c r="J161" s="49"/>
      <c r="K161" s="78"/>
      <c r="L161" s="49" t="s">
        <v>938</v>
      </c>
      <c r="M161" s="49">
        <v>0.06</v>
      </c>
      <c r="N161" s="49">
        <v>100</v>
      </c>
      <c r="O161" s="49">
        <f>M161*G160</f>
        <v>7.1999999999999995E-2</v>
      </c>
      <c r="P161" s="64"/>
      <c r="Q161" s="64"/>
      <c r="R161" s="64"/>
      <c r="S161" s="18" t="s">
        <v>937</v>
      </c>
      <c r="T161" s="18"/>
    </row>
    <row r="162" spans="4:20" ht="21.95" customHeight="1" x14ac:dyDescent="0.15">
      <c r="D162" s="78" t="s">
        <v>926</v>
      </c>
      <c r="E162" s="78" t="s">
        <v>928</v>
      </c>
      <c r="F162" s="148" t="s">
        <v>172</v>
      </c>
      <c r="G162" s="49">
        <f>I162</f>
        <v>2.2000000000000002</v>
      </c>
      <c r="H162" s="49"/>
      <c r="I162" s="49">
        <f>'일위대가 (2)'!G258</f>
        <v>2.2000000000000002</v>
      </c>
      <c r="J162" s="49"/>
      <c r="K162" s="78"/>
      <c r="L162" s="49" t="s">
        <v>936</v>
      </c>
      <c r="M162" s="49">
        <v>0.02</v>
      </c>
      <c r="N162" s="49">
        <v>100</v>
      </c>
      <c r="O162" s="49">
        <f>M162*G162</f>
        <v>4.4000000000000004E-2</v>
      </c>
      <c r="P162" s="64"/>
      <c r="Q162" s="64"/>
      <c r="R162" s="64"/>
      <c r="S162" s="18" t="s">
        <v>939</v>
      </c>
      <c r="T162" s="18"/>
    </row>
    <row r="163" spans="4:20" ht="21.95" customHeight="1" x14ac:dyDescent="0.15">
      <c r="D163" s="78" t="s">
        <v>930</v>
      </c>
      <c r="E163" s="78" t="s">
        <v>966</v>
      </c>
      <c r="F163" s="49" t="s">
        <v>190</v>
      </c>
      <c r="G163" s="49">
        <f>I163</f>
        <v>1</v>
      </c>
      <c r="H163" s="49"/>
      <c r="I163" s="49">
        <f>'일위대가 (2)'!G260</f>
        <v>1</v>
      </c>
      <c r="J163" s="49"/>
      <c r="K163" s="78"/>
      <c r="L163" s="49" t="s">
        <v>940</v>
      </c>
      <c r="M163" s="49">
        <v>0.46</v>
      </c>
      <c r="N163" s="49">
        <v>100</v>
      </c>
      <c r="O163" s="49">
        <f>M163*G163</f>
        <v>0.46</v>
      </c>
      <c r="P163" s="64"/>
      <c r="Q163" s="64"/>
      <c r="R163" s="64"/>
      <c r="S163" s="18" t="s">
        <v>941</v>
      </c>
      <c r="T163" s="18"/>
    </row>
    <row r="164" spans="4:20" ht="21.95" customHeight="1" x14ac:dyDescent="0.15">
      <c r="D164" s="78" t="s">
        <v>930</v>
      </c>
      <c r="E164" s="78" t="s">
        <v>1025</v>
      </c>
      <c r="F164" s="49" t="s">
        <v>190</v>
      </c>
      <c r="G164" s="49">
        <f t="shared" ref="G164:G165" si="20">I164</f>
        <v>1</v>
      </c>
      <c r="H164" s="49"/>
      <c r="I164" s="49">
        <f>'일위대가 (2)'!G263</f>
        <v>1</v>
      </c>
      <c r="J164" s="49"/>
      <c r="K164" s="78"/>
      <c r="L164" s="49" t="s">
        <v>940</v>
      </c>
      <c r="M164" s="49">
        <v>0.18</v>
      </c>
      <c r="N164" s="49">
        <v>100</v>
      </c>
      <c r="O164" s="49">
        <f t="shared" ref="O164:O165" si="21">M164*G164</f>
        <v>0.18</v>
      </c>
      <c r="P164" s="64"/>
      <c r="Q164" s="64"/>
      <c r="R164" s="64"/>
      <c r="S164" s="18" t="s">
        <v>941</v>
      </c>
      <c r="T164" s="18"/>
    </row>
    <row r="165" spans="4:20" ht="21.95" customHeight="1" x14ac:dyDescent="0.15">
      <c r="D165" s="78" t="s">
        <v>933</v>
      </c>
      <c r="E165" s="78" t="s">
        <v>931</v>
      </c>
      <c r="F165" s="49" t="s">
        <v>190</v>
      </c>
      <c r="G165" s="49">
        <f t="shared" si="20"/>
        <v>4</v>
      </c>
      <c r="H165" s="49"/>
      <c r="I165" s="49">
        <f>'일위대가 (2)'!G261</f>
        <v>4</v>
      </c>
      <c r="J165" s="49"/>
      <c r="K165" s="78"/>
      <c r="L165" s="49" t="s">
        <v>940</v>
      </c>
      <c r="M165" s="49">
        <v>0.33</v>
      </c>
      <c r="N165" s="49">
        <v>100</v>
      </c>
      <c r="O165" s="49">
        <f t="shared" si="21"/>
        <v>1.32</v>
      </c>
      <c r="P165" s="64"/>
      <c r="Q165" s="64"/>
      <c r="R165" s="64"/>
      <c r="S165" s="18" t="s">
        <v>941</v>
      </c>
      <c r="T165" s="18"/>
    </row>
    <row r="166" spans="4:20" ht="21.95" customHeight="1" x14ac:dyDescent="0.15">
      <c r="D166" s="78" t="s">
        <v>933</v>
      </c>
      <c r="E166" s="78" t="s">
        <v>935</v>
      </c>
      <c r="F166" s="49" t="s">
        <v>190</v>
      </c>
      <c r="G166" s="49">
        <f>I166</f>
        <v>5</v>
      </c>
      <c r="H166" s="49"/>
      <c r="I166" s="49">
        <f>'일위대가 (2)'!G262</f>
        <v>5</v>
      </c>
      <c r="J166" s="49"/>
      <c r="K166" s="78"/>
      <c r="L166" s="49" t="s">
        <v>940</v>
      </c>
      <c r="M166" s="49">
        <v>0.13</v>
      </c>
      <c r="N166" s="49">
        <v>100</v>
      </c>
      <c r="O166" s="49">
        <f>M166*G166</f>
        <v>0.65</v>
      </c>
      <c r="P166" s="64"/>
      <c r="Q166" s="64"/>
      <c r="R166" s="64"/>
      <c r="S166" s="18" t="s">
        <v>941</v>
      </c>
      <c r="T166" s="18"/>
    </row>
    <row r="167" spans="4:20" ht="21.95" customHeight="1" x14ac:dyDescent="0.15">
      <c r="D167" s="78" t="s">
        <v>459</v>
      </c>
      <c r="E167" s="49" t="s">
        <v>936</v>
      </c>
      <c r="F167" s="49" t="s">
        <v>461</v>
      </c>
      <c r="G167" s="49">
        <f>O158+O160+O162</f>
        <v>0.36399999999999993</v>
      </c>
      <c r="H167" s="49"/>
      <c r="I167" s="49"/>
      <c r="J167" s="49"/>
      <c r="K167" s="78"/>
      <c r="L167" s="49"/>
      <c r="M167" s="49"/>
      <c r="N167" s="49"/>
      <c r="O167" s="49"/>
      <c r="P167" s="64"/>
      <c r="Q167" s="64"/>
      <c r="R167" s="64"/>
      <c r="S167" s="18"/>
      <c r="T167" s="18"/>
    </row>
    <row r="168" spans="4:20" ht="21.95" customHeight="1" x14ac:dyDescent="0.15">
      <c r="D168" s="78"/>
      <c r="E168" s="49" t="s">
        <v>940</v>
      </c>
      <c r="F168" s="49" t="s">
        <v>461</v>
      </c>
      <c r="G168" s="49">
        <f>O166+O165+O164+O163</f>
        <v>2.6100000000000003</v>
      </c>
      <c r="H168" s="49"/>
      <c r="I168" s="49"/>
      <c r="J168" s="49"/>
      <c r="K168" s="78"/>
      <c r="L168" s="49"/>
      <c r="M168" s="49"/>
      <c r="N168" s="49"/>
      <c r="O168" s="49"/>
      <c r="P168" s="64"/>
      <c r="Q168" s="64"/>
      <c r="R168" s="64"/>
      <c r="S168" s="18"/>
      <c r="T168" s="18"/>
    </row>
    <row r="169" spans="4:20" ht="21.95" customHeight="1" x14ac:dyDescent="0.15">
      <c r="D169" s="78"/>
      <c r="E169" s="49" t="s">
        <v>938</v>
      </c>
      <c r="F169" s="49" t="s">
        <v>461</v>
      </c>
      <c r="G169" s="49">
        <f>O161+O159</f>
        <v>0.24</v>
      </c>
      <c r="H169" s="49"/>
      <c r="I169" s="49"/>
      <c r="J169" s="49"/>
      <c r="K169" s="78"/>
      <c r="L169" s="49"/>
      <c r="M169" s="49"/>
      <c r="N169" s="49"/>
      <c r="O169" s="49"/>
      <c r="P169" s="64"/>
      <c r="Q169" s="64"/>
      <c r="R169" s="64"/>
      <c r="S169" s="18"/>
      <c r="T169" s="18"/>
    </row>
    <row r="170" spans="4:20" ht="21.95" customHeight="1" x14ac:dyDescent="0.15">
      <c r="D170" s="149"/>
      <c r="E170" s="78"/>
      <c r="F170" s="148"/>
      <c r="G170" s="49"/>
      <c r="H170" s="49"/>
      <c r="I170" s="49"/>
      <c r="J170" s="49"/>
      <c r="K170" s="78"/>
      <c r="L170" s="49"/>
      <c r="M170" s="49"/>
      <c r="N170" s="49"/>
      <c r="O170" s="49"/>
      <c r="P170" s="64"/>
      <c r="Q170" s="64"/>
      <c r="R170" s="64"/>
      <c r="S170" s="18"/>
      <c r="T170" s="18"/>
    </row>
    <row r="171" spans="4:20" ht="21.95" customHeight="1" x14ac:dyDescent="0.15">
      <c r="D171" s="149" t="s">
        <v>1034</v>
      </c>
      <c r="E171" s="78"/>
      <c r="F171" s="148"/>
      <c r="G171" s="49"/>
      <c r="H171" s="49"/>
      <c r="I171" s="49"/>
      <c r="J171" s="49"/>
      <c r="K171" s="78"/>
      <c r="L171" s="49"/>
      <c r="M171" s="49"/>
      <c r="N171" s="49"/>
      <c r="O171" s="49"/>
      <c r="P171" s="64"/>
      <c r="Q171" s="64"/>
      <c r="R171" s="64"/>
      <c r="S171" s="18"/>
      <c r="T171" s="18"/>
    </row>
    <row r="172" spans="4:20" ht="21.95" customHeight="1" x14ac:dyDescent="0.15">
      <c r="D172" s="78" t="s">
        <v>920</v>
      </c>
      <c r="E172" s="78" t="s">
        <v>1022</v>
      </c>
      <c r="F172" s="148" t="s">
        <v>172</v>
      </c>
      <c r="G172" s="49">
        <f>I172</f>
        <v>2.7</v>
      </c>
      <c r="H172" s="49"/>
      <c r="I172" s="49">
        <f>'일위대가 (2)'!G274</f>
        <v>2.7</v>
      </c>
      <c r="J172" s="49"/>
      <c r="K172" s="78"/>
      <c r="L172" s="49" t="s">
        <v>936</v>
      </c>
      <c r="M172" s="49">
        <v>0.08</v>
      </c>
      <c r="N172" s="49">
        <v>100</v>
      </c>
      <c r="O172" s="49">
        <f>M172*G172</f>
        <v>0.21600000000000003</v>
      </c>
      <c r="P172" s="64"/>
      <c r="Q172" s="64"/>
      <c r="R172" s="64"/>
      <c r="S172" s="18" t="s">
        <v>937</v>
      </c>
      <c r="T172" s="18"/>
    </row>
    <row r="173" spans="4:20" ht="21.95" customHeight="1" x14ac:dyDescent="0.15">
      <c r="D173" s="78"/>
      <c r="E173" s="78"/>
      <c r="F173" s="148"/>
      <c r="G173" s="49"/>
      <c r="H173" s="49"/>
      <c r="I173" s="49"/>
      <c r="J173" s="49"/>
      <c r="K173" s="78"/>
      <c r="L173" s="49" t="s">
        <v>938</v>
      </c>
      <c r="M173" s="49">
        <v>0.06</v>
      </c>
      <c r="N173" s="49">
        <v>100</v>
      </c>
      <c r="O173" s="49">
        <f>M173*G172</f>
        <v>0.16200000000000001</v>
      </c>
      <c r="P173" s="64"/>
      <c r="Q173" s="64"/>
      <c r="R173" s="64"/>
      <c r="S173" s="18" t="s">
        <v>937</v>
      </c>
      <c r="T173" s="18"/>
    </row>
    <row r="174" spans="4:20" ht="21.95" customHeight="1" x14ac:dyDescent="0.15">
      <c r="D174" s="78" t="s">
        <v>924</v>
      </c>
      <c r="E174" s="78" t="s">
        <v>921</v>
      </c>
      <c r="F174" s="148" t="s">
        <v>172</v>
      </c>
      <c r="G174" s="49">
        <f>I174</f>
        <v>1.4</v>
      </c>
      <c r="H174" s="49"/>
      <c r="I174" s="49">
        <f>'일위대가 (2)'!G275</f>
        <v>1.4</v>
      </c>
      <c r="J174" s="49"/>
      <c r="K174" s="78"/>
      <c r="L174" s="49" t="s">
        <v>936</v>
      </c>
      <c r="M174" s="49">
        <v>0.08</v>
      </c>
      <c r="N174" s="49">
        <v>100</v>
      </c>
      <c r="O174" s="49">
        <f>M174*G174</f>
        <v>0.11199999999999999</v>
      </c>
      <c r="P174" s="64"/>
      <c r="Q174" s="64"/>
      <c r="R174" s="64"/>
      <c r="S174" s="18" t="s">
        <v>937</v>
      </c>
      <c r="T174" s="18"/>
    </row>
    <row r="175" spans="4:20" ht="21.95" customHeight="1" x14ac:dyDescent="0.15">
      <c r="D175" s="78"/>
      <c r="E175" s="78"/>
      <c r="F175" s="148"/>
      <c r="G175" s="49"/>
      <c r="H175" s="49"/>
      <c r="I175" s="49"/>
      <c r="J175" s="49"/>
      <c r="K175" s="78"/>
      <c r="L175" s="49" t="s">
        <v>938</v>
      </c>
      <c r="M175" s="49">
        <v>0.06</v>
      </c>
      <c r="N175" s="49">
        <v>100</v>
      </c>
      <c r="O175" s="49">
        <f>M175*G174</f>
        <v>8.3999999999999991E-2</v>
      </c>
      <c r="P175" s="64"/>
      <c r="Q175" s="64"/>
      <c r="R175" s="64"/>
      <c r="S175" s="18" t="s">
        <v>937</v>
      </c>
      <c r="T175" s="18"/>
    </row>
    <row r="176" spans="4:20" ht="21.95" customHeight="1" x14ac:dyDescent="0.15">
      <c r="D176" s="78" t="s">
        <v>926</v>
      </c>
      <c r="E176" s="78" t="s">
        <v>928</v>
      </c>
      <c r="F176" s="148" t="s">
        <v>172</v>
      </c>
      <c r="G176" s="49">
        <f>I176</f>
        <v>2.2000000000000002</v>
      </c>
      <c r="H176" s="49"/>
      <c r="I176" s="49">
        <f>'일위대가 (2)'!G276</f>
        <v>2.2000000000000002</v>
      </c>
      <c r="J176" s="49"/>
      <c r="K176" s="78"/>
      <c r="L176" s="49" t="s">
        <v>936</v>
      </c>
      <c r="M176" s="49">
        <v>0.02</v>
      </c>
      <c r="N176" s="49">
        <v>100</v>
      </c>
      <c r="O176" s="49">
        <f>M176*G176</f>
        <v>4.4000000000000004E-2</v>
      </c>
      <c r="P176" s="64"/>
      <c r="Q176" s="64"/>
      <c r="R176" s="64"/>
      <c r="S176" s="18" t="s">
        <v>939</v>
      </c>
      <c r="T176" s="18"/>
    </row>
    <row r="177" spans="4:20" ht="21.95" customHeight="1" x14ac:dyDescent="0.15">
      <c r="D177" s="78" t="s">
        <v>930</v>
      </c>
      <c r="E177" s="78" t="s">
        <v>966</v>
      </c>
      <c r="F177" s="49" t="s">
        <v>190</v>
      </c>
      <c r="G177" s="49">
        <f>I177</f>
        <v>1</v>
      </c>
      <c r="H177" s="49"/>
      <c r="I177" s="49">
        <f>'일위대가 (2)'!G278</f>
        <v>1</v>
      </c>
      <c r="J177" s="49"/>
      <c r="K177" s="78"/>
      <c r="L177" s="49" t="s">
        <v>940</v>
      </c>
      <c r="M177" s="49">
        <v>0.46</v>
      </c>
      <c r="N177" s="49">
        <v>100</v>
      </c>
      <c r="O177" s="49">
        <f>M177*G177</f>
        <v>0.46</v>
      </c>
      <c r="P177" s="64"/>
      <c r="Q177" s="64"/>
      <c r="R177" s="64"/>
      <c r="S177" s="18" t="s">
        <v>941</v>
      </c>
      <c r="T177" s="18"/>
    </row>
    <row r="178" spans="4:20" ht="21.95" customHeight="1" x14ac:dyDescent="0.15">
      <c r="D178" s="78" t="s">
        <v>933</v>
      </c>
      <c r="E178" s="78" t="s">
        <v>1025</v>
      </c>
      <c r="F178" s="49" t="s">
        <v>190</v>
      </c>
      <c r="G178" s="49">
        <f t="shared" ref="G178:G179" si="22">I178</f>
        <v>1</v>
      </c>
      <c r="H178" s="49"/>
      <c r="I178" s="49">
        <f>'일위대가 (2)'!G281</f>
        <v>1</v>
      </c>
      <c r="J178" s="49"/>
      <c r="K178" s="78"/>
      <c r="L178" s="49" t="s">
        <v>940</v>
      </c>
      <c r="M178" s="49">
        <v>0.18</v>
      </c>
      <c r="N178" s="49">
        <v>100</v>
      </c>
      <c r="O178" s="49">
        <f t="shared" ref="O178:O179" si="23">M178*G178</f>
        <v>0.18</v>
      </c>
      <c r="P178" s="64"/>
      <c r="Q178" s="64"/>
      <c r="R178" s="64"/>
      <c r="S178" s="18" t="s">
        <v>941</v>
      </c>
      <c r="T178" s="18"/>
    </row>
    <row r="179" spans="4:20" ht="21.95" customHeight="1" x14ac:dyDescent="0.15">
      <c r="D179" s="78" t="s">
        <v>933</v>
      </c>
      <c r="E179" s="78" t="s">
        <v>931</v>
      </c>
      <c r="F179" s="49" t="s">
        <v>190</v>
      </c>
      <c r="G179" s="49">
        <f t="shared" si="22"/>
        <v>4</v>
      </c>
      <c r="H179" s="49"/>
      <c r="I179" s="49">
        <f>'일위대가 (2)'!G279</f>
        <v>4</v>
      </c>
      <c r="J179" s="49"/>
      <c r="K179" s="78"/>
      <c r="L179" s="49" t="s">
        <v>940</v>
      </c>
      <c r="M179" s="49">
        <v>0.33</v>
      </c>
      <c r="N179" s="49">
        <v>100</v>
      </c>
      <c r="O179" s="49">
        <f t="shared" si="23"/>
        <v>1.32</v>
      </c>
      <c r="P179" s="64"/>
      <c r="Q179" s="64"/>
      <c r="R179" s="64"/>
      <c r="S179" s="18" t="s">
        <v>941</v>
      </c>
      <c r="T179" s="18"/>
    </row>
    <row r="180" spans="4:20" ht="21.95" customHeight="1" x14ac:dyDescent="0.15">
      <c r="D180" s="78" t="s">
        <v>933</v>
      </c>
      <c r="E180" s="78" t="s">
        <v>935</v>
      </c>
      <c r="F180" s="49" t="s">
        <v>190</v>
      </c>
      <c r="G180" s="49">
        <f>I180</f>
        <v>7</v>
      </c>
      <c r="H180" s="49"/>
      <c r="I180" s="49">
        <f>'일위대가 (2)'!G280</f>
        <v>7</v>
      </c>
      <c r="J180" s="49"/>
      <c r="K180" s="78"/>
      <c r="L180" s="49" t="s">
        <v>940</v>
      </c>
      <c r="M180" s="49">
        <v>0.13</v>
      </c>
      <c r="N180" s="49">
        <v>100</v>
      </c>
      <c r="O180" s="49">
        <f>M180*G180</f>
        <v>0.91</v>
      </c>
      <c r="P180" s="64"/>
      <c r="Q180" s="64"/>
      <c r="R180" s="64"/>
      <c r="S180" s="18" t="s">
        <v>941</v>
      </c>
      <c r="T180" s="18"/>
    </row>
    <row r="181" spans="4:20" ht="21.95" customHeight="1" x14ac:dyDescent="0.15">
      <c r="D181" s="78" t="s">
        <v>459</v>
      </c>
      <c r="E181" s="49" t="s">
        <v>936</v>
      </c>
      <c r="F181" s="49" t="s">
        <v>461</v>
      </c>
      <c r="G181" s="49">
        <f>O172+O174+O176</f>
        <v>0.372</v>
      </c>
      <c r="H181" s="49"/>
      <c r="I181" s="49"/>
      <c r="J181" s="49"/>
      <c r="K181" s="78"/>
      <c r="L181" s="49"/>
      <c r="M181" s="49"/>
      <c r="N181" s="49"/>
      <c r="O181" s="49"/>
      <c r="P181" s="64"/>
      <c r="Q181" s="64"/>
      <c r="R181" s="64"/>
      <c r="S181" s="18"/>
      <c r="T181" s="18"/>
    </row>
    <row r="182" spans="4:20" ht="21.95" customHeight="1" x14ac:dyDescent="0.15">
      <c r="D182" s="78"/>
      <c r="E182" s="49" t="s">
        <v>940</v>
      </c>
      <c r="F182" s="49" t="s">
        <v>461</v>
      </c>
      <c r="G182" s="49">
        <f>O180+O179+O178+O177</f>
        <v>2.87</v>
      </c>
      <c r="H182" s="49"/>
      <c r="I182" s="49"/>
      <c r="J182" s="49"/>
      <c r="K182" s="78"/>
      <c r="L182" s="49"/>
      <c r="M182" s="49"/>
      <c r="N182" s="49"/>
      <c r="O182" s="49"/>
      <c r="P182" s="64"/>
      <c r="Q182" s="64"/>
      <c r="R182" s="64"/>
      <c r="S182" s="18"/>
      <c r="T182" s="18"/>
    </row>
    <row r="183" spans="4:20" ht="21.95" customHeight="1" x14ac:dyDescent="0.15">
      <c r="D183" s="78"/>
      <c r="E183" s="49" t="s">
        <v>938</v>
      </c>
      <c r="F183" s="49" t="s">
        <v>461</v>
      </c>
      <c r="G183" s="49">
        <f>O175+O173</f>
        <v>0.246</v>
      </c>
      <c r="H183" s="49"/>
      <c r="I183" s="49"/>
      <c r="J183" s="49"/>
      <c r="K183" s="78"/>
      <c r="L183" s="49"/>
      <c r="M183" s="49"/>
      <c r="N183" s="49"/>
      <c r="O183" s="49"/>
      <c r="P183" s="64"/>
      <c r="Q183" s="64"/>
      <c r="R183" s="64"/>
      <c r="S183" s="18"/>
      <c r="T183" s="18"/>
    </row>
    <row r="184" spans="4:20" ht="21.95" customHeight="1" x14ac:dyDescent="0.15">
      <c r="D184" s="149"/>
      <c r="E184" s="78"/>
      <c r="F184" s="148"/>
      <c r="G184" s="49"/>
      <c r="H184" s="49"/>
      <c r="I184" s="49"/>
      <c r="J184" s="49"/>
      <c r="K184" s="78"/>
      <c r="L184" s="49"/>
      <c r="M184" s="49"/>
      <c r="N184" s="49"/>
      <c r="O184" s="49"/>
      <c r="P184" s="64"/>
      <c r="Q184" s="64"/>
      <c r="R184" s="64"/>
      <c r="S184" s="18"/>
      <c r="T184" s="18"/>
    </row>
    <row r="185" spans="4:20" ht="21.95" customHeight="1" x14ac:dyDescent="0.15">
      <c r="D185" s="149" t="s">
        <v>1048</v>
      </c>
      <c r="E185" s="78"/>
      <c r="F185" s="148"/>
      <c r="G185" s="49"/>
      <c r="H185" s="49"/>
      <c r="I185" s="49"/>
      <c r="J185" s="49"/>
      <c r="K185" s="78"/>
      <c r="L185" s="49"/>
      <c r="M185" s="49"/>
      <c r="N185" s="49"/>
      <c r="O185" s="49"/>
      <c r="P185" s="64"/>
      <c r="Q185" s="64"/>
      <c r="R185" s="64"/>
      <c r="S185" s="18"/>
      <c r="T185" s="18"/>
    </row>
    <row r="186" spans="4:20" ht="21.95" customHeight="1" x14ac:dyDescent="0.15">
      <c r="D186" s="78" t="s">
        <v>811</v>
      </c>
      <c r="E186" s="78" t="s">
        <v>1045</v>
      </c>
      <c r="F186" s="148" t="s">
        <v>172</v>
      </c>
      <c r="G186" s="49">
        <f>I186</f>
        <v>3.6</v>
      </c>
      <c r="H186" s="49"/>
      <c r="I186" s="49">
        <f>'일위대가 (2)'!G294</f>
        <v>3.6</v>
      </c>
      <c r="J186" s="49"/>
      <c r="K186" s="78"/>
      <c r="L186" s="49" t="s">
        <v>936</v>
      </c>
      <c r="M186" s="49">
        <v>0.09</v>
      </c>
      <c r="N186" s="49">
        <v>100</v>
      </c>
      <c r="O186" s="49">
        <f>M186*G186</f>
        <v>0.32400000000000001</v>
      </c>
      <c r="P186" s="64"/>
      <c r="Q186" s="64"/>
      <c r="R186" s="64"/>
      <c r="S186" s="18" t="s">
        <v>937</v>
      </c>
      <c r="T186" s="18"/>
    </row>
    <row r="187" spans="4:20" ht="21.95" customHeight="1" x14ac:dyDescent="0.15">
      <c r="D187" s="149"/>
      <c r="E187" s="78"/>
      <c r="F187" s="148"/>
      <c r="G187" s="49"/>
      <c r="H187" s="49"/>
      <c r="I187" s="49"/>
      <c r="J187" s="49"/>
      <c r="K187" s="78"/>
      <c r="L187" s="49" t="s">
        <v>938</v>
      </c>
      <c r="M187" s="49">
        <v>7.0000000000000007E-2</v>
      </c>
      <c r="N187" s="49">
        <v>100</v>
      </c>
      <c r="O187" s="49">
        <f>M187*G186</f>
        <v>0.25200000000000006</v>
      </c>
      <c r="P187" s="64"/>
      <c r="Q187" s="64"/>
      <c r="R187" s="64"/>
      <c r="S187" s="18" t="s">
        <v>937</v>
      </c>
      <c r="T187" s="18"/>
    </row>
    <row r="188" spans="4:20" ht="21.95" customHeight="1" x14ac:dyDescent="0.15">
      <c r="D188" s="78" t="s">
        <v>1049</v>
      </c>
      <c r="E188" s="78" t="s">
        <v>1022</v>
      </c>
      <c r="F188" s="148" t="s">
        <v>172</v>
      </c>
      <c r="G188" s="49">
        <f>I188</f>
        <v>1.2</v>
      </c>
      <c r="H188" s="49"/>
      <c r="I188" s="49">
        <f>'일위대가 (2)'!G295</f>
        <v>1.2</v>
      </c>
      <c r="J188" s="49"/>
      <c r="K188" s="78"/>
      <c r="L188" s="49" t="s">
        <v>936</v>
      </c>
      <c r="M188" s="49">
        <v>0.08</v>
      </c>
      <c r="N188" s="49">
        <v>100</v>
      </c>
      <c r="O188" s="49">
        <f>M188*G188</f>
        <v>9.6000000000000002E-2</v>
      </c>
      <c r="P188" s="64"/>
      <c r="Q188" s="64"/>
      <c r="R188" s="64"/>
      <c r="S188" s="18" t="s">
        <v>937</v>
      </c>
      <c r="T188" s="18"/>
    </row>
    <row r="189" spans="4:20" ht="21.95" customHeight="1" x14ac:dyDescent="0.15">
      <c r="D189" s="78"/>
      <c r="E189" s="78"/>
      <c r="F189" s="148"/>
      <c r="G189" s="49"/>
      <c r="H189" s="49"/>
      <c r="I189" s="49"/>
      <c r="J189" s="49"/>
      <c r="K189" s="78"/>
      <c r="L189" s="49" t="s">
        <v>938</v>
      </c>
      <c r="M189" s="49">
        <v>0.06</v>
      </c>
      <c r="N189" s="49">
        <v>100</v>
      </c>
      <c r="O189" s="49">
        <f>M189*G188</f>
        <v>7.1999999999999995E-2</v>
      </c>
      <c r="P189" s="64"/>
      <c r="Q189" s="64"/>
      <c r="R189" s="64"/>
      <c r="S189" s="18" t="s">
        <v>937</v>
      </c>
      <c r="T189" s="18"/>
    </row>
    <row r="190" spans="4:20" ht="21.95" customHeight="1" x14ac:dyDescent="0.15">
      <c r="D190" s="78" t="s">
        <v>1049</v>
      </c>
      <c r="E190" s="78" t="s">
        <v>921</v>
      </c>
      <c r="F190" s="148" t="s">
        <v>172</v>
      </c>
      <c r="G190" s="49">
        <f>I190</f>
        <v>1.8</v>
      </c>
      <c r="H190" s="49"/>
      <c r="I190" s="49">
        <f>'일위대가 (2)'!G296</f>
        <v>1.8</v>
      </c>
      <c r="J190" s="49"/>
      <c r="K190" s="78"/>
      <c r="L190" s="49" t="s">
        <v>936</v>
      </c>
      <c r="M190" s="49">
        <v>0.08</v>
      </c>
      <c r="N190" s="49">
        <v>100</v>
      </c>
      <c r="O190" s="49">
        <f>M190*G190</f>
        <v>0.14400000000000002</v>
      </c>
      <c r="P190" s="64"/>
      <c r="Q190" s="64"/>
      <c r="R190" s="64"/>
      <c r="S190" s="18" t="s">
        <v>937</v>
      </c>
      <c r="T190" s="18"/>
    </row>
    <row r="191" spans="4:20" ht="21.95" customHeight="1" x14ac:dyDescent="0.15">
      <c r="D191" s="78"/>
      <c r="E191" s="78"/>
      <c r="F191" s="148"/>
      <c r="G191" s="49"/>
      <c r="H191" s="49"/>
      <c r="I191" s="49"/>
      <c r="J191" s="49"/>
      <c r="K191" s="78"/>
      <c r="L191" s="49" t="s">
        <v>938</v>
      </c>
      <c r="M191" s="49">
        <v>0.06</v>
      </c>
      <c r="N191" s="49">
        <v>100</v>
      </c>
      <c r="O191" s="49">
        <f>M191*G190</f>
        <v>0.108</v>
      </c>
      <c r="P191" s="64"/>
      <c r="Q191" s="64"/>
      <c r="R191" s="64"/>
      <c r="S191" s="18" t="s">
        <v>937</v>
      </c>
      <c r="T191" s="18"/>
    </row>
    <row r="192" spans="4:20" ht="21.95" customHeight="1" x14ac:dyDescent="0.15">
      <c r="D192" s="78" t="s">
        <v>926</v>
      </c>
      <c r="E192" s="78" t="s">
        <v>928</v>
      </c>
      <c r="F192" s="148" t="s">
        <v>172</v>
      </c>
      <c r="G192" s="49">
        <f>I192</f>
        <v>3.2</v>
      </c>
      <c r="H192" s="49"/>
      <c r="I192" s="49">
        <f>'일위대가 (2)'!G297</f>
        <v>3.2</v>
      </c>
      <c r="J192" s="49"/>
      <c r="K192" s="78"/>
      <c r="L192" s="49" t="s">
        <v>936</v>
      </c>
      <c r="M192" s="49">
        <v>0.02</v>
      </c>
      <c r="N192" s="49">
        <v>100</v>
      </c>
      <c r="O192" s="49">
        <f>M192*G192</f>
        <v>6.4000000000000001E-2</v>
      </c>
      <c r="P192" s="64"/>
      <c r="Q192" s="64"/>
      <c r="R192" s="64"/>
      <c r="S192" s="18" t="s">
        <v>939</v>
      </c>
      <c r="T192" s="18"/>
    </row>
    <row r="193" spans="4:20" ht="21.95" customHeight="1" x14ac:dyDescent="0.15">
      <c r="D193" s="78" t="s">
        <v>930</v>
      </c>
      <c r="E193" s="78" t="s">
        <v>1046</v>
      </c>
      <c r="F193" s="49" t="s">
        <v>190</v>
      </c>
      <c r="G193" s="49">
        <f>I193</f>
        <v>1</v>
      </c>
      <c r="H193" s="49"/>
      <c r="I193" s="49">
        <f>'일위대가 (2)'!G299</f>
        <v>1</v>
      </c>
      <c r="J193" s="49"/>
      <c r="K193" s="78"/>
      <c r="L193" s="49" t="s">
        <v>940</v>
      </c>
      <c r="M193" s="49">
        <v>0.61</v>
      </c>
      <c r="N193" s="49">
        <v>100</v>
      </c>
      <c r="O193" s="49">
        <f>M193*G193</f>
        <v>0.61</v>
      </c>
      <c r="P193" s="64"/>
      <c r="Q193" s="64"/>
      <c r="R193" s="64"/>
      <c r="S193" s="18" t="s">
        <v>941</v>
      </c>
      <c r="T193" s="18"/>
    </row>
    <row r="194" spans="4:20" ht="21.95" customHeight="1" x14ac:dyDescent="0.15">
      <c r="D194" s="78" t="s">
        <v>1047</v>
      </c>
      <c r="E194" s="78" t="s">
        <v>966</v>
      </c>
      <c r="F194" s="49" t="s">
        <v>190</v>
      </c>
      <c r="G194" s="49">
        <f t="shared" ref="G194:G195" si="24">I194</f>
        <v>2</v>
      </c>
      <c r="H194" s="49"/>
      <c r="I194" s="49">
        <f>'일위대가 (2)'!G300</f>
        <v>2</v>
      </c>
      <c r="J194" s="49"/>
      <c r="K194" s="78"/>
      <c r="L194" s="49" t="s">
        <v>940</v>
      </c>
      <c r="M194" s="49">
        <v>0.46</v>
      </c>
      <c r="N194" s="49">
        <v>100</v>
      </c>
      <c r="O194" s="49">
        <f t="shared" ref="O194:O195" si="25">M194*G194</f>
        <v>0.92</v>
      </c>
      <c r="P194" s="64"/>
      <c r="Q194" s="64"/>
      <c r="R194" s="64"/>
      <c r="S194" s="18" t="s">
        <v>941</v>
      </c>
      <c r="T194" s="18"/>
    </row>
    <row r="195" spans="4:20" ht="21.95" customHeight="1" x14ac:dyDescent="0.15">
      <c r="D195" s="78" t="s">
        <v>933</v>
      </c>
      <c r="E195" s="78" t="s">
        <v>1025</v>
      </c>
      <c r="F195" s="49" t="s">
        <v>190</v>
      </c>
      <c r="G195" s="49">
        <f t="shared" si="24"/>
        <v>4</v>
      </c>
      <c r="H195" s="49"/>
      <c r="I195" s="49">
        <f>'일위대가 (2)'!G302</f>
        <v>4</v>
      </c>
      <c r="J195" s="49"/>
      <c r="K195" s="78"/>
      <c r="L195" s="49" t="s">
        <v>940</v>
      </c>
      <c r="M195" s="49">
        <v>0.18</v>
      </c>
      <c r="N195" s="49">
        <v>100</v>
      </c>
      <c r="O195" s="49">
        <f t="shared" si="25"/>
        <v>0.72</v>
      </c>
      <c r="P195" s="64"/>
      <c r="Q195" s="64"/>
      <c r="R195" s="64"/>
      <c r="S195" s="18" t="s">
        <v>941</v>
      </c>
      <c r="T195" s="18"/>
    </row>
    <row r="196" spans="4:20" ht="21.95" customHeight="1" x14ac:dyDescent="0.15">
      <c r="D196" s="78" t="s">
        <v>933</v>
      </c>
      <c r="E196" s="78" t="s">
        <v>935</v>
      </c>
      <c r="F196" s="49" t="s">
        <v>190</v>
      </c>
      <c r="G196" s="49">
        <f>I196</f>
        <v>8</v>
      </c>
      <c r="H196" s="49"/>
      <c r="I196" s="49">
        <f>'일위대가 (2)'!G301</f>
        <v>8</v>
      </c>
      <c r="J196" s="49"/>
      <c r="K196" s="78"/>
      <c r="L196" s="49" t="s">
        <v>940</v>
      </c>
      <c r="M196" s="49">
        <v>0.13</v>
      </c>
      <c r="N196" s="49">
        <v>100</v>
      </c>
      <c r="O196" s="49">
        <f>M196*G196</f>
        <v>1.04</v>
      </c>
      <c r="P196" s="64"/>
      <c r="Q196" s="64"/>
      <c r="R196" s="64"/>
      <c r="S196" s="18" t="s">
        <v>941</v>
      </c>
      <c r="T196" s="18"/>
    </row>
    <row r="197" spans="4:20" ht="21.95" customHeight="1" x14ac:dyDescent="0.15">
      <c r="D197" s="78" t="s">
        <v>459</v>
      </c>
      <c r="E197" s="49" t="s">
        <v>936</v>
      </c>
      <c r="F197" s="49" t="s">
        <v>461</v>
      </c>
      <c r="G197" s="49">
        <f>O186+O188+O190+O192</f>
        <v>0.62800000000000011</v>
      </c>
      <c r="H197" s="49"/>
      <c r="I197" s="49"/>
      <c r="J197" s="49"/>
      <c r="K197" s="78"/>
      <c r="L197" s="49"/>
      <c r="M197" s="49"/>
      <c r="N197" s="49"/>
      <c r="O197" s="49"/>
      <c r="P197" s="64"/>
      <c r="Q197" s="64"/>
      <c r="R197" s="64"/>
      <c r="S197" s="18"/>
      <c r="T197" s="18"/>
    </row>
    <row r="198" spans="4:20" ht="21.95" customHeight="1" x14ac:dyDescent="0.15">
      <c r="D198" s="78"/>
      <c r="E198" s="49" t="s">
        <v>940</v>
      </c>
      <c r="F198" s="49" t="s">
        <v>461</v>
      </c>
      <c r="G198" s="49">
        <f>O196+O195+O194+O193</f>
        <v>3.29</v>
      </c>
      <c r="H198" s="49"/>
      <c r="I198" s="49"/>
      <c r="J198" s="49"/>
      <c r="K198" s="78"/>
      <c r="L198" s="49"/>
      <c r="M198" s="49"/>
      <c r="N198" s="49"/>
      <c r="O198" s="49"/>
      <c r="P198" s="64"/>
      <c r="Q198" s="64"/>
      <c r="R198" s="64"/>
      <c r="S198" s="18"/>
      <c r="T198" s="18"/>
    </row>
    <row r="199" spans="4:20" ht="21.95" customHeight="1" x14ac:dyDescent="0.15">
      <c r="D199" s="78"/>
      <c r="E199" s="49" t="s">
        <v>938</v>
      </c>
      <c r="F199" s="49" t="s">
        <v>461</v>
      </c>
      <c r="G199" s="49">
        <f>O187+O189+O191</f>
        <v>0.43200000000000005</v>
      </c>
      <c r="H199" s="49"/>
      <c r="I199" s="49"/>
      <c r="J199" s="49"/>
      <c r="K199" s="78"/>
      <c r="L199" s="49"/>
      <c r="M199" s="49"/>
      <c r="N199" s="49"/>
      <c r="O199" s="49"/>
      <c r="P199" s="64"/>
      <c r="Q199" s="64"/>
      <c r="R199" s="64"/>
      <c r="S199" s="18"/>
      <c r="T199" s="18"/>
    </row>
    <row r="200" spans="4:20" ht="21.95" customHeight="1" x14ac:dyDescent="0.15">
      <c r="D200" s="149"/>
      <c r="E200" s="78"/>
      <c r="F200" s="148"/>
      <c r="G200" s="49"/>
      <c r="H200" s="49"/>
      <c r="I200" s="49"/>
      <c r="J200" s="49"/>
      <c r="K200" s="78"/>
      <c r="L200" s="49"/>
      <c r="M200" s="49"/>
      <c r="N200" s="49"/>
      <c r="O200" s="49"/>
      <c r="P200" s="64"/>
      <c r="Q200" s="64"/>
      <c r="R200" s="64"/>
      <c r="S200" s="18"/>
      <c r="T200" s="18"/>
    </row>
    <row r="201" spans="4:20" ht="21.95" customHeight="1" x14ac:dyDescent="0.15">
      <c r="D201" s="149" t="s">
        <v>1055</v>
      </c>
      <c r="E201" s="78"/>
      <c r="F201" s="148"/>
      <c r="G201" s="49"/>
      <c r="H201" s="49"/>
      <c r="I201" s="49"/>
      <c r="J201" s="49"/>
      <c r="K201" s="78"/>
      <c r="L201" s="49"/>
      <c r="M201" s="49"/>
      <c r="N201" s="49"/>
      <c r="O201" s="49"/>
      <c r="P201" s="64"/>
      <c r="Q201" s="64"/>
      <c r="R201" s="64"/>
      <c r="S201" s="18"/>
      <c r="T201" s="18"/>
    </row>
    <row r="202" spans="4:20" ht="21.95" customHeight="1" x14ac:dyDescent="0.15">
      <c r="D202" s="78" t="s">
        <v>920</v>
      </c>
      <c r="E202" s="78" t="s">
        <v>1022</v>
      </c>
      <c r="F202" s="148" t="s">
        <v>172</v>
      </c>
      <c r="G202" s="49">
        <f>I202</f>
        <v>2.9</v>
      </c>
      <c r="H202" s="49"/>
      <c r="I202" s="49">
        <f>'일위대가 (2)'!G315</f>
        <v>2.9</v>
      </c>
      <c r="J202" s="49"/>
      <c r="K202" s="78"/>
      <c r="L202" s="49" t="s">
        <v>936</v>
      </c>
      <c r="M202" s="49">
        <v>0.08</v>
      </c>
      <c r="N202" s="49">
        <v>100</v>
      </c>
      <c r="O202" s="49">
        <f>M202*G202</f>
        <v>0.23199999999999998</v>
      </c>
      <c r="P202" s="64"/>
      <c r="Q202" s="64"/>
      <c r="R202" s="64"/>
      <c r="S202" s="18" t="s">
        <v>937</v>
      </c>
      <c r="T202" s="18"/>
    </row>
    <row r="203" spans="4:20" ht="21.95" customHeight="1" x14ac:dyDescent="0.15">
      <c r="D203" s="78"/>
      <c r="E203" s="78"/>
      <c r="F203" s="148"/>
      <c r="G203" s="49"/>
      <c r="H203" s="49"/>
      <c r="I203" s="49"/>
      <c r="J203" s="49"/>
      <c r="K203" s="78"/>
      <c r="L203" s="49" t="s">
        <v>938</v>
      </c>
      <c r="M203" s="49">
        <v>0.06</v>
      </c>
      <c r="N203" s="49">
        <v>100</v>
      </c>
      <c r="O203" s="49">
        <f>M203*G202</f>
        <v>0.17399999999999999</v>
      </c>
      <c r="P203" s="64"/>
      <c r="Q203" s="64"/>
      <c r="R203" s="64"/>
      <c r="S203" s="18" t="s">
        <v>937</v>
      </c>
      <c r="T203" s="18"/>
    </row>
    <row r="204" spans="4:20" ht="21.95" customHeight="1" x14ac:dyDescent="0.15">
      <c r="D204" s="78" t="s">
        <v>924</v>
      </c>
      <c r="E204" s="78" t="s">
        <v>921</v>
      </c>
      <c r="F204" s="148" t="s">
        <v>172</v>
      </c>
      <c r="G204" s="49">
        <f>I204</f>
        <v>1.8</v>
      </c>
      <c r="H204" s="49"/>
      <c r="I204" s="49">
        <f>'일위대가 (2)'!G316</f>
        <v>1.8</v>
      </c>
      <c r="J204" s="49"/>
      <c r="K204" s="78"/>
      <c r="L204" s="49" t="s">
        <v>936</v>
      </c>
      <c r="M204" s="49">
        <v>0.08</v>
      </c>
      <c r="N204" s="49">
        <v>100</v>
      </c>
      <c r="O204" s="49">
        <f>M204*G204</f>
        <v>0.14400000000000002</v>
      </c>
      <c r="P204" s="64"/>
      <c r="Q204" s="64"/>
      <c r="R204" s="64"/>
      <c r="S204" s="18" t="s">
        <v>937</v>
      </c>
      <c r="T204" s="18"/>
    </row>
    <row r="205" spans="4:20" ht="21.95" customHeight="1" x14ac:dyDescent="0.15">
      <c r="D205" s="78"/>
      <c r="E205" s="78"/>
      <c r="F205" s="148"/>
      <c r="G205" s="49"/>
      <c r="H205" s="49"/>
      <c r="I205" s="49"/>
      <c r="J205" s="49"/>
      <c r="K205" s="78"/>
      <c r="L205" s="49" t="s">
        <v>938</v>
      </c>
      <c r="M205" s="49">
        <v>0.06</v>
      </c>
      <c r="N205" s="49">
        <v>100</v>
      </c>
      <c r="O205" s="49">
        <f>M205*G204</f>
        <v>0.108</v>
      </c>
      <c r="P205" s="64"/>
      <c r="Q205" s="64"/>
      <c r="R205" s="64"/>
      <c r="S205" s="18" t="s">
        <v>937</v>
      </c>
      <c r="T205" s="18"/>
    </row>
    <row r="206" spans="4:20" ht="21.95" customHeight="1" x14ac:dyDescent="0.15">
      <c r="D206" s="78" t="s">
        <v>926</v>
      </c>
      <c r="E206" s="78" t="s">
        <v>928</v>
      </c>
      <c r="F206" s="148" t="s">
        <v>172</v>
      </c>
      <c r="G206" s="49">
        <f>I206</f>
        <v>2</v>
      </c>
      <c r="H206" s="49"/>
      <c r="I206" s="49">
        <f>'일위대가 (2)'!G317</f>
        <v>2</v>
      </c>
      <c r="J206" s="49"/>
      <c r="K206" s="78"/>
      <c r="L206" s="49" t="s">
        <v>936</v>
      </c>
      <c r="M206" s="49">
        <v>0.02</v>
      </c>
      <c r="N206" s="49">
        <v>100</v>
      </c>
      <c r="O206" s="49">
        <f>M206*G206</f>
        <v>0.04</v>
      </c>
      <c r="P206" s="64"/>
      <c r="Q206" s="64"/>
      <c r="R206" s="64"/>
      <c r="S206" s="18" t="s">
        <v>939</v>
      </c>
      <c r="T206" s="18"/>
    </row>
    <row r="207" spans="4:20" ht="21.95" customHeight="1" x14ac:dyDescent="0.15">
      <c r="D207" s="78" t="s">
        <v>1056</v>
      </c>
      <c r="E207" s="78" t="s">
        <v>931</v>
      </c>
      <c r="F207" s="49" t="s">
        <v>190</v>
      </c>
      <c r="G207" s="49">
        <f>I207</f>
        <v>1</v>
      </c>
      <c r="H207" s="49"/>
      <c r="I207" s="49">
        <f>'일위대가 (2)'!G319</f>
        <v>1</v>
      </c>
      <c r="J207" s="49"/>
      <c r="K207" s="78"/>
      <c r="L207" s="49" t="s">
        <v>940</v>
      </c>
      <c r="M207" s="49">
        <v>0.33</v>
      </c>
      <c r="N207" s="49">
        <v>100</v>
      </c>
      <c r="O207" s="49">
        <f>M207*G207</f>
        <v>0.33</v>
      </c>
      <c r="P207" s="64"/>
      <c r="Q207" s="64"/>
      <c r="R207" s="64"/>
      <c r="S207" s="18" t="s">
        <v>941</v>
      </c>
      <c r="T207" s="18"/>
    </row>
    <row r="208" spans="4:20" ht="21.95" customHeight="1" x14ac:dyDescent="0.15">
      <c r="D208" s="78" t="s">
        <v>1047</v>
      </c>
      <c r="E208" s="78" t="s">
        <v>1025</v>
      </c>
      <c r="F208" s="49" t="s">
        <v>190</v>
      </c>
      <c r="G208" s="49">
        <f t="shared" ref="G208:G209" si="26">I208</f>
        <v>1</v>
      </c>
      <c r="H208" s="49"/>
      <c r="I208" s="49">
        <f>'일위대가 (2)'!G320</f>
        <v>1</v>
      </c>
      <c r="J208" s="49"/>
      <c r="K208" s="78"/>
      <c r="L208" s="49" t="s">
        <v>940</v>
      </c>
      <c r="M208" s="49">
        <v>0.18</v>
      </c>
      <c r="N208" s="49">
        <v>100</v>
      </c>
      <c r="O208" s="49">
        <f t="shared" ref="O208:O209" si="27">M208*G208</f>
        <v>0.18</v>
      </c>
      <c r="P208" s="64"/>
      <c r="Q208" s="64"/>
      <c r="R208" s="64"/>
      <c r="S208" s="18" t="s">
        <v>941</v>
      </c>
      <c r="T208" s="18"/>
    </row>
    <row r="209" spans="4:20" ht="21.95" customHeight="1" x14ac:dyDescent="0.15">
      <c r="D209" s="78" t="s">
        <v>933</v>
      </c>
      <c r="E209" s="78" t="s">
        <v>1025</v>
      </c>
      <c r="F209" s="49" t="s">
        <v>190</v>
      </c>
      <c r="G209" s="49">
        <f t="shared" si="26"/>
        <v>1</v>
      </c>
      <c r="H209" s="49"/>
      <c r="I209" s="49">
        <f>'일위대가 (2)'!G322</f>
        <v>1</v>
      </c>
      <c r="J209" s="49"/>
      <c r="K209" s="78"/>
      <c r="L209" s="49" t="s">
        <v>940</v>
      </c>
      <c r="M209" s="49">
        <v>0.18</v>
      </c>
      <c r="N209" s="49">
        <v>100</v>
      </c>
      <c r="O209" s="49">
        <f t="shared" si="27"/>
        <v>0.18</v>
      </c>
      <c r="P209" s="64"/>
      <c r="Q209" s="64"/>
      <c r="R209" s="64"/>
      <c r="S209" s="18" t="s">
        <v>941</v>
      </c>
      <c r="T209" s="18"/>
    </row>
    <row r="210" spans="4:20" ht="21.95" customHeight="1" x14ac:dyDescent="0.15">
      <c r="D210" s="78" t="s">
        <v>933</v>
      </c>
      <c r="E210" s="78" t="s">
        <v>935</v>
      </c>
      <c r="F210" s="49" t="s">
        <v>190</v>
      </c>
      <c r="G210" s="49">
        <f>I210</f>
        <v>8</v>
      </c>
      <c r="H210" s="49"/>
      <c r="I210" s="49">
        <f>'일위대가 (2)'!G321</f>
        <v>8</v>
      </c>
      <c r="J210" s="49"/>
      <c r="K210" s="78"/>
      <c r="L210" s="49" t="s">
        <v>940</v>
      </c>
      <c r="M210" s="49">
        <v>0.13</v>
      </c>
      <c r="N210" s="49">
        <v>100</v>
      </c>
      <c r="O210" s="49">
        <f>M210*G210</f>
        <v>1.04</v>
      </c>
      <c r="P210" s="64"/>
      <c r="Q210" s="64"/>
      <c r="R210" s="64"/>
      <c r="S210" s="18" t="s">
        <v>941</v>
      </c>
      <c r="T210" s="18"/>
    </row>
    <row r="211" spans="4:20" ht="21.95" customHeight="1" x14ac:dyDescent="0.15">
      <c r="D211" s="78" t="s">
        <v>459</v>
      </c>
      <c r="E211" s="49" t="s">
        <v>936</v>
      </c>
      <c r="F211" s="49" t="s">
        <v>461</v>
      </c>
      <c r="G211" s="49">
        <f>O202+O204+O206</f>
        <v>0.41599999999999998</v>
      </c>
      <c r="H211" s="49"/>
      <c r="I211" s="49"/>
      <c r="J211" s="49"/>
      <c r="K211" s="78"/>
      <c r="L211" s="49"/>
      <c r="M211" s="49"/>
      <c r="N211" s="49"/>
      <c r="O211" s="49"/>
      <c r="P211" s="64"/>
      <c r="Q211" s="64"/>
      <c r="R211" s="64"/>
      <c r="S211" s="18"/>
      <c r="T211" s="18"/>
    </row>
    <row r="212" spans="4:20" ht="21.95" customHeight="1" x14ac:dyDescent="0.15">
      <c r="D212" s="78"/>
      <c r="E212" s="49" t="s">
        <v>940</v>
      </c>
      <c r="F212" s="49" t="s">
        <v>461</v>
      </c>
      <c r="G212" s="49">
        <f>O210+O209+O208+O207</f>
        <v>1.73</v>
      </c>
      <c r="H212" s="49"/>
      <c r="I212" s="49"/>
      <c r="J212" s="49"/>
      <c r="K212" s="78"/>
      <c r="L212" s="49"/>
      <c r="M212" s="49"/>
      <c r="N212" s="49"/>
      <c r="O212" s="49"/>
      <c r="P212" s="64"/>
      <c r="Q212" s="64"/>
      <c r="R212" s="64"/>
      <c r="S212" s="18"/>
      <c r="T212" s="18"/>
    </row>
    <row r="213" spans="4:20" ht="21.95" customHeight="1" x14ac:dyDescent="0.15">
      <c r="D213" s="78"/>
      <c r="E213" s="49" t="s">
        <v>938</v>
      </c>
      <c r="F213" s="49" t="s">
        <v>461</v>
      </c>
      <c r="G213" s="49">
        <f>O205+O203</f>
        <v>0.28199999999999997</v>
      </c>
      <c r="H213" s="49"/>
      <c r="I213" s="49"/>
      <c r="J213" s="49"/>
      <c r="K213" s="78"/>
      <c r="L213" s="49"/>
      <c r="M213" s="49"/>
      <c r="N213" s="49"/>
      <c r="O213" s="49"/>
      <c r="P213" s="64"/>
      <c r="Q213" s="64"/>
      <c r="R213" s="64"/>
      <c r="S213" s="18"/>
      <c r="T213" s="18"/>
    </row>
    <row r="214" spans="4:20" ht="21.95" customHeight="1" x14ac:dyDescent="0.15">
      <c r="D214" s="149"/>
      <c r="E214" s="78"/>
      <c r="F214" s="148"/>
      <c r="G214" s="49"/>
      <c r="H214" s="49"/>
      <c r="I214" s="49"/>
      <c r="J214" s="49"/>
      <c r="K214" s="78"/>
      <c r="L214" s="49"/>
      <c r="M214" s="49"/>
      <c r="N214" s="49"/>
      <c r="O214" s="49"/>
      <c r="P214" s="64"/>
      <c r="Q214" s="64"/>
      <c r="R214" s="64"/>
      <c r="S214" s="18"/>
      <c r="T214" s="18"/>
    </row>
    <row r="215" spans="4:20" ht="21.95" customHeight="1" x14ac:dyDescent="0.15">
      <c r="D215" s="149"/>
      <c r="E215" s="78"/>
      <c r="F215" s="148"/>
      <c r="G215" s="49"/>
      <c r="H215" s="49"/>
      <c r="I215" s="49"/>
      <c r="J215" s="49"/>
      <c r="K215" s="78"/>
      <c r="L215" s="49"/>
      <c r="M215" s="49"/>
      <c r="N215" s="49"/>
      <c r="O215" s="49"/>
      <c r="P215" s="64"/>
      <c r="Q215" s="64"/>
      <c r="R215" s="64"/>
      <c r="S215" s="18"/>
      <c r="T215" s="18"/>
    </row>
    <row r="216" spans="4:20" ht="21.95" customHeight="1" x14ac:dyDescent="0.15">
      <c r="D216" s="149"/>
      <c r="E216" s="78"/>
      <c r="F216" s="148"/>
      <c r="G216" s="49"/>
      <c r="H216" s="49"/>
      <c r="I216" s="49"/>
      <c r="J216" s="49"/>
      <c r="K216" s="78"/>
      <c r="L216" s="49"/>
      <c r="M216" s="49"/>
      <c r="N216" s="49"/>
      <c r="O216" s="49"/>
      <c r="P216" s="64"/>
      <c r="Q216" s="64"/>
      <c r="R216" s="64"/>
      <c r="S216" s="18"/>
      <c r="T216" s="18"/>
    </row>
    <row r="217" spans="4:20" ht="21.95" customHeight="1" x14ac:dyDescent="0.15">
      <c r="D217" s="149"/>
      <c r="E217" s="78"/>
      <c r="F217" s="148"/>
      <c r="G217" s="49"/>
      <c r="H217" s="49"/>
      <c r="I217" s="49"/>
      <c r="J217" s="49"/>
      <c r="K217" s="78"/>
      <c r="L217" s="49"/>
      <c r="M217" s="49"/>
      <c r="N217" s="49"/>
      <c r="O217" s="49"/>
      <c r="P217" s="64"/>
      <c r="Q217" s="64"/>
      <c r="R217" s="64"/>
      <c r="S217" s="18"/>
      <c r="T217" s="18"/>
    </row>
    <row r="218" spans="4:20" ht="21.95" customHeight="1" x14ac:dyDescent="0.15">
      <c r="D218" s="149"/>
      <c r="E218" s="78"/>
      <c r="F218" s="148"/>
      <c r="G218" s="49"/>
      <c r="H218" s="49"/>
      <c r="I218" s="49"/>
      <c r="J218" s="49"/>
      <c r="K218" s="78"/>
      <c r="L218" s="49"/>
      <c r="M218" s="49"/>
      <c r="N218" s="49"/>
      <c r="O218" s="49"/>
      <c r="P218" s="64"/>
      <c r="Q218" s="64"/>
      <c r="R218" s="64"/>
      <c r="S218" s="18"/>
      <c r="T218" s="18"/>
    </row>
    <row r="219" spans="4:20" ht="21.95" customHeight="1" x14ac:dyDescent="0.15">
      <c r="D219" s="149"/>
      <c r="E219" s="78"/>
      <c r="F219" s="148"/>
      <c r="G219" s="49"/>
      <c r="H219" s="49"/>
      <c r="I219" s="49"/>
      <c r="J219" s="49"/>
      <c r="K219" s="78"/>
      <c r="L219" s="49"/>
      <c r="M219" s="49"/>
      <c r="N219" s="49"/>
      <c r="O219" s="49"/>
      <c r="P219" s="64"/>
      <c r="Q219" s="64"/>
      <c r="R219" s="64"/>
      <c r="S219" s="18"/>
      <c r="T219" s="18"/>
    </row>
    <row r="220" spans="4:20" ht="21.95" customHeight="1" x14ac:dyDescent="0.15">
      <c r="D220" s="149"/>
      <c r="E220" s="78"/>
      <c r="F220" s="148"/>
      <c r="G220" s="49"/>
      <c r="H220" s="49"/>
      <c r="I220" s="49"/>
      <c r="J220" s="49"/>
      <c r="K220" s="78"/>
      <c r="L220" s="49"/>
      <c r="M220" s="49"/>
      <c r="N220" s="49"/>
      <c r="O220" s="49"/>
      <c r="P220" s="64"/>
      <c r="Q220" s="64"/>
      <c r="R220" s="64"/>
      <c r="S220" s="18"/>
      <c r="T220" s="18"/>
    </row>
    <row r="221" spans="4:20" ht="21.95" customHeight="1" x14ac:dyDescent="0.15">
      <c r="D221" s="149"/>
      <c r="E221" s="78"/>
      <c r="F221" s="148"/>
      <c r="G221" s="49"/>
      <c r="H221" s="49"/>
      <c r="I221" s="49"/>
      <c r="J221" s="49"/>
      <c r="K221" s="78"/>
      <c r="L221" s="49"/>
      <c r="M221" s="49"/>
      <c r="N221" s="49"/>
      <c r="O221" s="49"/>
      <c r="P221" s="64"/>
      <c r="Q221" s="64"/>
      <c r="R221" s="64"/>
      <c r="S221" s="18"/>
      <c r="T221" s="18"/>
    </row>
    <row r="222" spans="4:20" ht="21.95" customHeight="1" x14ac:dyDescent="0.15">
      <c r="D222" s="149"/>
      <c r="E222" s="78"/>
      <c r="F222" s="148"/>
      <c r="G222" s="49"/>
      <c r="H222" s="49"/>
      <c r="I222" s="49"/>
      <c r="J222" s="49"/>
      <c r="K222" s="78"/>
      <c r="L222" s="49"/>
      <c r="M222" s="49"/>
      <c r="N222" s="49"/>
      <c r="O222" s="49"/>
      <c r="P222" s="64"/>
      <c r="Q222" s="64"/>
      <c r="R222" s="64"/>
      <c r="S222" s="18"/>
      <c r="T222" s="18"/>
    </row>
    <row r="223" spans="4:20" ht="21.95" customHeight="1" x14ac:dyDescent="0.15">
      <c r="D223" s="149"/>
      <c r="E223" s="78"/>
      <c r="F223" s="148"/>
      <c r="G223" s="49"/>
      <c r="H223" s="49"/>
      <c r="I223" s="49"/>
      <c r="J223" s="49"/>
      <c r="K223" s="78"/>
      <c r="L223" s="49"/>
      <c r="M223" s="49"/>
      <c r="N223" s="49"/>
      <c r="O223" s="49"/>
      <c r="P223" s="64"/>
      <c r="Q223" s="64"/>
      <c r="R223" s="64"/>
      <c r="S223" s="18"/>
      <c r="T223" s="18"/>
    </row>
    <row r="224" spans="4:20" ht="21.95" customHeight="1" x14ac:dyDescent="0.15">
      <c r="D224" s="149"/>
      <c r="E224" s="78"/>
      <c r="F224" s="148"/>
      <c r="G224" s="49"/>
      <c r="H224" s="49"/>
      <c r="I224" s="49"/>
      <c r="J224" s="49"/>
      <c r="K224" s="78"/>
      <c r="L224" s="49"/>
      <c r="M224" s="49"/>
      <c r="N224" s="49"/>
      <c r="O224" s="49"/>
      <c r="P224" s="64"/>
      <c r="Q224" s="64"/>
      <c r="R224" s="64"/>
      <c r="S224" s="18"/>
      <c r="T224" s="18"/>
    </row>
    <row r="225" spans="4:20" ht="21.95" customHeight="1" x14ac:dyDescent="0.15">
      <c r="D225" s="149"/>
      <c r="E225" s="78"/>
      <c r="F225" s="148"/>
      <c r="G225" s="49"/>
      <c r="H225" s="49"/>
      <c r="I225" s="49"/>
      <c r="J225" s="49"/>
      <c r="K225" s="78"/>
      <c r="L225" s="49"/>
      <c r="M225" s="49"/>
      <c r="N225" s="49"/>
      <c r="O225" s="49"/>
      <c r="P225" s="64"/>
      <c r="Q225" s="64"/>
      <c r="R225" s="64"/>
      <c r="S225" s="18"/>
      <c r="T225" s="18"/>
    </row>
    <row r="226" spans="4:20" ht="21.95" customHeight="1" x14ac:dyDescent="0.15">
      <c r="D226" s="78"/>
      <c r="E226" s="78"/>
      <c r="F226" s="148"/>
      <c r="G226" s="49"/>
      <c r="H226" s="49"/>
      <c r="I226" s="49"/>
      <c r="J226" s="49"/>
      <c r="K226" s="78"/>
      <c r="L226" s="49"/>
      <c r="M226" s="49"/>
      <c r="N226" s="49"/>
      <c r="O226" s="49"/>
      <c r="P226" s="64"/>
      <c r="Q226" s="64"/>
      <c r="R226" s="64"/>
      <c r="S226" s="18"/>
      <c r="T226" s="18"/>
    </row>
    <row r="227" spans="4:20" ht="21.95" customHeight="1" x14ac:dyDescent="0.15">
      <c r="D227" s="78"/>
      <c r="E227" s="78"/>
      <c r="F227" s="148"/>
      <c r="G227" s="49"/>
      <c r="H227" s="49"/>
      <c r="I227" s="49"/>
      <c r="J227" s="49"/>
      <c r="K227" s="78"/>
      <c r="L227" s="49"/>
      <c r="M227" s="49"/>
      <c r="N227" s="49"/>
      <c r="O227" s="49"/>
      <c r="P227" s="64"/>
      <c r="Q227" s="64"/>
      <c r="R227" s="64"/>
      <c r="S227" s="18"/>
      <c r="T227" s="18"/>
    </row>
    <row r="228" spans="4:20" ht="21.95" customHeight="1" x14ac:dyDescent="0.15">
      <c r="D228" s="78"/>
      <c r="E228" s="78"/>
      <c r="F228" s="148"/>
      <c r="G228" s="49"/>
      <c r="H228" s="49"/>
      <c r="I228" s="49"/>
      <c r="J228" s="49"/>
      <c r="K228" s="78"/>
      <c r="L228" s="49"/>
      <c r="M228" s="49"/>
      <c r="N228" s="49"/>
      <c r="O228" s="49"/>
      <c r="P228" s="64"/>
      <c r="Q228" s="64"/>
      <c r="R228" s="64"/>
      <c r="S228" s="18"/>
      <c r="T228" s="18"/>
    </row>
    <row r="229" spans="4:20" ht="21.95" customHeight="1" x14ac:dyDescent="0.15">
      <c r="D229" s="78"/>
      <c r="E229" s="78"/>
      <c r="F229" s="148"/>
      <c r="G229" s="49"/>
      <c r="H229" s="49"/>
      <c r="I229" s="49"/>
      <c r="J229" s="49"/>
      <c r="K229" s="78"/>
      <c r="L229" s="49"/>
      <c r="M229" s="49"/>
      <c r="N229" s="49"/>
      <c r="O229" s="49"/>
      <c r="P229" s="64"/>
      <c r="Q229" s="64"/>
      <c r="R229" s="64"/>
      <c r="S229" s="18"/>
      <c r="T229" s="18"/>
    </row>
    <row r="230" spans="4:20" ht="21.95" customHeight="1" x14ac:dyDescent="0.15">
      <c r="D230" s="78"/>
      <c r="E230" s="78"/>
      <c r="F230" s="148"/>
      <c r="G230" s="49"/>
      <c r="H230" s="49"/>
      <c r="I230" s="49"/>
      <c r="J230" s="49"/>
      <c r="K230" s="78"/>
      <c r="L230" s="49"/>
      <c r="M230" s="49"/>
      <c r="N230" s="49"/>
      <c r="O230" s="49"/>
      <c r="P230" s="64"/>
      <c r="Q230" s="64"/>
      <c r="R230" s="64"/>
      <c r="S230" s="18"/>
      <c r="T230" s="18"/>
    </row>
    <row r="231" spans="4:20" ht="21.95" customHeight="1" x14ac:dyDescent="0.15">
      <c r="D231" s="78"/>
      <c r="E231" s="78"/>
      <c r="F231" s="148"/>
      <c r="G231" s="49"/>
      <c r="H231" s="49"/>
      <c r="I231" s="49"/>
      <c r="J231" s="49"/>
      <c r="K231" s="78"/>
      <c r="L231" s="49"/>
      <c r="M231" s="49"/>
      <c r="N231" s="49"/>
      <c r="O231" s="49"/>
      <c r="P231" s="64"/>
      <c r="Q231" s="64"/>
      <c r="R231" s="64"/>
      <c r="S231" s="18"/>
      <c r="T231" s="18"/>
    </row>
    <row r="232" spans="4:20" ht="21.95" customHeight="1" x14ac:dyDescent="0.15">
      <c r="D232" s="78"/>
      <c r="E232" s="78"/>
      <c r="F232" s="148"/>
      <c r="G232" s="49"/>
      <c r="H232" s="49"/>
      <c r="I232" s="49"/>
      <c r="J232" s="49"/>
      <c r="K232" s="78"/>
      <c r="L232" s="49"/>
      <c r="M232" s="49"/>
      <c r="N232" s="49"/>
      <c r="O232" s="49"/>
      <c r="P232" s="64"/>
      <c r="Q232" s="64"/>
      <c r="R232" s="64"/>
      <c r="S232" s="18"/>
      <c r="T232" s="18"/>
    </row>
    <row r="233" spans="4:20" ht="21.95" customHeight="1" x14ac:dyDescent="0.15">
      <c r="D233" s="78"/>
      <c r="E233" s="78"/>
      <c r="F233" s="148"/>
      <c r="G233" s="49"/>
      <c r="H233" s="49"/>
      <c r="I233" s="49"/>
      <c r="J233" s="49"/>
      <c r="K233" s="78"/>
      <c r="L233" s="49"/>
      <c r="M233" s="49"/>
      <c r="N233" s="49"/>
      <c r="O233" s="49"/>
      <c r="P233" s="64"/>
      <c r="Q233" s="64"/>
      <c r="R233" s="64"/>
      <c r="S233" s="18"/>
      <c r="T233" s="18"/>
    </row>
    <row r="234" spans="4:20" ht="21.95" customHeight="1" x14ac:dyDescent="0.15">
      <c r="D234" s="78"/>
      <c r="E234" s="78"/>
      <c r="F234" s="148"/>
      <c r="G234" s="49"/>
      <c r="H234" s="49"/>
      <c r="I234" s="49"/>
      <c r="J234" s="49"/>
      <c r="K234" s="78"/>
      <c r="L234" s="49"/>
      <c r="M234" s="49"/>
      <c r="N234" s="49"/>
      <c r="O234" s="49"/>
      <c r="P234" s="64"/>
      <c r="Q234" s="64"/>
      <c r="R234" s="64"/>
      <c r="S234" s="18"/>
      <c r="T234" s="18"/>
    </row>
    <row r="235" spans="4:20" ht="21.95" customHeight="1" x14ac:dyDescent="0.15">
      <c r="D235" s="78"/>
      <c r="E235" s="78"/>
      <c r="F235" s="49"/>
      <c r="G235" s="49"/>
      <c r="H235" s="49"/>
      <c r="I235" s="49"/>
      <c r="J235" s="49"/>
      <c r="K235" s="78"/>
      <c r="L235" s="49"/>
      <c r="M235" s="49"/>
      <c r="N235" s="49"/>
      <c r="O235" s="49"/>
      <c r="P235" s="64"/>
      <c r="Q235" s="64"/>
      <c r="R235" s="64"/>
      <c r="S235" s="18"/>
      <c r="T235" s="18"/>
    </row>
    <row r="236" spans="4:20" ht="21.95" customHeight="1" x14ac:dyDescent="0.15">
      <c r="D236" s="78"/>
      <c r="E236" s="78"/>
      <c r="F236" s="49"/>
      <c r="G236" s="49"/>
      <c r="H236" s="49"/>
      <c r="I236" s="49"/>
      <c r="J236" s="49"/>
      <c r="K236" s="78"/>
      <c r="L236" s="49"/>
      <c r="M236" s="49"/>
      <c r="N236" s="49"/>
      <c r="O236" s="49"/>
      <c r="P236" s="64"/>
      <c r="Q236" s="64"/>
      <c r="R236" s="64"/>
      <c r="S236" s="18"/>
      <c r="T236" s="18"/>
    </row>
    <row r="237" spans="4:20" ht="21.95" customHeight="1" x14ac:dyDescent="0.15">
      <c r="D237" s="78"/>
      <c r="E237" s="49"/>
      <c r="F237" s="49"/>
      <c r="G237" s="49"/>
      <c r="H237" s="49"/>
      <c r="I237" s="49"/>
      <c r="J237" s="49"/>
      <c r="K237" s="78"/>
      <c r="L237" s="49"/>
      <c r="M237" s="49"/>
      <c r="N237" s="49"/>
      <c r="O237" s="49"/>
      <c r="P237" s="64"/>
      <c r="Q237" s="64"/>
      <c r="R237" s="64"/>
      <c r="S237" s="18"/>
      <c r="T237" s="18"/>
    </row>
    <row r="238" spans="4:20" ht="21.95" customHeight="1" x14ac:dyDescent="0.15">
      <c r="D238" s="78"/>
      <c r="E238" s="49"/>
      <c r="F238" s="49"/>
      <c r="G238" s="49"/>
      <c r="H238" s="49"/>
      <c r="I238" s="49"/>
      <c r="J238" s="49"/>
      <c r="K238" s="78"/>
      <c r="L238" s="49"/>
      <c r="M238" s="49"/>
      <c r="N238" s="49"/>
      <c r="O238" s="49"/>
      <c r="P238" s="64"/>
      <c r="Q238" s="64"/>
      <c r="R238" s="64"/>
      <c r="S238" s="18"/>
      <c r="T238" s="18"/>
    </row>
    <row r="239" spans="4:20" ht="21.95" customHeight="1" x14ac:dyDescent="0.15">
      <c r="D239" s="78"/>
      <c r="E239" s="49"/>
      <c r="F239" s="49"/>
      <c r="G239" s="49"/>
      <c r="H239" s="49"/>
      <c r="I239" s="49"/>
      <c r="J239" s="49"/>
      <c r="K239" s="78"/>
      <c r="L239" s="49"/>
      <c r="M239" s="49"/>
      <c r="N239" s="49"/>
      <c r="O239" s="49"/>
      <c r="P239" s="64"/>
      <c r="Q239" s="64"/>
      <c r="R239" s="64"/>
      <c r="S239" s="18"/>
      <c r="T239" s="18"/>
    </row>
    <row r="240" spans="4:20" ht="21.95" customHeight="1" x14ac:dyDescent="0.15">
      <c r="D240" s="78"/>
      <c r="E240" s="78"/>
      <c r="F240" s="49"/>
      <c r="G240" s="49"/>
      <c r="H240" s="49"/>
      <c r="I240" s="49"/>
      <c r="J240" s="49"/>
      <c r="K240" s="78"/>
      <c r="L240" s="49"/>
      <c r="M240" s="49"/>
      <c r="N240" s="49"/>
      <c r="O240" s="49"/>
      <c r="P240" s="64"/>
      <c r="Q240" s="64"/>
      <c r="R240" s="64"/>
      <c r="S240" s="18"/>
      <c r="T240" s="18"/>
    </row>
  </sheetData>
  <mergeCells count="14">
    <mergeCell ref="A2:A3"/>
    <mergeCell ref="B2:B3"/>
    <mergeCell ref="C2:C3"/>
    <mergeCell ref="D2:D3"/>
    <mergeCell ref="E2:E3"/>
    <mergeCell ref="P2:R2"/>
    <mergeCell ref="S2:S3"/>
    <mergeCell ref="T2:T3"/>
    <mergeCell ref="D4:T4"/>
    <mergeCell ref="D1:T1"/>
    <mergeCell ref="F2:F3"/>
    <mergeCell ref="G2:J2"/>
    <mergeCell ref="K2:K3"/>
    <mergeCell ref="L2:O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107"/>
  <sheetViews>
    <sheetView topLeftCell="C1" zoomScaleNormal="100" workbookViewId="0">
      <pane ySplit="3" topLeftCell="A4" activePane="bottomLeft" state="frozen"/>
      <selection activeCell="J20" sqref="J20"/>
      <selection pane="bottomLeft" activeCell="J20" sqref="J20"/>
    </sheetView>
  </sheetViews>
  <sheetFormatPr defaultRowHeight="21.6" customHeight="1" x14ac:dyDescent="0.15"/>
  <cols>
    <col min="1" max="1" width="5.21875" style="55" hidden="1" customWidth="1"/>
    <col min="2" max="2" width="8.77734375" style="15" hidden="1" customWidth="1"/>
    <col min="3" max="3" width="16.77734375" style="14" customWidth="1"/>
    <col min="4" max="4" width="24.33203125" style="14" customWidth="1"/>
    <col min="5" max="5" width="25.33203125" style="14" customWidth="1"/>
    <col min="6" max="6" width="4.77734375" style="51" customWidth="1"/>
    <col min="7" max="7" width="11.21875" style="16" customWidth="1"/>
    <col min="8" max="8" width="13.88671875" style="59" customWidth="1"/>
    <col min="9" max="9" width="11.6640625" style="59" customWidth="1"/>
    <col min="10" max="10" width="10" style="59" customWidth="1"/>
    <col min="11" max="11" width="7" style="59" customWidth="1"/>
    <col min="12" max="12" width="10.77734375" style="59" customWidth="1"/>
    <col min="13" max="13" width="10.77734375" style="12" customWidth="1"/>
    <col min="14" max="16384" width="8.88671875" style="12"/>
  </cols>
  <sheetData>
    <row r="1" spans="1:13" ht="21.6" customHeight="1" x14ac:dyDescent="0.15">
      <c r="A1" s="55" t="s">
        <v>473</v>
      </c>
      <c r="B1" s="15" t="s">
        <v>476</v>
      </c>
      <c r="C1" s="292" t="s">
        <v>475</v>
      </c>
      <c r="D1" s="292"/>
      <c r="E1" s="292"/>
      <c r="F1" s="292"/>
      <c r="G1" s="292"/>
      <c r="H1" s="292"/>
      <c r="I1" s="292"/>
      <c r="J1" s="292"/>
      <c r="K1" s="292"/>
      <c r="L1" s="292"/>
      <c r="M1" s="292"/>
    </row>
    <row r="2" spans="1:13" s="9" customFormat="1" ht="21.6" customHeight="1" x14ac:dyDescent="0.15">
      <c r="A2" s="19" t="s">
        <v>80</v>
      </c>
      <c r="B2" s="81" t="s">
        <v>82</v>
      </c>
      <c r="C2" s="271" t="s">
        <v>23</v>
      </c>
      <c r="D2" s="271" t="s">
        <v>85</v>
      </c>
      <c r="E2" s="271" t="s">
        <v>86</v>
      </c>
      <c r="F2" s="274" t="s">
        <v>1</v>
      </c>
      <c r="G2" s="274" t="s">
        <v>2</v>
      </c>
      <c r="H2" s="267" t="s">
        <v>32</v>
      </c>
      <c r="I2" s="267" t="s">
        <v>33</v>
      </c>
      <c r="J2" s="267" t="s">
        <v>34</v>
      </c>
      <c r="K2" s="267" t="s">
        <v>35</v>
      </c>
      <c r="L2" s="267" t="s">
        <v>13</v>
      </c>
      <c r="M2" s="282" t="s">
        <v>83</v>
      </c>
    </row>
    <row r="3" spans="1:13" ht="21.6" customHeight="1" x14ac:dyDescent="0.15">
      <c r="C3" s="293"/>
      <c r="D3" s="293"/>
      <c r="E3" s="293"/>
      <c r="F3" s="294"/>
      <c r="G3" s="291"/>
      <c r="H3" s="291"/>
      <c r="I3" s="291"/>
      <c r="J3" s="291"/>
      <c r="K3" s="291"/>
      <c r="L3" s="291"/>
      <c r="M3" s="291"/>
    </row>
    <row r="4" spans="1:13" ht="21.6" customHeight="1" x14ac:dyDescent="0.15">
      <c r="C4" s="13" t="s">
        <v>169</v>
      </c>
      <c r="D4" s="13" t="s">
        <v>170</v>
      </c>
      <c r="E4" s="13" t="s">
        <v>171</v>
      </c>
      <c r="F4" s="52" t="s">
        <v>172</v>
      </c>
      <c r="G4" s="50">
        <v>25</v>
      </c>
      <c r="H4" s="62">
        <f>TRUNC(단가조사!G4*옵션!$D$11)</f>
        <v>5134</v>
      </c>
      <c r="I4" s="62"/>
      <c r="J4" s="62"/>
      <c r="K4" s="62"/>
      <c r="L4" s="62">
        <f t="shared" ref="L4:L35" si="0">SUM(H4,I4,J4)</f>
        <v>5134</v>
      </c>
      <c r="M4" s="95"/>
    </row>
    <row r="5" spans="1:13" ht="21.6" customHeight="1" x14ac:dyDescent="0.15">
      <c r="C5" s="13" t="s">
        <v>175</v>
      </c>
      <c r="D5" s="13" t="s">
        <v>176</v>
      </c>
      <c r="E5" s="13" t="s">
        <v>177</v>
      </c>
      <c r="F5" s="52" t="s">
        <v>172</v>
      </c>
      <c r="G5" s="50">
        <v>14</v>
      </c>
      <c r="H5" s="62">
        <f>TRUNC(단가조사!G5*옵션!$D$11)</f>
        <v>170</v>
      </c>
      <c r="I5" s="62"/>
      <c r="J5" s="62"/>
      <c r="K5" s="62"/>
      <c r="L5" s="62">
        <f t="shared" si="0"/>
        <v>170</v>
      </c>
      <c r="M5" s="95"/>
    </row>
    <row r="6" spans="1:13" ht="21.6" customHeight="1" x14ac:dyDescent="0.15">
      <c r="C6" s="13" t="s">
        <v>180</v>
      </c>
      <c r="D6" s="13" t="s">
        <v>181</v>
      </c>
      <c r="E6" s="13" t="s">
        <v>182</v>
      </c>
      <c r="F6" s="52" t="s">
        <v>172</v>
      </c>
      <c r="G6" s="50">
        <v>11</v>
      </c>
      <c r="H6" s="62">
        <f>TRUNC(단가조사!G6*옵션!$D$11)</f>
        <v>522</v>
      </c>
      <c r="I6" s="62"/>
      <c r="J6" s="62"/>
      <c r="K6" s="62"/>
      <c r="L6" s="62">
        <f t="shared" si="0"/>
        <v>522</v>
      </c>
      <c r="M6" s="95"/>
    </row>
    <row r="7" spans="1:13" ht="21.6" customHeight="1" x14ac:dyDescent="0.15">
      <c r="C7" s="13" t="s">
        <v>183</v>
      </c>
      <c r="D7" s="13" t="s">
        <v>184</v>
      </c>
      <c r="E7" s="13" t="s">
        <v>185</v>
      </c>
      <c r="F7" s="52" t="s">
        <v>172</v>
      </c>
      <c r="G7" s="50">
        <v>73</v>
      </c>
      <c r="H7" s="62">
        <f>TRUNC(단가조사!G7*옵션!$D$11)</f>
        <v>1151</v>
      </c>
      <c r="I7" s="62"/>
      <c r="J7" s="62"/>
      <c r="K7" s="62"/>
      <c r="L7" s="62">
        <f t="shared" si="0"/>
        <v>1151</v>
      </c>
      <c r="M7" s="95"/>
    </row>
    <row r="8" spans="1:13" ht="21.6" customHeight="1" x14ac:dyDescent="0.15">
      <c r="C8" s="13" t="s">
        <v>186</v>
      </c>
      <c r="D8" s="13" t="s">
        <v>184</v>
      </c>
      <c r="E8" s="13" t="s">
        <v>187</v>
      </c>
      <c r="F8" s="52" t="s">
        <v>172</v>
      </c>
      <c r="G8" s="50">
        <v>19</v>
      </c>
      <c r="H8" s="62">
        <f>TRUNC(단가조사!G8*옵션!$D$11)</f>
        <v>1914</v>
      </c>
      <c r="I8" s="62"/>
      <c r="J8" s="62"/>
      <c r="K8" s="62"/>
      <c r="L8" s="62">
        <f t="shared" si="0"/>
        <v>1914</v>
      </c>
      <c r="M8" s="95"/>
    </row>
    <row r="9" spans="1:13" ht="21.6" customHeight="1" x14ac:dyDescent="0.15">
      <c r="C9" s="13" t="s">
        <v>188</v>
      </c>
      <c r="D9" s="13" t="s">
        <v>184</v>
      </c>
      <c r="E9" s="13" t="s">
        <v>189</v>
      </c>
      <c r="F9" s="52" t="s">
        <v>190</v>
      </c>
      <c r="G9" s="50">
        <v>26</v>
      </c>
      <c r="H9" s="62">
        <f>TRUNC(단가조사!G9*옵션!$D$11)</f>
        <v>407</v>
      </c>
      <c r="I9" s="62"/>
      <c r="J9" s="62"/>
      <c r="K9" s="62"/>
      <c r="L9" s="62">
        <f t="shared" si="0"/>
        <v>407</v>
      </c>
      <c r="M9" s="95"/>
    </row>
    <row r="10" spans="1:13" ht="21.6" customHeight="1" x14ac:dyDescent="0.15">
      <c r="C10" s="13" t="s">
        <v>192</v>
      </c>
      <c r="D10" s="13" t="s">
        <v>193</v>
      </c>
      <c r="E10" s="13" t="s">
        <v>194</v>
      </c>
      <c r="F10" s="52" t="s">
        <v>190</v>
      </c>
      <c r="G10" s="50">
        <v>5</v>
      </c>
      <c r="H10" s="62">
        <f>TRUNC(단가조사!G10*옵션!$D$11)</f>
        <v>3739</v>
      </c>
      <c r="I10" s="62"/>
      <c r="J10" s="62"/>
      <c r="K10" s="62"/>
      <c r="L10" s="62">
        <f t="shared" si="0"/>
        <v>3739</v>
      </c>
      <c r="M10" s="95"/>
    </row>
    <row r="11" spans="1:13" ht="21.6" customHeight="1" x14ac:dyDescent="0.15">
      <c r="C11" s="13" t="s">
        <v>195</v>
      </c>
      <c r="D11" s="13" t="s">
        <v>196</v>
      </c>
      <c r="E11" s="13" t="s">
        <v>197</v>
      </c>
      <c r="F11" s="52" t="s">
        <v>190</v>
      </c>
      <c r="G11" s="50">
        <v>12</v>
      </c>
      <c r="H11" s="62">
        <f>TRUNC(단가조사!G11*옵션!$D$11)</f>
        <v>638</v>
      </c>
      <c r="I11" s="62"/>
      <c r="J11" s="62"/>
      <c r="K11" s="62"/>
      <c r="L11" s="62">
        <f t="shared" si="0"/>
        <v>638</v>
      </c>
      <c r="M11" s="95"/>
    </row>
    <row r="12" spans="1:13" ht="21.6" customHeight="1" x14ac:dyDescent="0.15">
      <c r="C12" s="13" t="s">
        <v>200</v>
      </c>
      <c r="D12" s="13" t="s">
        <v>196</v>
      </c>
      <c r="E12" s="13" t="s">
        <v>201</v>
      </c>
      <c r="F12" s="52" t="s">
        <v>190</v>
      </c>
      <c r="G12" s="50">
        <v>8</v>
      </c>
      <c r="H12" s="62">
        <f>TRUNC(단가조사!G12*옵션!$D$11)</f>
        <v>973</v>
      </c>
      <c r="I12" s="62"/>
      <c r="J12" s="62"/>
      <c r="K12" s="62"/>
      <c r="L12" s="62">
        <f t="shared" si="0"/>
        <v>973</v>
      </c>
      <c r="M12" s="95"/>
    </row>
    <row r="13" spans="1:13" ht="21.6" customHeight="1" x14ac:dyDescent="0.15">
      <c r="C13" s="13" t="s">
        <v>202</v>
      </c>
      <c r="D13" s="13" t="s">
        <v>203</v>
      </c>
      <c r="E13" s="13" t="s">
        <v>204</v>
      </c>
      <c r="F13" s="52" t="s">
        <v>190</v>
      </c>
      <c r="G13" s="50">
        <v>12</v>
      </c>
      <c r="H13" s="62">
        <f>TRUNC(단가조사!G13*옵션!$D$11)</f>
        <v>343</v>
      </c>
      <c r="I13" s="62"/>
      <c r="J13" s="62"/>
      <c r="K13" s="62"/>
      <c r="L13" s="62">
        <f t="shared" si="0"/>
        <v>343</v>
      </c>
      <c r="M13" s="95"/>
    </row>
    <row r="14" spans="1:13" ht="21.6" customHeight="1" x14ac:dyDescent="0.15">
      <c r="C14" s="13" t="s">
        <v>205</v>
      </c>
      <c r="D14" s="13" t="s">
        <v>203</v>
      </c>
      <c r="E14" s="13" t="s">
        <v>206</v>
      </c>
      <c r="F14" s="52" t="s">
        <v>190</v>
      </c>
      <c r="G14" s="50">
        <v>8</v>
      </c>
      <c r="H14" s="62">
        <f>TRUNC(단가조사!G14*옵션!$D$11)</f>
        <v>343</v>
      </c>
      <c r="I14" s="62"/>
      <c r="J14" s="62"/>
      <c r="K14" s="62"/>
      <c r="L14" s="62">
        <f t="shared" si="0"/>
        <v>343</v>
      </c>
      <c r="M14" s="95"/>
    </row>
    <row r="15" spans="1:13" ht="21.6" customHeight="1" x14ac:dyDescent="0.15">
      <c r="C15" s="13" t="s">
        <v>207</v>
      </c>
      <c r="D15" s="13" t="s">
        <v>208</v>
      </c>
      <c r="E15" s="13" t="s">
        <v>209</v>
      </c>
      <c r="F15" s="52" t="s">
        <v>190</v>
      </c>
      <c r="G15" s="50">
        <v>5</v>
      </c>
      <c r="H15" s="62">
        <f>TRUNC(단가조사!G15*옵션!$D$11)</f>
        <v>2577</v>
      </c>
      <c r="I15" s="62"/>
      <c r="J15" s="62"/>
      <c r="K15" s="62"/>
      <c r="L15" s="62">
        <f t="shared" si="0"/>
        <v>2577</v>
      </c>
      <c r="M15" s="95"/>
    </row>
    <row r="16" spans="1:13" ht="21.6" customHeight="1" x14ac:dyDescent="0.15">
      <c r="C16" s="13" t="s">
        <v>212</v>
      </c>
      <c r="D16" s="13" t="s">
        <v>213</v>
      </c>
      <c r="E16" s="13" t="s">
        <v>214</v>
      </c>
      <c r="F16" s="52" t="s">
        <v>190</v>
      </c>
      <c r="G16" s="50">
        <v>3</v>
      </c>
      <c r="H16" s="62">
        <f>TRUNC(단가조사!G16*옵션!$D$11)</f>
        <v>2856</v>
      </c>
      <c r="I16" s="62"/>
      <c r="J16" s="62"/>
      <c r="K16" s="62"/>
      <c r="L16" s="62">
        <f t="shared" si="0"/>
        <v>2856</v>
      </c>
      <c r="M16" s="95"/>
    </row>
    <row r="17" spans="3:13" ht="21.6" customHeight="1" x14ac:dyDescent="0.15">
      <c r="C17" s="13" t="s">
        <v>215</v>
      </c>
      <c r="D17" s="13" t="s">
        <v>216</v>
      </c>
      <c r="E17" s="13" t="s">
        <v>217</v>
      </c>
      <c r="F17" s="52" t="s">
        <v>190</v>
      </c>
      <c r="G17" s="50">
        <v>24</v>
      </c>
      <c r="H17" s="62">
        <f>TRUNC(단가조사!G17*옵션!$D$11)</f>
        <v>373</v>
      </c>
      <c r="I17" s="62"/>
      <c r="J17" s="62"/>
      <c r="K17" s="62"/>
      <c r="L17" s="62">
        <f t="shared" si="0"/>
        <v>373</v>
      </c>
      <c r="M17" s="95"/>
    </row>
    <row r="18" spans="3:13" ht="21.6" customHeight="1" x14ac:dyDescent="0.15">
      <c r="C18" s="13" t="s">
        <v>218</v>
      </c>
      <c r="D18" s="13" t="s">
        <v>216</v>
      </c>
      <c r="E18" s="13" t="s">
        <v>219</v>
      </c>
      <c r="F18" s="52" t="s">
        <v>190</v>
      </c>
      <c r="G18" s="50">
        <v>24</v>
      </c>
      <c r="H18" s="62">
        <f>TRUNC(단가조사!G18*옵션!$D$11)</f>
        <v>750</v>
      </c>
      <c r="I18" s="62"/>
      <c r="J18" s="62"/>
      <c r="K18" s="62"/>
      <c r="L18" s="62">
        <f t="shared" si="0"/>
        <v>750</v>
      </c>
      <c r="M18" s="95"/>
    </row>
    <row r="19" spans="3:13" ht="21.6" customHeight="1" x14ac:dyDescent="0.15">
      <c r="C19" s="13" t="s">
        <v>220</v>
      </c>
      <c r="D19" s="13" t="s">
        <v>216</v>
      </c>
      <c r="E19" s="13" t="s">
        <v>221</v>
      </c>
      <c r="F19" s="52" t="s">
        <v>172</v>
      </c>
      <c r="G19" s="50">
        <v>3</v>
      </c>
      <c r="H19" s="62">
        <f>TRUNC(단가조사!G19*옵션!$D$11)</f>
        <v>6176</v>
      </c>
      <c r="I19" s="62"/>
      <c r="J19" s="62"/>
      <c r="K19" s="62"/>
      <c r="L19" s="62">
        <f t="shared" si="0"/>
        <v>6176</v>
      </c>
      <c r="M19" s="95"/>
    </row>
    <row r="20" spans="3:13" ht="21.6" customHeight="1" x14ac:dyDescent="0.15">
      <c r="C20" s="13" t="s">
        <v>222</v>
      </c>
      <c r="D20" s="13" t="s">
        <v>223</v>
      </c>
      <c r="E20" s="13" t="s">
        <v>224</v>
      </c>
      <c r="F20" s="52" t="s">
        <v>172</v>
      </c>
      <c r="G20" s="50">
        <v>6</v>
      </c>
      <c r="H20" s="62">
        <f>TRUNC(단가조사!G20*옵션!$D$11)</f>
        <v>40000</v>
      </c>
      <c r="I20" s="62"/>
      <c r="J20" s="62"/>
      <c r="K20" s="62"/>
      <c r="L20" s="62">
        <f t="shared" si="0"/>
        <v>40000</v>
      </c>
      <c r="M20" s="95"/>
    </row>
    <row r="21" spans="3:13" ht="21.6" customHeight="1" x14ac:dyDescent="0.15">
      <c r="C21" s="13" t="s">
        <v>226</v>
      </c>
      <c r="D21" s="13" t="s">
        <v>227</v>
      </c>
      <c r="E21" s="13" t="s">
        <v>224</v>
      </c>
      <c r="F21" s="52" t="s">
        <v>172</v>
      </c>
      <c r="G21" s="50">
        <v>6</v>
      </c>
      <c r="H21" s="62">
        <f>TRUNC(단가조사!G21*옵션!$D$11)</f>
        <v>5000</v>
      </c>
      <c r="I21" s="62"/>
      <c r="J21" s="62"/>
      <c r="K21" s="62"/>
      <c r="L21" s="62">
        <f t="shared" si="0"/>
        <v>5000</v>
      </c>
      <c r="M21" s="95"/>
    </row>
    <row r="22" spans="3:13" ht="21.6" customHeight="1" x14ac:dyDescent="0.15">
      <c r="C22" s="13" t="s">
        <v>228</v>
      </c>
      <c r="D22" s="13" t="s">
        <v>229</v>
      </c>
      <c r="E22" s="13" t="s">
        <v>224</v>
      </c>
      <c r="F22" s="52" t="s">
        <v>190</v>
      </c>
      <c r="G22" s="50">
        <v>5</v>
      </c>
      <c r="H22" s="62">
        <f>TRUNC(단가조사!G22*옵션!$D$11)</f>
        <v>5000</v>
      </c>
      <c r="I22" s="62"/>
      <c r="J22" s="62"/>
      <c r="K22" s="62"/>
      <c r="L22" s="62">
        <f t="shared" si="0"/>
        <v>5000</v>
      </c>
      <c r="M22" s="95"/>
    </row>
    <row r="23" spans="3:13" ht="21.6" customHeight="1" x14ac:dyDescent="0.15">
      <c r="C23" s="13" t="s">
        <v>230</v>
      </c>
      <c r="D23" s="13" t="s">
        <v>231</v>
      </c>
      <c r="E23" s="13" t="s">
        <v>232</v>
      </c>
      <c r="F23" s="52" t="s">
        <v>172</v>
      </c>
      <c r="G23" s="50">
        <v>14</v>
      </c>
      <c r="H23" s="62">
        <f>TRUNC(단가조사!G23*옵션!$D$11)</f>
        <v>3000</v>
      </c>
      <c r="I23" s="62"/>
      <c r="J23" s="62"/>
      <c r="K23" s="62"/>
      <c r="L23" s="62">
        <f t="shared" si="0"/>
        <v>3000</v>
      </c>
      <c r="M23" s="95"/>
    </row>
    <row r="24" spans="3:13" ht="21.6" customHeight="1" x14ac:dyDescent="0.15">
      <c r="C24" s="13" t="s">
        <v>235</v>
      </c>
      <c r="D24" s="13" t="s">
        <v>236</v>
      </c>
      <c r="E24" s="13" t="s">
        <v>237</v>
      </c>
      <c r="F24" s="52" t="s">
        <v>238</v>
      </c>
      <c r="G24" s="50">
        <v>60</v>
      </c>
      <c r="H24" s="62">
        <f>TRUNC(단가조사!G24*옵션!$D$11)</f>
        <v>90</v>
      </c>
      <c r="I24" s="62"/>
      <c r="J24" s="62"/>
      <c r="K24" s="62"/>
      <c r="L24" s="62">
        <f t="shared" si="0"/>
        <v>90</v>
      </c>
      <c r="M24" s="95"/>
    </row>
    <row r="25" spans="3:13" ht="21.6" customHeight="1" x14ac:dyDescent="0.15">
      <c r="C25" s="13" t="s">
        <v>239</v>
      </c>
      <c r="D25" s="13" t="s">
        <v>236</v>
      </c>
      <c r="E25" s="13" t="s">
        <v>240</v>
      </c>
      <c r="F25" s="52" t="s">
        <v>238</v>
      </c>
      <c r="G25" s="50">
        <v>20</v>
      </c>
      <c r="H25" s="62">
        <f>TRUNC(단가조사!G25*옵션!$D$11)</f>
        <v>90</v>
      </c>
      <c r="I25" s="62"/>
      <c r="J25" s="62"/>
      <c r="K25" s="62"/>
      <c r="L25" s="62">
        <f t="shared" si="0"/>
        <v>90</v>
      </c>
      <c r="M25" s="95"/>
    </row>
    <row r="26" spans="3:13" ht="21.6" customHeight="1" x14ac:dyDescent="0.15">
      <c r="C26" s="13" t="s">
        <v>241</v>
      </c>
      <c r="D26" s="13" t="s">
        <v>242</v>
      </c>
      <c r="E26" s="13" t="s">
        <v>243</v>
      </c>
      <c r="F26" s="52" t="s">
        <v>190</v>
      </c>
      <c r="G26" s="50">
        <v>24</v>
      </c>
      <c r="H26" s="62">
        <f>TRUNC(단가조사!G26*옵션!$D$11)</f>
        <v>200</v>
      </c>
      <c r="I26" s="62"/>
      <c r="J26" s="62"/>
      <c r="K26" s="62"/>
      <c r="L26" s="62">
        <f t="shared" si="0"/>
        <v>200</v>
      </c>
      <c r="M26" s="95"/>
    </row>
    <row r="27" spans="3:13" ht="21.6" customHeight="1" x14ac:dyDescent="0.15">
      <c r="C27" s="13" t="s">
        <v>245</v>
      </c>
      <c r="D27" s="13" t="s">
        <v>246</v>
      </c>
      <c r="E27" s="13" t="s">
        <v>247</v>
      </c>
      <c r="F27" s="52" t="s">
        <v>172</v>
      </c>
      <c r="G27" s="50">
        <v>239</v>
      </c>
      <c r="H27" s="62">
        <f>TRUNC(단가조사!G27*옵션!$D$11)</f>
        <v>544</v>
      </c>
      <c r="I27" s="62"/>
      <c r="J27" s="62"/>
      <c r="K27" s="62"/>
      <c r="L27" s="62">
        <f t="shared" si="0"/>
        <v>544</v>
      </c>
      <c r="M27" s="95"/>
    </row>
    <row r="28" spans="3:13" ht="21.6" customHeight="1" x14ac:dyDescent="0.15">
      <c r="C28" s="13" t="s">
        <v>250</v>
      </c>
      <c r="D28" s="13" t="s">
        <v>246</v>
      </c>
      <c r="E28" s="13" t="s">
        <v>251</v>
      </c>
      <c r="F28" s="52" t="s">
        <v>172</v>
      </c>
      <c r="G28" s="50">
        <v>183</v>
      </c>
      <c r="H28" s="62">
        <f>TRUNC(단가조사!G28*옵션!$D$11)</f>
        <v>826</v>
      </c>
      <c r="I28" s="62"/>
      <c r="J28" s="62"/>
      <c r="K28" s="62"/>
      <c r="L28" s="62">
        <f t="shared" si="0"/>
        <v>826</v>
      </c>
      <c r="M28" s="95"/>
    </row>
    <row r="29" spans="3:13" ht="21.6" customHeight="1" x14ac:dyDescent="0.15">
      <c r="C29" s="13" t="s">
        <v>252</v>
      </c>
      <c r="D29" s="13" t="s">
        <v>253</v>
      </c>
      <c r="E29" s="13" t="s">
        <v>254</v>
      </c>
      <c r="F29" s="52" t="s">
        <v>172</v>
      </c>
      <c r="G29" s="50">
        <v>28</v>
      </c>
      <c r="H29" s="62">
        <f>TRUNC(단가조사!G29*옵션!$D$11)</f>
        <v>2090</v>
      </c>
      <c r="I29" s="62"/>
      <c r="J29" s="62"/>
      <c r="K29" s="62"/>
      <c r="L29" s="62">
        <f t="shared" si="0"/>
        <v>2090</v>
      </c>
      <c r="M29" s="95"/>
    </row>
    <row r="30" spans="3:13" ht="21.6" customHeight="1" x14ac:dyDescent="0.15">
      <c r="C30" s="13" t="s">
        <v>256</v>
      </c>
      <c r="D30" s="13" t="s">
        <v>253</v>
      </c>
      <c r="E30" s="13" t="s">
        <v>257</v>
      </c>
      <c r="F30" s="52" t="s">
        <v>172</v>
      </c>
      <c r="G30" s="50">
        <v>14</v>
      </c>
      <c r="H30" s="62">
        <f>TRUNC(단가조사!G30*옵션!$D$11)</f>
        <v>3041</v>
      </c>
      <c r="I30" s="62"/>
      <c r="J30" s="62"/>
      <c r="K30" s="62"/>
      <c r="L30" s="62">
        <f t="shared" si="0"/>
        <v>3041</v>
      </c>
      <c r="M30" s="95"/>
    </row>
    <row r="31" spans="3:13" ht="21.6" customHeight="1" x14ac:dyDescent="0.15">
      <c r="C31" s="13" t="s">
        <v>258</v>
      </c>
      <c r="D31" s="13" t="s">
        <v>259</v>
      </c>
      <c r="E31" s="13" t="s">
        <v>260</v>
      </c>
      <c r="F31" s="52" t="s">
        <v>172</v>
      </c>
      <c r="G31" s="50">
        <v>5</v>
      </c>
      <c r="H31" s="62">
        <f>TRUNC(단가조사!G31*옵션!$D$11)</f>
        <v>5764</v>
      </c>
      <c r="I31" s="62"/>
      <c r="J31" s="62"/>
      <c r="K31" s="62"/>
      <c r="L31" s="62">
        <f t="shared" si="0"/>
        <v>5764</v>
      </c>
      <c r="M31" s="95"/>
    </row>
    <row r="32" spans="3:13" ht="21.6" customHeight="1" x14ac:dyDescent="0.15">
      <c r="C32" s="13" t="s">
        <v>262</v>
      </c>
      <c r="D32" s="13" t="s">
        <v>259</v>
      </c>
      <c r="E32" s="13" t="s">
        <v>263</v>
      </c>
      <c r="F32" s="52" t="s">
        <v>172</v>
      </c>
      <c r="G32" s="50">
        <v>5</v>
      </c>
      <c r="H32" s="62">
        <f>TRUNC(단가조사!G32*옵션!$D$11)</f>
        <v>7760</v>
      </c>
      <c r="I32" s="62"/>
      <c r="J32" s="62"/>
      <c r="K32" s="62"/>
      <c r="L32" s="62">
        <f t="shared" si="0"/>
        <v>7760</v>
      </c>
      <c r="M32" s="95"/>
    </row>
    <row r="33" spans="3:13" ht="21.6" customHeight="1" x14ac:dyDescent="0.15">
      <c r="C33" s="13" t="s">
        <v>264</v>
      </c>
      <c r="D33" s="13" t="s">
        <v>259</v>
      </c>
      <c r="E33" s="13" t="s">
        <v>265</v>
      </c>
      <c r="F33" s="52" t="s">
        <v>172</v>
      </c>
      <c r="G33" s="50">
        <v>27</v>
      </c>
      <c r="H33" s="62">
        <f>TRUNC(단가조사!G33*옵션!$D$11)</f>
        <v>5105</v>
      </c>
      <c r="I33" s="62"/>
      <c r="J33" s="62"/>
      <c r="K33" s="62"/>
      <c r="L33" s="62">
        <f t="shared" si="0"/>
        <v>5105</v>
      </c>
      <c r="M33" s="95"/>
    </row>
    <row r="34" spans="3:13" ht="21.6" customHeight="1" x14ac:dyDescent="0.15">
      <c r="C34" s="13" t="s">
        <v>266</v>
      </c>
      <c r="D34" s="13" t="s">
        <v>259</v>
      </c>
      <c r="E34" s="13" t="s">
        <v>267</v>
      </c>
      <c r="F34" s="52" t="s">
        <v>172</v>
      </c>
      <c r="G34" s="50">
        <v>11</v>
      </c>
      <c r="H34" s="62">
        <f>TRUNC(단가조사!G34*옵션!$D$11)</f>
        <v>15126</v>
      </c>
      <c r="I34" s="62"/>
      <c r="J34" s="62"/>
      <c r="K34" s="62"/>
      <c r="L34" s="62">
        <f t="shared" si="0"/>
        <v>15126</v>
      </c>
      <c r="M34" s="95"/>
    </row>
    <row r="35" spans="3:13" ht="21.6" customHeight="1" x14ac:dyDescent="0.15">
      <c r="C35" s="13" t="s">
        <v>268</v>
      </c>
      <c r="D35" s="13" t="s">
        <v>269</v>
      </c>
      <c r="E35" s="13" t="s">
        <v>270</v>
      </c>
      <c r="F35" s="52" t="s">
        <v>172</v>
      </c>
      <c r="G35" s="50">
        <v>4</v>
      </c>
      <c r="H35" s="62">
        <f>TRUNC(단가조사!G35*옵션!$D$11)</f>
        <v>1851</v>
      </c>
      <c r="I35" s="62"/>
      <c r="J35" s="62"/>
      <c r="K35" s="62"/>
      <c r="L35" s="62">
        <f t="shared" si="0"/>
        <v>1851</v>
      </c>
      <c r="M35" s="95"/>
    </row>
    <row r="36" spans="3:13" ht="21.6" customHeight="1" x14ac:dyDescent="0.15">
      <c r="C36" s="13" t="s">
        <v>272</v>
      </c>
      <c r="D36" s="13" t="s">
        <v>269</v>
      </c>
      <c r="E36" s="13" t="s">
        <v>273</v>
      </c>
      <c r="F36" s="52" t="s">
        <v>172</v>
      </c>
      <c r="G36" s="50">
        <v>5</v>
      </c>
      <c r="H36" s="62">
        <f>TRUNC(단가조사!G36*옵션!$D$11)</f>
        <v>4428</v>
      </c>
      <c r="I36" s="62"/>
      <c r="J36" s="62"/>
      <c r="K36" s="62"/>
      <c r="L36" s="62">
        <f t="shared" ref="L36:L67" si="1">SUM(H36,I36,J36)</f>
        <v>4428</v>
      </c>
      <c r="M36" s="95"/>
    </row>
    <row r="37" spans="3:13" ht="21.6" customHeight="1" x14ac:dyDescent="0.15">
      <c r="C37" s="13" t="s">
        <v>274</v>
      </c>
      <c r="D37" s="13" t="s">
        <v>275</v>
      </c>
      <c r="E37" s="13" t="s">
        <v>276</v>
      </c>
      <c r="F37" s="52" t="s">
        <v>190</v>
      </c>
      <c r="G37" s="50">
        <v>2</v>
      </c>
      <c r="H37" s="62">
        <f>TRUNC(단가조사!G37*옵션!$D$11)</f>
        <v>1887</v>
      </c>
      <c r="I37" s="62"/>
      <c r="J37" s="62"/>
      <c r="K37" s="62"/>
      <c r="L37" s="62">
        <f t="shared" si="1"/>
        <v>1887</v>
      </c>
      <c r="M37" s="95"/>
    </row>
    <row r="38" spans="3:13" ht="21.6" customHeight="1" x14ac:dyDescent="0.15">
      <c r="C38" s="13" t="s">
        <v>279</v>
      </c>
      <c r="D38" s="13" t="s">
        <v>275</v>
      </c>
      <c r="E38" s="13" t="s">
        <v>280</v>
      </c>
      <c r="F38" s="52" t="s">
        <v>190</v>
      </c>
      <c r="G38" s="50">
        <v>1</v>
      </c>
      <c r="H38" s="62">
        <f>TRUNC(단가조사!G38*옵션!$D$11)</f>
        <v>2440</v>
      </c>
      <c r="I38" s="62"/>
      <c r="J38" s="62"/>
      <c r="K38" s="62"/>
      <c r="L38" s="62">
        <f t="shared" si="1"/>
        <v>2440</v>
      </c>
      <c r="M38" s="95"/>
    </row>
    <row r="39" spans="3:13" ht="21.6" customHeight="1" x14ac:dyDescent="0.15">
      <c r="C39" s="13" t="s">
        <v>281</v>
      </c>
      <c r="D39" s="13" t="s">
        <v>282</v>
      </c>
      <c r="E39" s="13" t="s">
        <v>283</v>
      </c>
      <c r="F39" s="52" t="s">
        <v>190</v>
      </c>
      <c r="G39" s="50">
        <v>4</v>
      </c>
      <c r="H39" s="62">
        <f>TRUNC(단가조사!G39*옵션!$D$11)</f>
        <v>1320</v>
      </c>
      <c r="I39" s="62"/>
      <c r="J39" s="62"/>
      <c r="K39" s="62"/>
      <c r="L39" s="62">
        <f t="shared" si="1"/>
        <v>1320</v>
      </c>
      <c r="M39" s="95"/>
    </row>
    <row r="40" spans="3:13" ht="21.6" customHeight="1" x14ac:dyDescent="0.15">
      <c r="C40" s="13" t="s">
        <v>284</v>
      </c>
      <c r="D40" s="13" t="s">
        <v>285</v>
      </c>
      <c r="E40" s="13" t="s">
        <v>286</v>
      </c>
      <c r="F40" s="52" t="s">
        <v>190</v>
      </c>
      <c r="G40" s="50">
        <v>4</v>
      </c>
      <c r="H40" s="62">
        <f>TRUNC(단가조사!G40*옵션!$D$11)</f>
        <v>2075</v>
      </c>
      <c r="I40" s="62"/>
      <c r="J40" s="62"/>
      <c r="K40" s="62"/>
      <c r="L40" s="62">
        <f t="shared" si="1"/>
        <v>2075</v>
      </c>
      <c r="M40" s="95"/>
    </row>
    <row r="41" spans="3:13" ht="21.6" customHeight="1" x14ac:dyDescent="0.15">
      <c r="C41" s="13" t="s">
        <v>288</v>
      </c>
      <c r="D41" s="13" t="s">
        <v>285</v>
      </c>
      <c r="E41" s="13" t="s">
        <v>289</v>
      </c>
      <c r="F41" s="52" t="s">
        <v>190</v>
      </c>
      <c r="G41" s="50">
        <v>1</v>
      </c>
      <c r="H41" s="62">
        <f>TRUNC(단가조사!G41*옵션!$D$11)</f>
        <v>2163</v>
      </c>
      <c r="I41" s="62"/>
      <c r="J41" s="62"/>
      <c r="K41" s="62"/>
      <c r="L41" s="62">
        <f t="shared" si="1"/>
        <v>2163</v>
      </c>
      <c r="M41" s="95"/>
    </row>
    <row r="42" spans="3:13" ht="21.6" customHeight="1" x14ac:dyDescent="0.15">
      <c r="C42" s="13" t="s">
        <v>290</v>
      </c>
      <c r="D42" s="13" t="s">
        <v>291</v>
      </c>
      <c r="E42" s="13" t="s">
        <v>292</v>
      </c>
      <c r="F42" s="52" t="s">
        <v>238</v>
      </c>
      <c r="G42" s="50">
        <v>1</v>
      </c>
      <c r="H42" s="62">
        <f>TRUNC(단가조사!G42*옵션!$D$11)</f>
        <v>80000</v>
      </c>
      <c r="I42" s="62"/>
      <c r="J42" s="62"/>
      <c r="K42" s="62"/>
      <c r="L42" s="62">
        <f t="shared" si="1"/>
        <v>80000</v>
      </c>
      <c r="M42" s="95"/>
    </row>
    <row r="43" spans="3:13" ht="21.6" customHeight="1" x14ac:dyDescent="0.15">
      <c r="C43" s="13" t="s">
        <v>293</v>
      </c>
      <c r="D43" s="13" t="s">
        <v>294</v>
      </c>
      <c r="E43" s="13" t="s">
        <v>295</v>
      </c>
      <c r="F43" s="52" t="s">
        <v>190</v>
      </c>
      <c r="G43" s="50">
        <v>1</v>
      </c>
      <c r="H43" s="62">
        <f>TRUNC(단가조사!G43*옵션!$D$11)</f>
        <v>5000</v>
      </c>
      <c r="I43" s="62"/>
      <c r="J43" s="62"/>
      <c r="K43" s="62"/>
      <c r="L43" s="62">
        <f t="shared" si="1"/>
        <v>5000</v>
      </c>
      <c r="M43" s="95"/>
    </row>
    <row r="44" spans="3:13" ht="21.6" customHeight="1" x14ac:dyDescent="0.15">
      <c r="C44" s="13" t="s">
        <v>296</v>
      </c>
      <c r="D44" s="13" t="s">
        <v>294</v>
      </c>
      <c r="E44" s="13" t="s">
        <v>297</v>
      </c>
      <c r="F44" s="52" t="s">
        <v>190</v>
      </c>
      <c r="G44" s="50">
        <v>1</v>
      </c>
      <c r="H44" s="62">
        <f>TRUNC(단가조사!G44*옵션!$D$11)</f>
        <v>1000</v>
      </c>
      <c r="I44" s="62"/>
      <c r="J44" s="62"/>
      <c r="K44" s="62"/>
      <c r="L44" s="62">
        <f t="shared" si="1"/>
        <v>1000</v>
      </c>
      <c r="M44" s="95"/>
    </row>
    <row r="45" spans="3:13" ht="21.6" customHeight="1" x14ac:dyDescent="0.15">
      <c r="C45" s="13" t="s">
        <v>298</v>
      </c>
      <c r="D45" s="13" t="s">
        <v>299</v>
      </c>
      <c r="E45" s="13" t="s">
        <v>300</v>
      </c>
      <c r="F45" s="52" t="s">
        <v>238</v>
      </c>
      <c r="G45" s="50">
        <v>1</v>
      </c>
      <c r="H45" s="62">
        <f>TRUNC(단가조사!G45*옵션!$D$11)</f>
        <v>43300</v>
      </c>
      <c r="I45" s="62"/>
      <c r="J45" s="62"/>
      <c r="K45" s="62"/>
      <c r="L45" s="62">
        <f t="shared" si="1"/>
        <v>43300</v>
      </c>
      <c r="M45" s="95"/>
    </row>
    <row r="46" spans="3:13" ht="21.6" customHeight="1" x14ac:dyDescent="0.15">
      <c r="C46" s="13" t="s">
        <v>303</v>
      </c>
      <c r="D46" s="13" t="s">
        <v>304</v>
      </c>
      <c r="E46" s="13" t="s">
        <v>305</v>
      </c>
      <c r="F46" s="52" t="s">
        <v>238</v>
      </c>
      <c r="G46" s="50">
        <v>1</v>
      </c>
      <c r="H46" s="62">
        <f>TRUNC(단가조사!G46*옵션!$D$11)</f>
        <v>87800</v>
      </c>
      <c r="I46" s="62"/>
      <c r="J46" s="62"/>
      <c r="K46" s="62"/>
      <c r="L46" s="62">
        <f t="shared" si="1"/>
        <v>87800</v>
      </c>
      <c r="M46" s="95"/>
    </row>
    <row r="47" spans="3:13" ht="21.6" customHeight="1" x14ac:dyDescent="0.15">
      <c r="C47" s="13" t="s">
        <v>306</v>
      </c>
      <c r="D47" s="13" t="s">
        <v>307</v>
      </c>
      <c r="E47" s="13" t="s">
        <v>308</v>
      </c>
      <c r="F47" s="52" t="s">
        <v>238</v>
      </c>
      <c r="G47" s="50">
        <v>37</v>
      </c>
      <c r="H47" s="62">
        <f>TRUNC(단가조사!G47*옵션!$D$11)</f>
        <v>18000</v>
      </c>
      <c r="I47" s="62"/>
      <c r="J47" s="62"/>
      <c r="K47" s="62"/>
      <c r="L47" s="62">
        <f t="shared" si="1"/>
        <v>18000</v>
      </c>
      <c r="M47" s="95"/>
    </row>
    <row r="48" spans="3:13" ht="21.6" customHeight="1" x14ac:dyDescent="0.15">
      <c r="C48" s="13" t="s">
        <v>311</v>
      </c>
      <c r="D48" s="13" t="s">
        <v>312</v>
      </c>
      <c r="E48" s="13" t="s">
        <v>313</v>
      </c>
      <c r="F48" s="52" t="s">
        <v>190</v>
      </c>
      <c r="G48" s="50">
        <v>9</v>
      </c>
      <c r="H48" s="62">
        <f>TRUNC(단가조사!G48*옵션!$D$11)</f>
        <v>101</v>
      </c>
      <c r="I48" s="62"/>
      <c r="J48" s="62"/>
      <c r="K48" s="62"/>
      <c r="L48" s="62">
        <f t="shared" si="1"/>
        <v>101</v>
      </c>
      <c r="M48" s="95"/>
    </row>
    <row r="49" spans="3:13" ht="21.6" customHeight="1" x14ac:dyDescent="0.15">
      <c r="C49" s="13" t="s">
        <v>316</v>
      </c>
      <c r="D49" s="13" t="s">
        <v>312</v>
      </c>
      <c r="E49" s="13" t="s">
        <v>317</v>
      </c>
      <c r="F49" s="52" t="s">
        <v>190</v>
      </c>
      <c r="G49" s="50">
        <v>17</v>
      </c>
      <c r="H49" s="62">
        <f>TRUNC(단가조사!G49*옵션!$D$11)</f>
        <v>128</v>
      </c>
      <c r="I49" s="62"/>
      <c r="J49" s="62"/>
      <c r="K49" s="62"/>
      <c r="L49" s="62">
        <f t="shared" si="1"/>
        <v>128</v>
      </c>
      <c r="M49" s="95"/>
    </row>
    <row r="50" spans="3:13" ht="21.6" customHeight="1" x14ac:dyDescent="0.15">
      <c r="C50" s="13" t="s">
        <v>318</v>
      </c>
      <c r="D50" s="13" t="s">
        <v>312</v>
      </c>
      <c r="E50" s="13" t="s">
        <v>319</v>
      </c>
      <c r="F50" s="52" t="s">
        <v>190</v>
      </c>
      <c r="G50" s="50">
        <v>34</v>
      </c>
      <c r="H50" s="62">
        <f>TRUNC(단가조사!G50*옵션!$D$11)</f>
        <v>191</v>
      </c>
      <c r="I50" s="62"/>
      <c r="J50" s="62"/>
      <c r="K50" s="62"/>
      <c r="L50" s="62">
        <f t="shared" si="1"/>
        <v>191</v>
      </c>
      <c r="M50" s="95"/>
    </row>
    <row r="51" spans="3:13" ht="21.6" customHeight="1" x14ac:dyDescent="0.15">
      <c r="C51" s="13" t="s">
        <v>320</v>
      </c>
      <c r="D51" s="13" t="s">
        <v>312</v>
      </c>
      <c r="E51" s="13" t="s">
        <v>321</v>
      </c>
      <c r="F51" s="52" t="s">
        <v>190</v>
      </c>
      <c r="G51" s="50">
        <v>4</v>
      </c>
      <c r="H51" s="62">
        <f>TRUNC(단가조사!G51*옵션!$D$11)</f>
        <v>247</v>
      </c>
      <c r="I51" s="62"/>
      <c r="J51" s="62"/>
      <c r="K51" s="62"/>
      <c r="L51" s="62">
        <f t="shared" si="1"/>
        <v>247</v>
      </c>
      <c r="M51" s="95"/>
    </row>
    <row r="52" spans="3:13" ht="21.6" customHeight="1" x14ac:dyDescent="0.15">
      <c r="C52" s="13" t="s">
        <v>322</v>
      </c>
      <c r="D52" s="13" t="s">
        <v>323</v>
      </c>
      <c r="E52" s="13" t="s">
        <v>324</v>
      </c>
      <c r="F52" s="52" t="s">
        <v>190</v>
      </c>
      <c r="G52" s="50">
        <v>2</v>
      </c>
      <c r="H52" s="62">
        <f>TRUNC(단가조사!G52*옵션!$D$11)</f>
        <v>376</v>
      </c>
      <c r="I52" s="62"/>
      <c r="J52" s="62"/>
      <c r="K52" s="62"/>
      <c r="L52" s="62">
        <f t="shared" si="1"/>
        <v>376</v>
      </c>
      <c r="M52" s="95"/>
    </row>
    <row r="53" spans="3:13" ht="21.6" customHeight="1" x14ac:dyDescent="0.15">
      <c r="C53" s="13" t="s">
        <v>326</v>
      </c>
      <c r="D53" s="13" t="s">
        <v>323</v>
      </c>
      <c r="E53" s="13" t="s">
        <v>327</v>
      </c>
      <c r="F53" s="52" t="s">
        <v>190</v>
      </c>
      <c r="G53" s="50">
        <v>4</v>
      </c>
      <c r="H53" s="62">
        <f>TRUNC(단가조사!G53*옵션!$D$11)</f>
        <v>602</v>
      </c>
      <c r="I53" s="62"/>
      <c r="J53" s="62"/>
      <c r="K53" s="62"/>
      <c r="L53" s="62">
        <f t="shared" si="1"/>
        <v>602</v>
      </c>
      <c r="M53" s="95"/>
    </row>
    <row r="54" spans="3:13" ht="21.6" customHeight="1" x14ac:dyDescent="0.15">
      <c r="C54" s="13" t="s">
        <v>328</v>
      </c>
      <c r="D54" s="13" t="s">
        <v>323</v>
      </c>
      <c r="E54" s="13" t="s">
        <v>329</v>
      </c>
      <c r="F54" s="52" t="s">
        <v>190</v>
      </c>
      <c r="G54" s="50">
        <v>4</v>
      </c>
      <c r="H54" s="62">
        <f>TRUNC(단가조사!G54*옵션!$D$11)</f>
        <v>805</v>
      </c>
      <c r="I54" s="62"/>
      <c r="J54" s="62"/>
      <c r="K54" s="62"/>
      <c r="L54" s="62">
        <f t="shared" si="1"/>
        <v>805</v>
      </c>
      <c r="M54" s="95"/>
    </row>
    <row r="55" spans="3:13" ht="21.6" customHeight="1" x14ac:dyDescent="0.15">
      <c r="C55" s="13" t="s">
        <v>330</v>
      </c>
      <c r="D55" s="13" t="s">
        <v>331</v>
      </c>
      <c r="E55" s="13" t="s">
        <v>332</v>
      </c>
      <c r="F55" s="52" t="s">
        <v>190</v>
      </c>
      <c r="G55" s="50">
        <v>39</v>
      </c>
      <c r="H55" s="62">
        <f>TRUNC(단가조사!G55*옵션!$D$11)</f>
        <v>232</v>
      </c>
      <c r="I55" s="62"/>
      <c r="J55" s="62"/>
      <c r="K55" s="62"/>
      <c r="L55" s="62">
        <f t="shared" si="1"/>
        <v>232</v>
      </c>
      <c r="M55" s="95"/>
    </row>
    <row r="56" spans="3:13" ht="21.6" customHeight="1" x14ac:dyDescent="0.15">
      <c r="C56" s="13" t="s">
        <v>334</v>
      </c>
      <c r="D56" s="13" t="s">
        <v>335</v>
      </c>
      <c r="E56" s="13" t="s">
        <v>336</v>
      </c>
      <c r="F56" s="52" t="s">
        <v>190</v>
      </c>
      <c r="G56" s="50">
        <v>48</v>
      </c>
      <c r="H56" s="62">
        <f>TRUNC(단가조사!G56*옵션!$D$11)</f>
        <v>28</v>
      </c>
      <c r="I56" s="62"/>
      <c r="J56" s="62"/>
      <c r="K56" s="62"/>
      <c r="L56" s="62">
        <f t="shared" si="1"/>
        <v>28</v>
      </c>
      <c r="M56" s="95"/>
    </row>
    <row r="57" spans="3:13" ht="21.6" customHeight="1" x14ac:dyDescent="0.15">
      <c r="C57" s="13" t="s">
        <v>338</v>
      </c>
      <c r="D57" s="13" t="s">
        <v>339</v>
      </c>
      <c r="E57" s="13" t="s">
        <v>340</v>
      </c>
      <c r="F57" s="52" t="s">
        <v>238</v>
      </c>
      <c r="G57" s="50">
        <v>48</v>
      </c>
      <c r="H57" s="62">
        <f>TRUNC(단가조사!G57*옵션!$D$11)</f>
        <v>9</v>
      </c>
      <c r="I57" s="62"/>
      <c r="J57" s="62"/>
      <c r="K57" s="62"/>
      <c r="L57" s="62">
        <f t="shared" si="1"/>
        <v>9</v>
      </c>
      <c r="M57" s="95"/>
    </row>
    <row r="58" spans="3:13" ht="21.6" customHeight="1" x14ac:dyDescent="0.15">
      <c r="C58" s="13" t="s">
        <v>342</v>
      </c>
      <c r="D58" s="13" t="s">
        <v>343</v>
      </c>
      <c r="E58" s="13" t="s">
        <v>344</v>
      </c>
      <c r="F58" s="52" t="s">
        <v>345</v>
      </c>
      <c r="G58" s="50">
        <v>1</v>
      </c>
      <c r="H58" s="62">
        <f>TRUNC(단가조사!G58*옵션!$D$11)</f>
        <v>4132876</v>
      </c>
      <c r="I58" s="62"/>
      <c r="J58" s="62"/>
      <c r="K58" s="62"/>
      <c r="L58" s="62">
        <f t="shared" si="1"/>
        <v>4132876</v>
      </c>
      <c r="M58" s="95"/>
    </row>
    <row r="59" spans="3:13" ht="21.6" customHeight="1" x14ac:dyDescent="0.15">
      <c r="C59" s="13" t="s">
        <v>347</v>
      </c>
      <c r="D59" s="13" t="s">
        <v>348</v>
      </c>
      <c r="E59" s="13" t="s">
        <v>349</v>
      </c>
      <c r="F59" s="52" t="s">
        <v>238</v>
      </c>
      <c r="G59" s="50">
        <v>4</v>
      </c>
      <c r="H59" s="62">
        <f>TRUNC(단가조사!G59*옵션!$D$11)</f>
        <v>0</v>
      </c>
      <c r="I59" s="62"/>
      <c r="J59" s="62"/>
      <c r="K59" s="62"/>
      <c r="L59" s="62">
        <f t="shared" si="1"/>
        <v>0</v>
      </c>
      <c r="M59" s="95"/>
    </row>
    <row r="60" spans="3:13" ht="21.6" customHeight="1" x14ac:dyDescent="0.15">
      <c r="C60" s="13" t="s">
        <v>350</v>
      </c>
      <c r="D60" s="13" t="s">
        <v>351</v>
      </c>
      <c r="E60" s="13" t="s">
        <v>352</v>
      </c>
      <c r="F60" s="52" t="s">
        <v>238</v>
      </c>
      <c r="G60" s="50">
        <v>2</v>
      </c>
      <c r="H60" s="62">
        <f>TRUNC(단가조사!G60*옵션!$D$11)</f>
        <v>400</v>
      </c>
      <c r="I60" s="62"/>
      <c r="J60" s="62"/>
      <c r="K60" s="62"/>
      <c r="L60" s="62">
        <f t="shared" si="1"/>
        <v>400</v>
      </c>
      <c r="M60" s="95"/>
    </row>
    <row r="61" spans="3:13" ht="21.6" customHeight="1" x14ac:dyDescent="0.15">
      <c r="C61" s="13" t="s">
        <v>354</v>
      </c>
      <c r="D61" s="13" t="s">
        <v>355</v>
      </c>
      <c r="E61" s="13" t="s">
        <v>356</v>
      </c>
      <c r="F61" s="52" t="s">
        <v>172</v>
      </c>
      <c r="G61" s="50">
        <v>26</v>
      </c>
      <c r="H61" s="62">
        <f>TRUNC(단가조사!G61*옵션!$D$11)</f>
        <v>0</v>
      </c>
      <c r="I61" s="62"/>
      <c r="J61" s="62"/>
      <c r="K61" s="62"/>
      <c r="L61" s="62">
        <f t="shared" si="1"/>
        <v>0</v>
      </c>
      <c r="M61" s="95"/>
    </row>
    <row r="62" spans="3:13" ht="21.6" customHeight="1" x14ac:dyDescent="0.15">
      <c r="C62" s="13" t="s">
        <v>357</v>
      </c>
      <c r="D62" s="13" t="s">
        <v>358</v>
      </c>
      <c r="E62" s="13" t="s">
        <v>359</v>
      </c>
      <c r="F62" s="52" t="s">
        <v>345</v>
      </c>
      <c r="G62" s="50">
        <v>1</v>
      </c>
      <c r="H62" s="62">
        <f>TRUNC(단가조사!G62*옵션!$D$11)</f>
        <v>1697532</v>
      </c>
      <c r="I62" s="62"/>
      <c r="J62" s="62"/>
      <c r="K62" s="62"/>
      <c r="L62" s="62">
        <f t="shared" si="1"/>
        <v>1697532</v>
      </c>
      <c r="M62" s="95"/>
    </row>
    <row r="63" spans="3:13" ht="21.6" customHeight="1" x14ac:dyDescent="0.15">
      <c r="C63" s="13" t="s">
        <v>360</v>
      </c>
      <c r="D63" s="13" t="s">
        <v>361</v>
      </c>
      <c r="E63" s="13" t="s">
        <v>362</v>
      </c>
      <c r="F63" s="52" t="s">
        <v>345</v>
      </c>
      <c r="G63" s="50">
        <v>1</v>
      </c>
      <c r="H63" s="62">
        <f>TRUNC(단가조사!G63*옵션!$D$11)</f>
        <v>1227418</v>
      </c>
      <c r="I63" s="62"/>
      <c r="J63" s="62"/>
      <c r="K63" s="62"/>
      <c r="L63" s="62">
        <f t="shared" si="1"/>
        <v>1227418</v>
      </c>
      <c r="M63" s="95"/>
    </row>
    <row r="64" spans="3:13" ht="21.6" customHeight="1" x14ac:dyDescent="0.15">
      <c r="C64" s="13" t="s">
        <v>363</v>
      </c>
      <c r="D64" s="13" t="s">
        <v>364</v>
      </c>
      <c r="E64" s="13" t="s">
        <v>365</v>
      </c>
      <c r="F64" s="52" t="s">
        <v>345</v>
      </c>
      <c r="G64" s="50">
        <v>1</v>
      </c>
      <c r="H64" s="62">
        <f>TRUNC(단가조사!G64*옵션!$D$11)</f>
        <v>4000000</v>
      </c>
      <c r="I64" s="62"/>
      <c r="J64" s="62"/>
      <c r="K64" s="62"/>
      <c r="L64" s="62">
        <f t="shared" si="1"/>
        <v>4000000</v>
      </c>
      <c r="M64" s="95"/>
    </row>
    <row r="65" spans="3:13" ht="21.6" customHeight="1" x14ac:dyDescent="0.15">
      <c r="C65" s="13" t="s">
        <v>366</v>
      </c>
      <c r="D65" s="13" t="s">
        <v>367</v>
      </c>
      <c r="E65" s="13" t="s">
        <v>359</v>
      </c>
      <c r="F65" s="52" t="s">
        <v>345</v>
      </c>
      <c r="G65" s="50">
        <v>1</v>
      </c>
      <c r="H65" s="62">
        <f>TRUNC(단가조사!G65*옵션!$D$11)</f>
        <v>1697532</v>
      </c>
      <c r="I65" s="62"/>
      <c r="J65" s="62"/>
      <c r="K65" s="62"/>
      <c r="L65" s="62">
        <f t="shared" si="1"/>
        <v>1697532</v>
      </c>
      <c r="M65" s="95"/>
    </row>
    <row r="66" spans="3:13" ht="21.6" customHeight="1" x14ac:dyDescent="0.15">
      <c r="C66" s="13" t="s">
        <v>368</v>
      </c>
      <c r="D66" s="13" t="s">
        <v>369</v>
      </c>
      <c r="E66" s="13" t="s">
        <v>370</v>
      </c>
      <c r="F66" s="52" t="s">
        <v>345</v>
      </c>
      <c r="G66" s="50">
        <v>1</v>
      </c>
      <c r="H66" s="62">
        <f>TRUNC(단가조사!G66*옵션!$D$11)</f>
        <v>1697532</v>
      </c>
      <c r="I66" s="62"/>
      <c r="J66" s="62"/>
      <c r="K66" s="62"/>
      <c r="L66" s="62">
        <f t="shared" si="1"/>
        <v>1697532</v>
      </c>
      <c r="M66" s="95"/>
    </row>
    <row r="67" spans="3:13" ht="21.6" customHeight="1" x14ac:dyDescent="0.15">
      <c r="C67" s="13" t="s">
        <v>371</v>
      </c>
      <c r="D67" s="13" t="s">
        <v>372</v>
      </c>
      <c r="E67" s="13" t="s">
        <v>370</v>
      </c>
      <c r="F67" s="52" t="s">
        <v>345</v>
      </c>
      <c r="G67" s="50">
        <v>1</v>
      </c>
      <c r="H67" s="62">
        <f>TRUNC(단가조사!G67*옵션!$D$11)</f>
        <v>1697532</v>
      </c>
      <c r="I67" s="62"/>
      <c r="J67" s="62"/>
      <c r="K67" s="62"/>
      <c r="L67" s="62">
        <f t="shared" si="1"/>
        <v>1697532</v>
      </c>
      <c r="M67" s="95"/>
    </row>
    <row r="68" spans="3:13" ht="21.6" customHeight="1" x14ac:dyDescent="0.15">
      <c r="C68" s="13" t="s">
        <v>373</v>
      </c>
      <c r="D68" s="13" t="s">
        <v>374</v>
      </c>
      <c r="E68" s="13" t="s">
        <v>375</v>
      </c>
      <c r="F68" s="52" t="s">
        <v>345</v>
      </c>
      <c r="G68" s="50">
        <v>1</v>
      </c>
      <c r="H68" s="62">
        <f>TRUNC(단가조사!G68*옵션!$D$11)</f>
        <v>1697532</v>
      </c>
      <c r="I68" s="62"/>
      <c r="J68" s="62"/>
      <c r="K68" s="62"/>
      <c r="L68" s="62">
        <f t="shared" ref="L68:L99" si="2">SUM(H68,I68,J68)</f>
        <v>1697532</v>
      </c>
      <c r="M68" s="95"/>
    </row>
    <row r="69" spans="3:13" ht="21.6" customHeight="1" x14ac:dyDescent="0.15">
      <c r="C69" s="13" t="s">
        <v>376</v>
      </c>
      <c r="D69" s="13" t="s">
        <v>377</v>
      </c>
      <c r="E69" s="13" t="s">
        <v>378</v>
      </c>
      <c r="F69" s="52" t="s">
        <v>345</v>
      </c>
      <c r="G69" s="50">
        <v>4</v>
      </c>
      <c r="H69" s="62">
        <f>TRUNC(단가조사!G69*옵션!$D$11)</f>
        <v>10000</v>
      </c>
      <c r="I69" s="62"/>
      <c r="J69" s="62"/>
      <c r="K69" s="62"/>
      <c r="L69" s="62">
        <f t="shared" si="2"/>
        <v>10000</v>
      </c>
      <c r="M69" s="95"/>
    </row>
    <row r="70" spans="3:13" ht="21.6" customHeight="1" x14ac:dyDescent="0.15">
      <c r="C70" s="13" t="s">
        <v>380</v>
      </c>
      <c r="D70" s="13" t="s">
        <v>381</v>
      </c>
      <c r="E70" s="13" t="s">
        <v>343</v>
      </c>
      <c r="F70" s="52" t="s">
        <v>345</v>
      </c>
      <c r="G70" s="50">
        <v>1</v>
      </c>
      <c r="H70" s="62">
        <f>TRUNC(단가조사!G70*옵션!$D$11)</f>
        <v>0</v>
      </c>
      <c r="I70" s="62"/>
      <c r="J70" s="62"/>
      <c r="K70" s="62"/>
      <c r="L70" s="62">
        <f t="shared" si="2"/>
        <v>0</v>
      </c>
      <c r="M70" s="95"/>
    </row>
    <row r="71" spans="3:13" ht="21.6" customHeight="1" x14ac:dyDescent="0.15">
      <c r="C71" s="13" t="s">
        <v>382</v>
      </c>
      <c r="D71" s="13" t="s">
        <v>381</v>
      </c>
      <c r="E71" s="13" t="s">
        <v>383</v>
      </c>
      <c r="F71" s="52" t="s">
        <v>345</v>
      </c>
      <c r="G71" s="50">
        <v>1</v>
      </c>
      <c r="H71" s="62">
        <f>TRUNC(단가조사!G71*옵션!$D$11)</f>
        <v>0</v>
      </c>
      <c r="I71" s="62"/>
      <c r="J71" s="62"/>
      <c r="K71" s="62"/>
      <c r="L71" s="62">
        <f t="shared" si="2"/>
        <v>0</v>
      </c>
      <c r="M71" s="95"/>
    </row>
    <row r="72" spans="3:13" ht="21.6" customHeight="1" x14ac:dyDescent="0.15">
      <c r="C72" s="13" t="s">
        <v>384</v>
      </c>
      <c r="D72" s="13" t="s">
        <v>381</v>
      </c>
      <c r="E72" s="13" t="s">
        <v>385</v>
      </c>
      <c r="F72" s="52" t="s">
        <v>345</v>
      </c>
      <c r="G72" s="50">
        <v>1</v>
      </c>
      <c r="H72" s="62">
        <f>TRUNC(단가조사!G72*옵션!$D$11)</f>
        <v>0</v>
      </c>
      <c r="I72" s="62"/>
      <c r="J72" s="62"/>
      <c r="K72" s="62"/>
      <c r="L72" s="62">
        <f t="shared" si="2"/>
        <v>0</v>
      </c>
      <c r="M72" s="95"/>
    </row>
    <row r="73" spans="3:13" ht="21.6" customHeight="1" x14ac:dyDescent="0.15">
      <c r="C73" s="13" t="s">
        <v>386</v>
      </c>
      <c r="D73" s="13" t="s">
        <v>381</v>
      </c>
      <c r="E73" s="13" t="s">
        <v>387</v>
      </c>
      <c r="F73" s="52" t="s">
        <v>345</v>
      </c>
      <c r="G73" s="50">
        <v>1</v>
      </c>
      <c r="H73" s="62">
        <f>TRUNC(단가조사!G73*옵션!$D$11)</f>
        <v>0</v>
      </c>
      <c r="I73" s="62"/>
      <c r="J73" s="62"/>
      <c r="K73" s="62"/>
      <c r="L73" s="62">
        <f t="shared" si="2"/>
        <v>0</v>
      </c>
      <c r="M73" s="95"/>
    </row>
    <row r="74" spans="3:13" ht="21.6" customHeight="1" x14ac:dyDescent="0.15">
      <c r="C74" s="13" t="s">
        <v>388</v>
      </c>
      <c r="D74" s="13" t="s">
        <v>381</v>
      </c>
      <c r="E74" s="13" t="s">
        <v>389</v>
      </c>
      <c r="F74" s="52" t="s">
        <v>345</v>
      </c>
      <c r="G74" s="50">
        <v>1</v>
      </c>
      <c r="H74" s="62">
        <f>TRUNC(단가조사!G74*옵션!$D$11)</f>
        <v>0</v>
      </c>
      <c r="I74" s="62"/>
      <c r="J74" s="62"/>
      <c r="K74" s="62"/>
      <c r="L74" s="62">
        <f t="shared" si="2"/>
        <v>0</v>
      </c>
      <c r="M74" s="95"/>
    </row>
    <row r="75" spans="3:13" ht="21.6" customHeight="1" x14ac:dyDescent="0.15">
      <c r="C75" s="13" t="s">
        <v>390</v>
      </c>
      <c r="D75" s="13" t="s">
        <v>381</v>
      </c>
      <c r="E75" s="13" t="s">
        <v>391</v>
      </c>
      <c r="F75" s="52" t="s">
        <v>345</v>
      </c>
      <c r="G75" s="50">
        <v>1</v>
      </c>
      <c r="H75" s="62">
        <f>TRUNC(단가조사!G75*옵션!$D$11)</f>
        <v>0</v>
      </c>
      <c r="I75" s="62"/>
      <c r="J75" s="62"/>
      <c r="K75" s="62"/>
      <c r="L75" s="62">
        <f t="shared" si="2"/>
        <v>0</v>
      </c>
      <c r="M75" s="95"/>
    </row>
    <row r="76" spans="3:13" ht="21.6" customHeight="1" x14ac:dyDescent="0.15">
      <c r="C76" s="13" t="s">
        <v>392</v>
      </c>
      <c r="D76" s="13" t="s">
        <v>381</v>
      </c>
      <c r="E76" s="13" t="s">
        <v>393</v>
      </c>
      <c r="F76" s="52" t="s">
        <v>345</v>
      </c>
      <c r="G76" s="50">
        <v>1</v>
      </c>
      <c r="H76" s="62">
        <f>TRUNC(단가조사!G76*옵션!$D$11)</f>
        <v>0</v>
      </c>
      <c r="I76" s="62"/>
      <c r="J76" s="62"/>
      <c r="K76" s="62"/>
      <c r="L76" s="62">
        <f t="shared" si="2"/>
        <v>0</v>
      </c>
      <c r="M76" s="95"/>
    </row>
    <row r="77" spans="3:13" ht="21.6" customHeight="1" x14ac:dyDescent="0.15">
      <c r="C77" s="13" t="s">
        <v>394</v>
      </c>
      <c r="D77" s="13" t="s">
        <v>381</v>
      </c>
      <c r="E77" s="13" t="s">
        <v>395</v>
      </c>
      <c r="F77" s="52" t="s">
        <v>345</v>
      </c>
      <c r="G77" s="50">
        <v>1</v>
      </c>
      <c r="H77" s="62">
        <f>TRUNC(단가조사!G77*옵션!$D$11)</f>
        <v>0</v>
      </c>
      <c r="I77" s="62"/>
      <c r="J77" s="62"/>
      <c r="K77" s="62"/>
      <c r="L77" s="62">
        <f t="shared" si="2"/>
        <v>0</v>
      </c>
      <c r="M77" s="95"/>
    </row>
    <row r="78" spans="3:13" ht="21.6" customHeight="1" x14ac:dyDescent="0.15">
      <c r="C78" s="13" t="s">
        <v>396</v>
      </c>
      <c r="D78" s="13" t="s">
        <v>381</v>
      </c>
      <c r="E78" s="13" t="s">
        <v>397</v>
      </c>
      <c r="F78" s="52" t="s">
        <v>345</v>
      </c>
      <c r="G78" s="50">
        <v>1</v>
      </c>
      <c r="H78" s="62">
        <f>TRUNC(단가조사!G78*옵션!$D$11)</f>
        <v>0</v>
      </c>
      <c r="I78" s="62"/>
      <c r="J78" s="62"/>
      <c r="K78" s="62"/>
      <c r="L78" s="62">
        <f t="shared" si="2"/>
        <v>0</v>
      </c>
      <c r="M78" s="95"/>
    </row>
    <row r="79" spans="3:13" ht="21.6" customHeight="1" x14ac:dyDescent="0.15">
      <c r="C79" s="13" t="s">
        <v>398</v>
      </c>
      <c r="D79" s="13" t="s">
        <v>381</v>
      </c>
      <c r="E79" s="13" t="s">
        <v>399</v>
      </c>
      <c r="F79" s="52" t="s">
        <v>345</v>
      </c>
      <c r="G79" s="50">
        <v>1</v>
      </c>
      <c r="H79" s="62">
        <f>TRUNC(단가조사!G79*옵션!$D$11)</f>
        <v>0</v>
      </c>
      <c r="I79" s="62"/>
      <c r="J79" s="62"/>
      <c r="K79" s="62"/>
      <c r="L79" s="62">
        <f t="shared" si="2"/>
        <v>0</v>
      </c>
      <c r="M79" s="95"/>
    </row>
    <row r="80" spans="3:13" ht="21.6" customHeight="1" x14ac:dyDescent="0.15">
      <c r="C80" s="13" t="s">
        <v>400</v>
      </c>
      <c r="D80" s="13" t="s">
        <v>395</v>
      </c>
      <c r="E80" s="13" t="s">
        <v>401</v>
      </c>
      <c r="F80" s="52" t="s">
        <v>345</v>
      </c>
      <c r="G80" s="50">
        <v>1</v>
      </c>
      <c r="H80" s="62">
        <f>TRUNC(단가조사!G80*옵션!$D$11)</f>
        <v>4429883</v>
      </c>
      <c r="I80" s="62"/>
      <c r="J80" s="62"/>
      <c r="K80" s="62"/>
      <c r="L80" s="62">
        <f t="shared" si="2"/>
        <v>4429883</v>
      </c>
      <c r="M80" s="95"/>
    </row>
    <row r="81" spans="3:13" ht="21.6" customHeight="1" x14ac:dyDescent="0.15">
      <c r="C81" s="13" t="s">
        <v>402</v>
      </c>
      <c r="D81" s="13" t="s">
        <v>397</v>
      </c>
      <c r="E81" s="13" t="s">
        <v>403</v>
      </c>
      <c r="F81" s="52" t="s">
        <v>345</v>
      </c>
      <c r="G81" s="50">
        <v>1</v>
      </c>
      <c r="H81" s="62">
        <f>TRUNC(단가조사!G81*옵션!$D$11)</f>
        <v>7730960</v>
      </c>
      <c r="I81" s="62"/>
      <c r="J81" s="62"/>
      <c r="K81" s="62"/>
      <c r="L81" s="62">
        <f t="shared" si="2"/>
        <v>7730960</v>
      </c>
      <c r="M81" s="95"/>
    </row>
    <row r="82" spans="3:13" ht="21.6" customHeight="1" x14ac:dyDescent="0.15">
      <c r="C82" s="13" t="s">
        <v>404</v>
      </c>
      <c r="D82" s="13" t="s">
        <v>405</v>
      </c>
      <c r="E82" s="13" t="s">
        <v>406</v>
      </c>
      <c r="F82" s="52" t="s">
        <v>238</v>
      </c>
      <c r="G82" s="50">
        <v>2</v>
      </c>
      <c r="H82" s="62">
        <f>TRUNC(단가조사!G82*옵션!$D$11)</f>
        <v>0</v>
      </c>
      <c r="I82" s="62"/>
      <c r="J82" s="62"/>
      <c r="K82" s="62"/>
      <c r="L82" s="62">
        <f t="shared" si="2"/>
        <v>0</v>
      </c>
      <c r="M82" s="95"/>
    </row>
    <row r="83" spans="3:13" ht="21.6" customHeight="1" x14ac:dyDescent="0.15">
      <c r="C83" s="13" t="s">
        <v>407</v>
      </c>
      <c r="D83" s="13" t="s">
        <v>405</v>
      </c>
      <c r="E83" s="13" t="s">
        <v>408</v>
      </c>
      <c r="F83" s="52" t="s">
        <v>238</v>
      </c>
      <c r="G83" s="50">
        <v>1</v>
      </c>
      <c r="H83" s="62">
        <f>TRUNC(단가조사!G83*옵션!$D$11)</f>
        <v>0</v>
      </c>
      <c r="I83" s="62"/>
      <c r="J83" s="62"/>
      <c r="K83" s="62"/>
      <c r="L83" s="62">
        <f t="shared" si="2"/>
        <v>0</v>
      </c>
      <c r="M83" s="95"/>
    </row>
    <row r="84" spans="3:13" ht="21.6" customHeight="1" x14ac:dyDescent="0.15">
      <c r="C84" s="13" t="s">
        <v>409</v>
      </c>
      <c r="D84" s="13" t="s">
        <v>410</v>
      </c>
      <c r="E84" s="13" t="s">
        <v>411</v>
      </c>
      <c r="F84" s="52" t="s">
        <v>345</v>
      </c>
      <c r="G84" s="50">
        <v>1</v>
      </c>
      <c r="H84" s="62">
        <f>TRUNC(단가조사!G84*옵션!$D$11)</f>
        <v>600000</v>
      </c>
      <c r="I84" s="62"/>
      <c r="J84" s="62"/>
      <c r="K84" s="62"/>
      <c r="L84" s="62">
        <f t="shared" si="2"/>
        <v>600000</v>
      </c>
      <c r="M84" s="95"/>
    </row>
    <row r="85" spans="3:13" ht="21.6" customHeight="1" x14ac:dyDescent="0.15">
      <c r="C85" s="13" t="s">
        <v>412</v>
      </c>
      <c r="D85" s="13" t="s">
        <v>413</v>
      </c>
      <c r="E85" s="13" t="s">
        <v>414</v>
      </c>
      <c r="F85" s="52" t="s">
        <v>172</v>
      </c>
      <c r="G85" s="50">
        <v>145</v>
      </c>
      <c r="H85" s="62">
        <f>TRUNC(단가조사!G85*옵션!$D$11)</f>
        <v>0</v>
      </c>
      <c r="I85" s="62"/>
      <c r="J85" s="62"/>
      <c r="K85" s="62"/>
      <c r="L85" s="62">
        <f t="shared" si="2"/>
        <v>0</v>
      </c>
      <c r="M85" s="95"/>
    </row>
    <row r="86" spans="3:13" ht="21.6" customHeight="1" x14ac:dyDescent="0.15">
      <c r="C86" s="13" t="s">
        <v>415</v>
      </c>
      <c r="D86" s="13" t="s">
        <v>413</v>
      </c>
      <c r="E86" s="13" t="s">
        <v>416</v>
      </c>
      <c r="F86" s="52" t="s">
        <v>190</v>
      </c>
      <c r="G86" s="50">
        <v>275</v>
      </c>
      <c r="H86" s="62">
        <f>TRUNC(단가조사!G86*옵션!$D$11)</f>
        <v>0</v>
      </c>
      <c r="I86" s="62"/>
      <c r="J86" s="62"/>
      <c r="K86" s="62"/>
      <c r="L86" s="62">
        <f t="shared" si="2"/>
        <v>0</v>
      </c>
      <c r="M86" s="95"/>
    </row>
    <row r="87" spans="3:13" ht="21.6" customHeight="1" x14ac:dyDescent="0.15">
      <c r="C87" s="13" t="s">
        <v>417</v>
      </c>
      <c r="D87" s="13" t="s">
        <v>418</v>
      </c>
      <c r="E87" s="13" t="s">
        <v>419</v>
      </c>
      <c r="F87" s="52" t="s">
        <v>420</v>
      </c>
      <c r="G87" s="50">
        <v>12</v>
      </c>
      <c r="H87" s="62">
        <f>TRUNC(단가조사!G87*옵션!$D$11)</f>
        <v>0</v>
      </c>
      <c r="I87" s="62"/>
      <c r="J87" s="62"/>
      <c r="K87" s="62"/>
      <c r="L87" s="62">
        <f t="shared" si="2"/>
        <v>0</v>
      </c>
      <c r="M87" s="95"/>
    </row>
    <row r="88" spans="3:13" ht="21.6" customHeight="1" x14ac:dyDescent="0.15">
      <c r="C88" s="13" t="s">
        <v>421</v>
      </c>
      <c r="D88" s="13" t="s">
        <v>418</v>
      </c>
      <c r="E88" s="13" t="s">
        <v>422</v>
      </c>
      <c r="F88" s="52" t="s">
        <v>420</v>
      </c>
      <c r="G88" s="50">
        <v>1</v>
      </c>
      <c r="H88" s="62">
        <f>TRUNC(단가조사!G88*옵션!$D$11)</f>
        <v>0</v>
      </c>
      <c r="I88" s="62"/>
      <c r="J88" s="62"/>
      <c r="K88" s="62"/>
      <c r="L88" s="62">
        <f t="shared" si="2"/>
        <v>0</v>
      </c>
      <c r="M88" s="95"/>
    </row>
    <row r="89" spans="3:13" ht="21.6" customHeight="1" x14ac:dyDescent="0.15">
      <c r="C89" s="13" t="s">
        <v>423</v>
      </c>
      <c r="D89" s="13" t="s">
        <v>424</v>
      </c>
      <c r="E89" s="13" t="s">
        <v>425</v>
      </c>
      <c r="F89" s="52" t="s">
        <v>420</v>
      </c>
      <c r="G89" s="50">
        <v>1</v>
      </c>
      <c r="H89" s="62">
        <f>TRUNC(단가조사!G89*옵션!$D$11)</f>
        <v>70000</v>
      </c>
      <c r="I89" s="62"/>
      <c r="J89" s="62"/>
      <c r="K89" s="62"/>
      <c r="L89" s="62">
        <f t="shared" si="2"/>
        <v>70000</v>
      </c>
      <c r="M89" s="95"/>
    </row>
    <row r="90" spans="3:13" ht="21.6" customHeight="1" x14ac:dyDescent="0.15">
      <c r="C90" s="13" t="s">
        <v>426</v>
      </c>
      <c r="D90" s="13" t="s">
        <v>427</v>
      </c>
      <c r="E90" s="13" t="s">
        <v>428</v>
      </c>
      <c r="F90" s="52" t="s">
        <v>420</v>
      </c>
      <c r="G90" s="50">
        <v>12</v>
      </c>
      <c r="H90" s="62">
        <f>TRUNC(단가조사!G90*옵션!$D$11)</f>
        <v>25000</v>
      </c>
      <c r="I90" s="62"/>
      <c r="J90" s="62"/>
      <c r="K90" s="62"/>
      <c r="L90" s="62">
        <f t="shared" si="2"/>
        <v>25000</v>
      </c>
      <c r="M90" s="95"/>
    </row>
    <row r="91" spans="3:13" ht="21.6" customHeight="1" x14ac:dyDescent="0.15">
      <c r="C91" s="13" t="s">
        <v>429</v>
      </c>
      <c r="D91" s="13" t="s">
        <v>430</v>
      </c>
      <c r="E91" s="13" t="s">
        <v>431</v>
      </c>
      <c r="F91" s="52" t="s">
        <v>238</v>
      </c>
      <c r="G91" s="50">
        <v>3</v>
      </c>
      <c r="H91" s="62">
        <f>TRUNC(단가조사!G91*옵션!$D$11)</f>
        <v>0</v>
      </c>
      <c r="I91" s="62"/>
      <c r="J91" s="62"/>
      <c r="K91" s="62"/>
      <c r="L91" s="62">
        <f t="shared" si="2"/>
        <v>0</v>
      </c>
      <c r="M91" s="95"/>
    </row>
    <row r="92" spans="3:13" ht="21.6" customHeight="1" x14ac:dyDescent="0.15">
      <c r="C92" s="13" t="s">
        <v>432</v>
      </c>
      <c r="D92" s="13" t="s">
        <v>433</v>
      </c>
      <c r="E92" s="13" t="s">
        <v>434</v>
      </c>
      <c r="F92" s="52" t="s">
        <v>238</v>
      </c>
      <c r="G92" s="50">
        <v>47</v>
      </c>
      <c r="H92" s="62">
        <f>TRUNC(단가조사!G92*옵션!$D$11)</f>
        <v>1200</v>
      </c>
      <c r="I92" s="62"/>
      <c r="J92" s="62"/>
      <c r="K92" s="62"/>
      <c r="L92" s="62">
        <f t="shared" si="2"/>
        <v>1200</v>
      </c>
      <c r="M92" s="95"/>
    </row>
    <row r="93" spans="3:13" ht="21.6" customHeight="1" x14ac:dyDescent="0.15">
      <c r="C93" s="13" t="s">
        <v>435</v>
      </c>
      <c r="D93" s="13" t="s">
        <v>433</v>
      </c>
      <c r="E93" s="13" t="s">
        <v>436</v>
      </c>
      <c r="F93" s="52" t="s">
        <v>238</v>
      </c>
      <c r="G93" s="50">
        <v>6</v>
      </c>
      <c r="H93" s="62">
        <f>TRUNC(단가조사!G93*옵션!$D$11)</f>
        <v>2000</v>
      </c>
      <c r="I93" s="62"/>
      <c r="J93" s="62"/>
      <c r="K93" s="62"/>
      <c r="L93" s="62">
        <f t="shared" si="2"/>
        <v>2000</v>
      </c>
      <c r="M93" s="95"/>
    </row>
    <row r="94" spans="3:13" ht="21.6" customHeight="1" x14ac:dyDescent="0.15">
      <c r="C94" s="13" t="s">
        <v>437</v>
      </c>
      <c r="D94" s="13" t="s">
        <v>438</v>
      </c>
      <c r="E94" s="13" t="s">
        <v>439</v>
      </c>
      <c r="F94" s="52" t="s">
        <v>238</v>
      </c>
      <c r="G94" s="50">
        <v>1</v>
      </c>
      <c r="H94" s="62">
        <f>TRUNC(단가조사!G94*옵션!$D$11)</f>
        <v>0</v>
      </c>
      <c r="I94" s="62"/>
      <c r="J94" s="62"/>
      <c r="K94" s="62"/>
      <c r="L94" s="62">
        <f t="shared" si="2"/>
        <v>0</v>
      </c>
      <c r="M94" s="95"/>
    </row>
    <row r="95" spans="3:13" ht="21.6" customHeight="1" x14ac:dyDescent="0.15">
      <c r="C95" s="13" t="s">
        <v>440</v>
      </c>
      <c r="D95" s="13" t="s">
        <v>438</v>
      </c>
      <c r="E95" s="13" t="s">
        <v>441</v>
      </c>
      <c r="F95" s="52" t="s">
        <v>238</v>
      </c>
      <c r="G95" s="50">
        <v>35</v>
      </c>
      <c r="H95" s="62">
        <f>TRUNC(단가조사!G95*옵션!$D$11)</f>
        <v>0</v>
      </c>
      <c r="I95" s="62"/>
      <c r="J95" s="62"/>
      <c r="K95" s="62"/>
      <c r="L95" s="62">
        <f t="shared" si="2"/>
        <v>0</v>
      </c>
      <c r="M95" s="95"/>
    </row>
    <row r="96" spans="3:13" ht="21.6" customHeight="1" x14ac:dyDescent="0.15">
      <c r="C96" s="13" t="s">
        <v>442</v>
      </c>
      <c r="D96" s="13" t="s">
        <v>443</v>
      </c>
      <c r="E96" s="13" t="s">
        <v>444</v>
      </c>
      <c r="F96" s="52" t="s">
        <v>172</v>
      </c>
      <c r="G96" s="50">
        <v>3</v>
      </c>
      <c r="H96" s="62">
        <f>TRUNC(단가조사!G96*옵션!$D$11)</f>
        <v>0</v>
      </c>
      <c r="I96" s="62"/>
      <c r="J96" s="62"/>
      <c r="K96" s="62"/>
      <c r="L96" s="62">
        <f t="shared" si="2"/>
        <v>0</v>
      </c>
      <c r="M96" s="95"/>
    </row>
    <row r="97" spans="3:13" ht="21.6" customHeight="1" x14ac:dyDescent="0.15">
      <c r="C97" s="13" t="s">
        <v>445</v>
      </c>
      <c r="D97" s="13" t="s">
        <v>443</v>
      </c>
      <c r="E97" s="13" t="s">
        <v>446</v>
      </c>
      <c r="F97" s="52" t="s">
        <v>172</v>
      </c>
      <c r="G97" s="50">
        <v>16</v>
      </c>
      <c r="H97" s="62">
        <f>TRUNC(단가조사!G97*옵션!$D$11)</f>
        <v>0</v>
      </c>
      <c r="I97" s="62"/>
      <c r="J97" s="62"/>
      <c r="K97" s="62"/>
      <c r="L97" s="62">
        <f t="shared" si="2"/>
        <v>0</v>
      </c>
      <c r="M97" s="95"/>
    </row>
    <row r="98" spans="3:13" ht="21.6" customHeight="1" x14ac:dyDescent="0.15">
      <c r="C98" s="13" t="s">
        <v>447</v>
      </c>
      <c r="D98" s="13" t="s">
        <v>443</v>
      </c>
      <c r="E98" s="13" t="s">
        <v>448</v>
      </c>
      <c r="F98" s="52" t="s">
        <v>172</v>
      </c>
      <c r="G98" s="50">
        <v>22</v>
      </c>
      <c r="H98" s="62">
        <f>TRUNC(단가조사!G98*옵션!$D$11)</f>
        <v>0</v>
      </c>
      <c r="I98" s="62"/>
      <c r="J98" s="62"/>
      <c r="K98" s="62"/>
      <c r="L98" s="62">
        <f t="shared" si="2"/>
        <v>0</v>
      </c>
      <c r="M98" s="95"/>
    </row>
    <row r="99" spans="3:13" ht="21.6" customHeight="1" x14ac:dyDescent="0.15">
      <c r="C99" s="13" t="s">
        <v>449</v>
      </c>
      <c r="D99" s="13" t="s">
        <v>443</v>
      </c>
      <c r="E99" s="13" t="s">
        <v>450</v>
      </c>
      <c r="F99" s="52" t="s">
        <v>172</v>
      </c>
      <c r="G99" s="50">
        <v>30</v>
      </c>
      <c r="H99" s="62">
        <f>TRUNC(단가조사!G99*옵션!$D$11)</f>
        <v>0</v>
      </c>
      <c r="I99" s="62"/>
      <c r="J99" s="62"/>
      <c r="K99" s="62"/>
      <c r="L99" s="62">
        <f t="shared" si="2"/>
        <v>0</v>
      </c>
      <c r="M99" s="95"/>
    </row>
    <row r="100" spans="3:13" ht="21.6" customHeight="1" x14ac:dyDescent="0.15">
      <c r="C100" s="13" t="s">
        <v>451</v>
      </c>
      <c r="D100" s="13" t="s">
        <v>443</v>
      </c>
      <c r="E100" s="13" t="s">
        <v>452</v>
      </c>
      <c r="F100" s="52" t="s">
        <v>172</v>
      </c>
      <c r="G100" s="50">
        <v>168</v>
      </c>
      <c r="H100" s="62">
        <f>TRUNC(단가조사!G100*옵션!$D$11)</f>
        <v>0</v>
      </c>
      <c r="I100" s="62"/>
      <c r="J100" s="62"/>
      <c r="K100" s="62"/>
      <c r="L100" s="62">
        <f t="shared" ref="L100:L107" si="3">SUM(H100,I100,J100)</f>
        <v>0</v>
      </c>
      <c r="M100" s="95"/>
    </row>
    <row r="101" spans="3:13" ht="21.6" customHeight="1" x14ac:dyDescent="0.15">
      <c r="C101" s="13" t="s">
        <v>453</v>
      </c>
      <c r="D101" s="13" t="s">
        <v>454</v>
      </c>
      <c r="E101" s="13" t="s">
        <v>455</v>
      </c>
      <c r="F101" s="52" t="s">
        <v>238</v>
      </c>
      <c r="G101" s="50">
        <v>6</v>
      </c>
      <c r="H101" s="62">
        <f>TRUNC(단가조사!G101*옵션!$D$11)</f>
        <v>0</v>
      </c>
      <c r="I101" s="62"/>
      <c r="J101" s="62"/>
      <c r="K101" s="62"/>
      <c r="L101" s="62">
        <f t="shared" si="3"/>
        <v>0</v>
      </c>
      <c r="M101" s="95"/>
    </row>
    <row r="102" spans="3:13" ht="21.6" customHeight="1" x14ac:dyDescent="0.15">
      <c r="C102" s="13" t="s">
        <v>456</v>
      </c>
      <c r="D102" s="13" t="s">
        <v>454</v>
      </c>
      <c r="E102" s="13" t="s">
        <v>457</v>
      </c>
      <c r="F102" s="52" t="s">
        <v>238</v>
      </c>
      <c r="G102" s="50">
        <v>6</v>
      </c>
      <c r="H102" s="62">
        <f>TRUNC(단가조사!G102*옵션!$D$11)</f>
        <v>0</v>
      </c>
      <c r="I102" s="62"/>
      <c r="J102" s="62"/>
      <c r="K102" s="62"/>
      <c r="L102" s="62">
        <f t="shared" si="3"/>
        <v>0</v>
      </c>
      <c r="M102" s="95"/>
    </row>
    <row r="103" spans="3:13" ht="21.6" customHeight="1" x14ac:dyDescent="0.15">
      <c r="C103" s="13" t="s">
        <v>458</v>
      </c>
      <c r="D103" s="13" t="s">
        <v>459</v>
      </c>
      <c r="E103" s="13" t="s">
        <v>460</v>
      </c>
      <c r="F103" s="52" t="s">
        <v>461</v>
      </c>
      <c r="G103" s="50">
        <v>63.405000000000001</v>
      </c>
      <c r="H103" s="62"/>
      <c r="I103" s="62">
        <f>TRUNC(단가조사!G106)</f>
        <v>273676</v>
      </c>
      <c r="J103" s="62"/>
      <c r="K103" s="62"/>
      <c r="L103" s="62">
        <f t="shared" si="3"/>
        <v>273676</v>
      </c>
      <c r="M103" s="95"/>
    </row>
    <row r="104" spans="3:13" ht="21.6" customHeight="1" x14ac:dyDescent="0.15">
      <c r="C104" s="13" t="s">
        <v>462</v>
      </c>
      <c r="D104" s="13" t="s">
        <v>459</v>
      </c>
      <c r="E104" s="13" t="s">
        <v>463</v>
      </c>
      <c r="F104" s="52" t="s">
        <v>461</v>
      </c>
      <c r="G104" s="50">
        <v>19.885999999999999</v>
      </c>
      <c r="H104" s="62"/>
      <c r="I104" s="62">
        <f>TRUNC(단가조사!G107)</f>
        <v>304156</v>
      </c>
      <c r="J104" s="62"/>
      <c r="K104" s="62"/>
      <c r="L104" s="62">
        <f t="shared" si="3"/>
        <v>304156</v>
      </c>
      <c r="M104" s="95"/>
    </row>
    <row r="105" spans="3:13" ht="21.6" customHeight="1" x14ac:dyDescent="0.15">
      <c r="C105" s="13" t="s">
        <v>464</v>
      </c>
      <c r="D105" s="13" t="s">
        <v>459</v>
      </c>
      <c r="E105" s="13" t="s">
        <v>465</v>
      </c>
      <c r="F105" s="52" t="s">
        <v>461</v>
      </c>
      <c r="G105" s="50">
        <v>7.0000000000000007E-2</v>
      </c>
      <c r="H105" s="62"/>
      <c r="I105" s="62">
        <f>TRUNC(단가조사!G108)</f>
        <v>414968</v>
      </c>
      <c r="J105" s="62"/>
      <c r="K105" s="62"/>
      <c r="L105" s="62">
        <f t="shared" si="3"/>
        <v>414968</v>
      </c>
      <c r="M105" s="95"/>
    </row>
    <row r="106" spans="3:13" ht="21.6" customHeight="1" x14ac:dyDescent="0.15">
      <c r="C106" s="13" t="s">
        <v>466</v>
      </c>
      <c r="D106" s="13" t="s">
        <v>459</v>
      </c>
      <c r="E106" s="13" t="s">
        <v>467</v>
      </c>
      <c r="F106" s="52" t="s">
        <v>461</v>
      </c>
      <c r="G106" s="50">
        <v>0.18</v>
      </c>
      <c r="H106" s="62"/>
      <c r="I106" s="62">
        <f>TRUNC(단가조사!G109)</f>
        <v>172068</v>
      </c>
      <c r="J106" s="62"/>
      <c r="K106" s="62"/>
      <c r="L106" s="62">
        <f t="shared" si="3"/>
        <v>172068</v>
      </c>
      <c r="M106" s="95"/>
    </row>
    <row r="107" spans="3:13" ht="21.6" customHeight="1" x14ac:dyDescent="0.15">
      <c r="C107" s="13"/>
      <c r="D107" s="13"/>
      <c r="E107" s="13"/>
      <c r="F107" s="52"/>
      <c r="G107" s="50"/>
      <c r="H107" s="62"/>
      <c r="I107" s="62"/>
      <c r="J107" s="62"/>
      <c r="K107" s="62"/>
      <c r="L107" s="62">
        <f t="shared" si="3"/>
        <v>0</v>
      </c>
      <c r="M107" s="95"/>
    </row>
  </sheetData>
  <mergeCells count="12">
    <mergeCell ref="H2:H3"/>
    <mergeCell ref="C1:M1"/>
    <mergeCell ref="L2:L3"/>
    <mergeCell ref="M2:M3"/>
    <mergeCell ref="K2:K3"/>
    <mergeCell ref="I2:I3"/>
    <mergeCell ref="J2:J3"/>
    <mergeCell ref="C2:C3"/>
    <mergeCell ref="D2:D3"/>
    <mergeCell ref="E2:E3"/>
    <mergeCell ref="F2:F3"/>
    <mergeCell ref="G2:G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T126"/>
  <sheetViews>
    <sheetView tabSelected="1" view="pageBreakPreview" topLeftCell="D1" zoomScale="85" zoomScaleNormal="100" zoomScaleSheetLayoutView="85" workbookViewId="0">
      <pane ySplit="3" topLeftCell="A47" activePane="bottomLeft" state="frozen"/>
      <selection activeCell="D1" sqref="D1"/>
      <selection pane="bottomLeft" activeCell="D2" sqref="D2:D3"/>
    </sheetView>
  </sheetViews>
  <sheetFormatPr defaultRowHeight="18.95" customHeight="1" x14ac:dyDescent="0.15"/>
  <cols>
    <col min="1" max="1" width="6.21875" style="14" hidden="1" customWidth="1"/>
    <col min="2" max="2" width="10.33203125" style="14" hidden="1" customWidth="1"/>
    <col min="3" max="3" width="15.44140625" style="14" hidden="1" customWidth="1"/>
    <col min="4" max="5" width="22.77734375" style="14" customWidth="1"/>
    <col min="6" max="6" width="4.5546875" style="8" customWidth="1"/>
    <col min="7" max="7" width="11.109375" style="59" customWidth="1"/>
    <col min="8" max="8" width="9.88671875" style="58" customWidth="1"/>
    <col min="9" max="9" width="11.21875" style="1" hidden="1" customWidth="1"/>
    <col min="10" max="10" width="9.88671875" style="58" customWidth="1"/>
    <col min="11" max="11" width="5.44140625" style="7" customWidth="1"/>
    <col min="12" max="12" width="9.88671875" style="58" customWidth="1"/>
    <col min="13" max="13" width="5.44140625" style="7" customWidth="1"/>
    <col min="14" max="14" width="9.88671875" style="58" customWidth="1"/>
    <col min="15" max="15" width="5.44140625" style="7" customWidth="1"/>
    <col min="16" max="16" width="9.88671875" style="58" customWidth="1"/>
    <col min="17" max="17" width="5.44140625" style="7" customWidth="1"/>
    <col min="18" max="18" width="3" style="58" hidden="1" customWidth="1"/>
    <col min="19" max="19" width="4.88671875" style="7" hidden="1" customWidth="1"/>
    <col min="20" max="20" width="10.77734375" style="14" customWidth="1"/>
    <col min="21" max="16384" width="8.88671875" style="12"/>
  </cols>
  <sheetData>
    <row r="1" spans="1:20" ht="18.95" customHeight="1" x14ac:dyDescent="0.15">
      <c r="A1" s="14" t="s">
        <v>473</v>
      </c>
      <c r="B1" s="14" t="s">
        <v>474</v>
      </c>
      <c r="D1" s="268" t="s">
        <v>1141</v>
      </c>
      <c r="E1" s="268"/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  <c r="S1" s="268"/>
      <c r="T1" s="268"/>
    </row>
    <row r="2" spans="1:20" ht="18.95" customHeight="1" x14ac:dyDescent="0.15">
      <c r="A2" s="270" t="s">
        <v>79</v>
      </c>
      <c r="B2" s="270" t="s">
        <v>29</v>
      </c>
      <c r="C2" s="270" t="s">
        <v>25</v>
      </c>
      <c r="D2" s="271" t="s">
        <v>85</v>
      </c>
      <c r="E2" s="271" t="s">
        <v>86</v>
      </c>
      <c r="F2" s="271" t="s">
        <v>26</v>
      </c>
      <c r="G2" s="267" t="s">
        <v>87</v>
      </c>
      <c r="H2" s="93" t="s">
        <v>468</v>
      </c>
      <c r="I2" s="93"/>
      <c r="J2" s="271" t="s">
        <v>469</v>
      </c>
      <c r="K2" s="271"/>
      <c r="L2" s="271" t="s">
        <v>27</v>
      </c>
      <c r="M2" s="271"/>
      <c r="N2" s="271" t="s">
        <v>470</v>
      </c>
      <c r="O2" s="271"/>
      <c r="P2" s="271" t="s">
        <v>471</v>
      </c>
      <c r="Q2" s="271"/>
      <c r="R2" s="271" t="s">
        <v>472</v>
      </c>
      <c r="S2" s="271"/>
      <c r="T2" s="271" t="s">
        <v>149</v>
      </c>
    </row>
    <row r="3" spans="1:20" ht="18.95" customHeight="1" x14ac:dyDescent="0.15">
      <c r="A3" s="270"/>
      <c r="B3" s="270"/>
      <c r="C3" s="270"/>
      <c r="D3" s="272"/>
      <c r="E3" s="272"/>
      <c r="F3" s="272"/>
      <c r="G3" s="276"/>
      <c r="H3" s="99" t="s">
        <v>28</v>
      </c>
      <c r="I3" s="100" t="s">
        <v>23</v>
      </c>
      <c r="J3" s="99" t="s">
        <v>28</v>
      </c>
      <c r="K3" s="100" t="s">
        <v>88</v>
      </c>
      <c r="L3" s="99" t="s">
        <v>28</v>
      </c>
      <c r="M3" s="100" t="s">
        <v>89</v>
      </c>
      <c r="N3" s="99" t="s">
        <v>150</v>
      </c>
      <c r="O3" s="100" t="s">
        <v>89</v>
      </c>
      <c r="P3" s="99" t="s">
        <v>150</v>
      </c>
      <c r="Q3" s="100" t="s">
        <v>89</v>
      </c>
      <c r="R3" s="99" t="s">
        <v>150</v>
      </c>
      <c r="S3" s="100" t="s">
        <v>89</v>
      </c>
      <c r="T3" s="272"/>
    </row>
    <row r="4" spans="1:20" ht="18.95" customHeight="1" x14ac:dyDescent="0.15">
      <c r="C4" s="14" t="s">
        <v>169</v>
      </c>
      <c r="D4" s="91" t="s">
        <v>170</v>
      </c>
      <c r="E4" s="91" t="s">
        <v>171</v>
      </c>
      <c r="F4" s="10" t="s">
        <v>172</v>
      </c>
      <c r="G4" s="62">
        <f>MIN(H4,J4,L4,N4,P4)</f>
        <v>5134</v>
      </c>
      <c r="H4" s="57">
        <v>5134</v>
      </c>
      <c r="I4" s="3"/>
      <c r="J4" s="57">
        <v>6390</v>
      </c>
      <c r="K4" s="11" t="s">
        <v>173</v>
      </c>
      <c r="L4" s="57">
        <v>7306</v>
      </c>
      <c r="M4" s="11" t="s">
        <v>174</v>
      </c>
      <c r="N4" s="57"/>
      <c r="O4" s="11"/>
      <c r="P4" s="57"/>
      <c r="Q4" s="11"/>
      <c r="R4" s="57"/>
      <c r="S4" s="11"/>
      <c r="T4" s="13"/>
    </row>
    <row r="5" spans="1:20" ht="18.95" customHeight="1" x14ac:dyDescent="0.15">
      <c r="C5" s="14" t="s">
        <v>175</v>
      </c>
      <c r="D5" s="91" t="s">
        <v>176</v>
      </c>
      <c r="E5" s="91" t="s">
        <v>177</v>
      </c>
      <c r="F5" s="10" t="s">
        <v>172</v>
      </c>
      <c r="G5" s="62">
        <f t="shared" ref="G5:G68" si="0">MIN(H5,J5,L5,N5,P5)</f>
        <v>170</v>
      </c>
      <c r="H5" s="57">
        <v>170</v>
      </c>
      <c r="I5" s="3"/>
      <c r="J5" s="57">
        <v>360</v>
      </c>
      <c r="K5" s="11" t="s">
        <v>178</v>
      </c>
      <c r="L5" s="57">
        <v>275</v>
      </c>
      <c r="M5" s="11" t="s">
        <v>179</v>
      </c>
      <c r="N5" s="57"/>
      <c r="O5" s="11"/>
      <c r="P5" s="57"/>
      <c r="Q5" s="11"/>
      <c r="R5" s="57"/>
      <c r="S5" s="11"/>
      <c r="T5" s="13"/>
    </row>
    <row r="6" spans="1:20" ht="18.95" customHeight="1" x14ac:dyDescent="0.15">
      <c r="C6" s="14" t="s">
        <v>180</v>
      </c>
      <c r="D6" s="13" t="s">
        <v>181</v>
      </c>
      <c r="E6" s="13" t="s">
        <v>182</v>
      </c>
      <c r="F6" s="10" t="s">
        <v>172</v>
      </c>
      <c r="G6" s="62">
        <f t="shared" si="0"/>
        <v>522</v>
      </c>
      <c r="H6" s="57">
        <v>522</v>
      </c>
      <c r="I6" s="3"/>
      <c r="J6" s="57">
        <v>857</v>
      </c>
      <c r="K6" s="11" t="s">
        <v>178</v>
      </c>
      <c r="L6" s="57">
        <v>607</v>
      </c>
      <c r="M6" s="11" t="s">
        <v>179</v>
      </c>
      <c r="N6" s="57"/>
      <c r="O6" s="11"/>
      <c r="P6" s="57"/>
      <c r="Q6" s="11"/>
      <c r="R6" s="57"/>
      <c r="S6" s="11"/>
      <c r="T6" s="13"/>
    </row>
    <row r="7" spans="1:20" ht="18.95" customHeight="1" x14ac:dyDescent="0.15">
      <c r="C7" s="14" t="s">
        <v>183</v>
      </c>
      <c r="D7" s="13" t="s">
        <v>184</v>
      </c>
      <c r="E7" s="13" t="s">
        <v>185</v>
      </c>
      <c r="F7" s="10" t="s">
        <v>172</v>
      </c>
      <c r="G7" s="62">
        <f t="shared" si="0"/>
        <v>1151</v>
      </c>
      <c r="H7" s="57"/>
      <c r="I7" s="3"/>
      <c r="J7" s="57"/>
      <c r="K7" s="11"/>
      <c r="L7" s="57">
        <v>1151</v>
      </c>
      <c r="M7" s="11"/>
      <c r="N7" s="57"/>
      <c r="O7" s="11"/>
      <c r="P7" s="57"/>
      <c r="Q7" s="11"/>
      <c r="R7" s="57"/>
      <c r="S7" s="11"/>
      <c r="T7" s="13"/>
    </row>
    <row r="8" spans="1:20" ht="18.95" customHeight="1" x14ac:dyDescent="0.15">
      <c r="C8" s="14" t="s">
        <v>186</v>
      </c>
      <c r="D8" s="13" t="s">
        <v>184</v>
      </c>
      <c r="E8" s="13" t="s">
        <v>187</v>
      </c>
      <c r="F8" s="10" t="s">
        <v>172</v>
      </c>
      <c r="G8" s="62">
        <f t="shared" si="0"/>
        <v>1914</v>
      </c>
      <c r="H8" s="57"/>
      <c r="I8" s="3"/>
      <c r="J8" s="57"/>
      <c r="K8" s="11"/>
      <c r="L8" s="57">
        <v>1914</v>
      </c>
      <c r="M8" s="11"/>
      <c r="N8" s="57"/>
      <c r="O8" s="11"/>
      <c r="P8" s="57"/>
      <c r="Q8" s="11"/>
      <c r="R8" s="57"/>
      <c r="S8" s="11"/>
      <c r="T8" s="13"/>
    </row>
    <row r="9" spans="1:20" ht="18.95" customHeight="1" x14ac:dyDescent="0.15">
      <c r="C9" s="14" t="s">
        <v>188</v>
      </c>
      <c r="D9" s="13" t="s">
        <v>184</v>
      </c>
      <c r="E9" s="13" t="s">
        <v>189</v>
      </c>
      <c r="F9" s="10" t="s">
        <v>190</v>
      </c>
      <c r="G9" s="62">
        <f t="shared" si="0"/>
        <v>407</v>
      </c>
      <c r="H9" s="57">
        <v>407</v>
      </c>
      <c r="I9" s="3"/>
      <c r="J9" s="57"/>
      <c r="K9" s="11"/>
      <c r="L9" s="57">
        <v>520</v>
      </c>
      <c r="M9" s="11" t="s">
        <v>191</v>
      </c>
      <c r="N9" s="57"/>
      <c r="O9" s="11"/>
      <c r="P9" s="57"/>
      <c r="Q9" s="11"/>
      <c r="R9" s="57"/>
      <c r="S9" s="11"/>
      <c r="T9" s="13"/>
    </row>
    <row r="10" spans="1:20" ht="18.95" customHeight="1" x14ac:dyDescent="0.15">
      <c r="C10" s="14" t="s">
        <v>192</v>
      </c>
      <c r="D10" s="13" t="s">
        <v>902</v>
      </c>
      <c r="E10" s="13" t="s">
        <v>903</v>
      </c>
      <c r="F10" s="10" t="s">
        <v>190</v>
      </c>
      <c r="G10" s="62">
        <f t="shared" si="0"/>
        <v>3739</v>
      </c>
      <c r="H10" s="57">
        <v>3739</v>
      </c>
      <c r="I10" s="3"/>
      <c r="J10" s="57">
        <v>4940</v>
      </c>
      <c r="K10" s="11" t="s">
        <v>904</v>
      </c>
      <c r="L10" s="57">
        <v>5412</v>
      </c>
      <c r="M10" s="11" t="s">
        <v>905</v>
      </c>
      <c r="N10" s="57"/>
      <c r="O10" s="11"/>
      <c r="P10" s="57"/>
      <c r="Q10" s="11"/>
      <c r="R10" s="57"/>
      <c r="S10" s="11"/>
      <c r="T10" s="13"/>
    </row>
    <row r="11" spans="1:20" ht="18.95" customHeight="1" x14ac:dyDescent="0.15">
      <c r="C11" s="14" t="s">
        <v>195</v>
      </c>
      <c r="D11" s="13" t="s">
        <v>196</v>
      </c>
      <c r="E11" s="13" t="s">
        <v>197</v>
      </c>
      <c r="F11" s="10" t="s">
        <v>190</v>
      </c>
      <c r="G11" s="62">
        <f t="shared" si="0"/>
        <v>638</v>
      </c>
      <c r="H11" s="57">
        <v>638</v>
      </c>
      <c r="I11" s="3"/>
      <c r="J11" s="57">
        <v>800</v>
      </c>
      <c r="K11" s="11" t="s">
        <v>198</v>
      </c>
      <c r="L11" s="57">
        <v>845</v>
      </c>
      <c r="M11" s="11" t="s">
        <v>199</v>
      </c>
      <c r="N11" s="57"/>
      <c r="O11" s="11"/>
      <c r="P11" s="57"/>
      <c r="Q11" s="11"/>
      <c r="R11" s="57"/>
      <c r="S11" s="11"/>
      <c r="T11" s="13"/>
    </row>
    <row r="12" spans="1:20" ht="18.95" customHeight="1" x14ac:dyDescent="0.15">
      <c r="C12" s="14" t="s">
        <v>200</v>
      </c>
      <c r="D12" s="13" t="s">
        <v>196</v>
      </c>
      <c r="E12" s="13" t="s">
        <v>201</v>
      </c>
      <c r="F12" s="10" t="s">
        <v>190</v>
      </c>
      <c r="G12" s="62">
        <f t="shared" si="0"/>
        <v>973</v>
      </c>
      <c r="H12" s="57"/>
      <c r="I12" s="3"/>
      <c r="J12" s="57">
        <v>3100</v>
      </c>
      <c r="K12" s="11" t="s">
        <v>198</v>
      </c>
      <c r="L12" s="57">
        <v>973</v>
      </c>
      <c r="M12" s="11" t="s">
        <v>199</v>
      </c>
      <c r="N12" s="57"/>
      <c r="O12" s="11"/>
      <c r="P12" s="57"/>
      <c r="Q12" s="11"/>
      <c r="R12" s="57"/>
      <c r="S12" s="11"/>
      <c r="T12" s="13"/>
    </row>
    <row r="13" spans="1:20" ht="18.95" customHeight="1" x14ac:dyDescent="0.15">
      <c r="C13" s="14" t="s">
        <v>202</v>
      </c>
      <c r="D13" s="13" t="s">
        <v>203</v>
      </c>
      <c r="E13" s="13" t="s">
        <v>204</v>
      </c>
      <c r="F13" s="10" t="s">
        <v>190</v>
      </c>
      <c r="G13" s="62">
        <f t="shared" si="0"/>
        <v>343</v>
      </c>
      <c r="H13" s="57"/>
      <c r="I13" s="3"/>
      <c r="J13" s="57">
        <v>400</v>
      </c>
      <c r="K13" s="11" t="s">
        <v>198</v>
      </c>
      <c r="L13" s="57">
        <v>343</v>
      </c>
      <c r="M13" s="11" t="s">
        <v>199</v>
      </c>
      <c r="N13" s="57"/>
      <c r="O13" s="11"/>
      <c r="P13" s="57"/>
      <c r="Q13" s="11"/>
      <c r="R13" s="57"/>
      <c r="S13" s="11"/>
      <c r="T13" s="13"/>
    </row>
    <row r="14" spans="1:20" ht="18.95" customHeight="1" x14ac:dyDescent="0.15">
      <c r="C14" s="14" t="s">
        <v>205</v>
      </c>
      <c r="D14" s="13" t="s">
        <v>203</v>
      </c>
      <c r="E14" s="13" t="s">
        <v>206</v>
      </c>
      <c r="F14" s="10" t="s">
        <v>190</v>
      </c>
      <c r="G14" s="62">
        <f t="shared" si="0"/>
        <v>343</v>
      </c>
      <c r="H14" s="57"/>
      <c r="I14" s="3"/>
      <c r="J14" s="57">
        <v>400</v>
      </c>
      <c r="K14" s="11" t="s">
        <v>198</v>
      </c>
      <c r="L14" s="57">
        <v>343</v>
      </c>
      <c r="M14" s="11" t="s">
        <v>199</v>
      </c>
      <c r="N14" s="57"/>
      <c r="O14" s="11"/>
      <c r="P14" s="57"/>
      <c r="Q14" s="11"/>
      <c r="R14" s="57"/>
      <c r="S14" s="11"/>
      <c r="T14" s="13"/>
    </row>
    <row r="15" spans="1:20" ht="18.95" customHeight="1" x14ac:dyDescent="0.15">
      <c r="C15" s="14" t="s">
        <v>207</v>
      </c>
      <c r="D15" s="13" t="s">
        <v>208</v>
      </c>
      <c r="E15" s="13" t="s">
        <v>209</v>
      </c>
      <c r="F15" s="10" t="s">
        <v>190</v>
      </c>
      <c r="G15" s="62">
        <f t="shared" si="0"/>
        <v>2577</v>
      </c>
      <c r="H15" s="57">
        <v>2577</v>
      </c>
      <c r="I15" s="3"/>
      <c r="J15" s="57">
        <v>2818</v>
      </c>
      <c r="K15" s="11" t="s">
        <v>210</v>
      </c>
      <c r="L15" s="57">
        <v>3382</v>
      </c>
      <c r="M15" s="11" t="s">
        <v>211</v>
      </c>
      <c r="N15" s="57"/>
      <c r="O15" s="11"/>
      <c r="P15" s="57"/>
      <c r="Q15" s="11"/>
      <c r="R15" s="57"/>
      <c r="S15" s="11"/>
      <c r="T15" s="13"/>
    </row>
    <row r="16" spans="1:20" ht="18.95" customHeight="1" x14ac:dyDescent="0.15">
      <c r="C16" s="14" t="s">
        <v>212</v>
      </c>
      <c r="D16" s="13" t="s">
        <v>213</v>
      </c>
      <c r="E16" s="13" t="s">
        <v>214</v>
      </c>
      <c r="F16" s="10" t="s">
        <v>190</v>
      </c>
      <c r="G16" s="62">
        <f t="shared" si="0"/>
        <v>2856</v>
      </c>
      <c r="H16" s="57">
        <v>2856</v>
      </c>
      <c r="I16" s="3"/>
      <c r="J16" s="57">
        <v>8261</v>
      </c>
      <c r="K16" s="11" t="s">
        <v>198</v>
      </c>
      <c r="L16" s="57">
        <v>3360</v>
      </c>
      <c r="M16" s="11" t="s">
        <v>199</v>
      </c>
      <c r="N16" s="57"/>
      <c r="O16" s="11"/>
      <c r="P16" s="57"/>
      <c r="Q16" s="11"/>
      <c r="R16" s="57"/>
      <c r="S16" s="11"/>
      <c r="T16" s="13"/>
    </row>
    <row r="17" spans="3:20" ht="18.95" customHeight="1" x14ac:dyDescent="0.15">
      <c r="C17" s="14" t="s">
        <v>215</v>
      </c>
      <c r="D17" s="13" t="s">
        <v>216</v>
      </c>
      <c r="E17" s="13" t="s">
        <v>217</v>
      </c>
      <c r="F17" s="10" t="s">
        <v>190</v>
      </c>
      <c r="G17" s="62">
        <f t="shared" si="0"/>
        <v>373</v>
      </c>
      <c r="H17" s="57">
        <v>373</v>
      </c>
      <c r="I17" s="3"/>
      <c r="J17" s="57"/>
      <c r="K17" s="11"/>
      <c r="L17" s="57"/>
      <c r="M17" s="11"/>
      <c r="N17" s="57"/>
      <c r="O17" s="11"/>
      <c r="P17" s="57"/>
      <c r="Q17" s="11"/>
      <c r="R17" s="57"/>
      <c r="S17" s="11"/>
      <c r="T17" s="13"/>
    </row>
    <row r="18" spans="3:20" ht="18.95" customHeight="1" x14ac:dyDescent="0.15">
      <c r="C18" s="14" t="s">
        <v>218</v>
      </c>
      <c r="D18" s="13" t="s">
        <v>216</v>
      </c>
      <c r="E18" s="13" t="s">
        <v>219</v>
      </c>
      <c r="F18" s="10" t="s">
        <v>190</v>
      </c>
      <c r="G18" s="62">
        <f t="shared" si="0"/>
        <v>750</v>
      </c>
      <c r="H18" s="57">
        <v>750</v>
      </c>
      <c r="I18" s="3"/>
      <c r="J18" s="57"/>
      <c r="K18" s="11"/>
      <c r="L18" s="57"/>
      <c r="M18" s="11"/>
      <c r="N18" s="57"/>
      <c r="O18" s="11"/>
      <c r="P18" s="57"/>
      <c r="Q18" s="11"/>
      <c r="R18" s="57"/>
      <c r="S18" s="11"/>
      <c r="T18" s="13"/>
    </row>
    <row r="19" spans="3:20" ht="18.95" customHeight="1" x14ac:dyDescent="0.15">
      <c r="C19" s="14" t="s">
        <v>220</v>
      </c>
      <c r="D19" s="13" t="s">
        <v>216</v>
      </c>
      <c r="E19" s="13" t="s">
        <v>221</v>
      </c>
      <c r="F19" s="10" t="s">
        <v>172</v>
      </c>
      <c r="G19" s="62">
        <f t="shared" si="0"/>
        <v>6176</v>
      </c>
      <c r="H19" s="57">
        <v>6176</v>
      </c>
      <c r="I19" s="3"/>
      <c r="J19" s="57"/>
      <c r="K19" s="11"/>
      <c r="L19" s="57"/>
      <c r="M19" s="11"/>
      <c r="N19" s="57"/>
      <c r="O19" s="11"/>
      <c r="P19" s="57"/>
      <c r="Q19" s="11"/>
      <c r="R19" s="57"/>
      <c r="S19" s="11"/>
      <c r="T19" s="13"/>
    </row>
    <row r="20" spans="3:20" ht="18.95" customHeight="1" x14ac:dyDescent="0.15">
      <c r="C20" s="14" t="s">
        <v>222</v>
      </c>
      <c r="D20" s="13" t="s">
        <v>223</v>
      </c>
      <c r="E20" s="13" t="s">
        <v>224</v>
      </c>
      <c r="F20" s="10" t="s">
        <v>172</v>
      </c>
      <c r="G20" s="62">
        <f t="shared" si="0"/>
        <v>40000</v>
      </c>
      <c r="H20" s="57"/>
      <c r="I20" s="3"/>
      <c r="J20" s="57"/>
      <c r="K20" s="11"/>
      <c r="L20" s="57">
        <v>40000</v>
      </c>
      <c r="M20" s="11" t="s">
        <v>225</v>
      </c>
      <c r="N20" s="57"/>
      <c r="O20" s="11"/>
      <c r="P20" s="57"/>
      <c r="Q20" s="11"/>
      <c r="R20" s="57"/>
      <c r="S20" s="11"/>
      <c r="T20" s="13"/>
    </row>
    <row r="21" spans="3:20" ht="18.95" customHeight="1" x14ac:dyDescent="0.15">
      <c r="C21" s="14" t="s">
        <v>226</v>
      </c>
      <c r="D21" s="13" t="s">
        <v>227</v>
      </c>
      <c r="E21" s="13" t="s">
        <v>224</v>
      </c>
      <c r="F21" s="10" t="s">
        <v>172</v>
      </c>
      <c r="G21" s="62">
        <f t="shared" si="0"/>
        <v>5000</v>
      </c>
      <c r="H21" s="57"/>
      <c r="I21" s="3"/>
      <c r="J21" s="57"/>
      <c r="K21" s="11"/>
      <c r="L21" s="57">
        <v>5000</v>
      </c>
      <c r="M21" s="11" t="s">
        <v>225</v>
      </c>
      <c r="N21" s="57"/>
      <c r="O21" s="11"/>
      <c r="P21" s="57"/>
      <c r="Q21" s="11"/>
      <c r="R21" s="57"/>
      <c r="S21" s="11"/>
      <c r="T21" s="13"/>
    </row>
    <row r="22" spans="3:20" ht="18.95" customHeight="1" x14ac:dyDescent="0.15">
      <c r="C22" s="14" t="s">
        <v>228</v>
      </c>
      <c r="D22" s="13" t="s">
        <v>229</v>
      </c>
      <c r="E22" s="13" t="s">
        <v>224</v>
      </c>
      <c r="F22" s="10" t="s">
        <v>190</v>
      </c>
      <c r="G22" s="62">
        <f t="shared" si="0"/>
        <v>5000</v>
      </c>
      <c r="H22" s="57"/>
      <c r="I22" s="3"/>
      <c r="J22" s="57"/>
      <c r="K22" s="11"/>
      <c r="L22" s="57">
        <v>5000</v>
      </c>
      <c r="M22" s="11" t="s">
        <v>225</v>
      </c>
      <c r="N22" s="57"/>
      <c r="O22" s="11"/>
      <c r="P22" s="57"/>
      <c r="Q22" s="11"/>
      <c r="R22" s="57"/>
      <c r="S22" s="11"/>
      <c r="T22" s="13"/>
    </row>
    <row r="23" spans="3:20" ht="18.95" customHeight="1" x14ac:dyDescent="0.15">
      <c r="C23" s="14" t="s">
        <v>230</v>
      </c>
      <c r="D23" s="13" t="s">
        <v>231</v>
      </c>
      <c r="E23" s="13" t="s">
        <v>232</v>
      </c>
      <c r="F23" s="10" t="s">
        <v>172</v>
      </c>
      <c r="G23" s="62">
        <f t="shared" si="0"/>
        <v>3000</v>
      </c>
      <c r="H23" s="57"/>
      <c r="I23" s="3"/>
      <c r="J23" s="57">
        <v>3000</v>
      </c>
      <c r="K23" s="11" t="s">
        <v>233</v>
      </c>
      <c r="L23" s="57">
        <v>12000</v>
      </c>
      <c r="M23" s="11" t="s">
        <v>234</v>
      </c>
      <c r="N23" s="57"/>
      <c r="O23" s="11"/>
      <c r="P23" s="57"/>
      <c r="Q23" s="11"/>
      <c r="R23" s="57"/>
      <c r="S23" s="11"/>
      <c r="T23" s="13"/>
    </row>
    <row r="24" spans="3:20" ht="18.95" customHeight="1" x14ac:dyDescent="0.15">
      <c r="C24" s="14" t="s">
        <v>235</v>
      </c>
      <c r="D24" s="13" t="s">
        <v>236</v>
      </c>
      <c r="E24" s="13" t="s">
        <v>237</v>
      </c>
      <c r="F24" s="10" t="s">
        <v>238</v>
      </c>
      <c r="G24" s="62">
        <f t="shared" si="0"/>
        <v>90</v>
      </c>
      <c r="H24" s="57"/>
      <c r="I24" s="3"/>
      <c r="J24" s="57">
        <v>90</v>
      </c>
      <c r="K24" s="11" t="s">
        <v>173</v>
      </c>
      <c r="L24" s="57">
        <v>98</v>
      </c>
      <c r="M24" s="11" t="s">
        <v>211</v>
      </c>
      <c r="N24" s="57"/>
      <c r="O24" s="11"/>
      <c r="P24" s="57"/>
      <c r="Q24" s="11"/>
      <c r="R24" s="57"/>
      <c r="S24" s="11"/>
      <c r="T24" s="13"/>
    </row>
    <row r="25" spans="3:20" ht="18.95" customHeight="1" x14ac:dyDescent="0.15">
      <c r="C25" s="14" t="s">
        <v>239</v>
      </c>
      <c r="D25" s="13" t="s">
        <v>236</v>
      </c>
      <c r="E25" s="13" t="s">
        <v>240</v>
      </c>
      <c r="F25" s="10" t="s">
        <v>238</v>
      </c>
      <c r="G25" s="62">
        <f t="shared" si="0"/>
        <v>90</v>
      </c>
      <c r="H25" s="57"/>
      <c r="I25" s="3"/>
      <c r="J25" s="57">
        <v>90</v>
      </c>
      <c r="K25" s="11" t="s">
        <v>173</v>
      </c>
      <c r="L25" s="57">
        <v>104</v>
      </c>
      <c r="M25" s="11" t="s">
        <v>211</v>
      </c>
      <c r="N25" s="57"/>
      <c r="O25" s="11"/>
      <c r="P25" s="57"/>
      <c r="Q25" s="11"/>
      <c r="R25" s="57"/>
      <c r="S25" s="11"/>
      <c r="T25" s="13"/>
    </row>
    <row r="26" spans="3:20" ht="18.95" customHeight="1" x14ac:dyDescent="0.15">
      <c r="C26" s="14" t="s">
        <v>241</v>
      </c>
      <c r="D26" s="13" t="s">
        <v>242</v>
      </c>
      <c r="E26" s="13" t="s">
        <v>243</v>
      </c>
      <c r="F26" s="10" t="s">
        <v>190</v>
      </c>
      <c r="G26" s="62">
        <f t="shared" si="0"/>
        <v>200</v>
      </c>
      <c r="H26" s="57"/>
      <c r="I26" s="3"/>
      <c r="J26" s="57"/>
      <c r="K26" s="11"/>
      <c r="L26" s="57">
        <v>200</v>
      </c>
      <c r="M26" s="11" t="s">
        <v>244</v>
      </c>
      <c r="N26" s="57"/>
      <c r="O26" s="11"/>
      <c r="P26" s="57"/>
      <c r="Q26" s="11"/>
      <c r="R26" s="57"/>
      <c r="S26" s="11"/>
      <c r="T26" s="13"/>
    </row>
    <row r="27" spans="3:20" ht="18.95" customHeight="1" x14ac:dyDescent="0.15">
      <c r="C27" s="14" t="s">
        <v>245</v>
      </c>
      <c r="D27" s="13" t="s">
        <v>246</v>
      </c>
      <c r="E27" s="13" t="s">
        <v>247</v>
      </c>
      <c r="F27" s="10" t="s">
        <v>172</v>
      </c>
      <c r="G27" s="62">
        <f t="shared" si="0"/>
        <v>544</v>
      </c>
      <c r="H27" s="57">
        <v>544</v>
      </c>
      <c r="I27" s="3"/>
      <c r="J27" s="57">
        <v>727</v>
      </c>
      <c r="K27" s="11" t="s">
        <v>248</v>
      </c>
      <c r="L27" s="57">
        <v>1028</v>
      </c>
      <c r="M27" s="11" t="s">
        <v>249</v>
      </c>
      <c r="N27" s="57"/>
      <c r="O27" s="11"/>
      <c r="P27" s="57"/>
      <c r="Q27" s="11"/>
      <c r="R27" s="57"/>
      <c r="S27" s="11"/>
      <c r="T27" s="13"/>
    </row>
    <row r="28" spans="3:20" ht="18.95" customHeight="1" x14ac:dyDescent="0.15">
      <c r="C28" s="14" t="s">
        <v>250</v>
      </c>
      <c r="D28" s="13" t="s">
        <v>246</v>
      </c>
      <c r="E28" s="13" t="s">
        <v>251</v>
      </c>
      <c r="F28" s="10" t="s">
        <v>172</v>
      </c>
      <c r="G28" s="62">
        <f t="shared" si="0"/>
        <v>826</v>
      </c>
      <c r="H28" s="57">
        <v>826</v>
      </c>
      <c r="I28" s="3"/>
      <c r="J28" s="57">
        <v>1101</v>
      </c>
      <c r="K28" s="11" t="s">
        <v>248</v>
      </c>
      <c r="L28" s="57">
        <v>1601</v>
      </c>
      <c r="M28" s="11" t="s">
        <v>249</v>
      </c>
      <c r="N28" s="57"/>
      <c r="O28" s="11"/>
      <c r="P28" s="57"/>
      <c r="Q28" s="11"/>
      <c r="R28" s="57"/>
      <c r="S28" s="11"/>
      <c r="T28" s="13"/>
    </row>
    <row r="29" spans="3:20" ht="18.95" customHeight="1" x14ac:dyDescent="0.15">
      <c r="C29" s="14" t="s">
        <v>252</v>
      </c>
      <c r="D29" s="13" t="s">
        <v>253</v>
      </c>
      <c r="E29" s="13" t="s">
        <v>254</v>
      </c>
      <c r="F29" s="10" t="s">
        <v>172</v>
      </c>
      <c r="G29" s="62">
        <f t="shared" si="0"/>
        <v>2090</v>
      </c>
      <c r="H29" s="57">
        <v>2090</v>
      </c>
      <c r="I29" s="3"/>
      <c r="J29" s="57">
        <v>3279</v>
      </c>
      <c r="K29" s="11" t="s">
        <v>255</v>
      </c>
      <c r="L29" s="57">
        <v>3134</v>
      </c>
      <c r="M29" s="11" t="s">
        <v>249</v>
      </c>
      <c r="N29" s="57"/>
      <c r="O29" s="11"/>
      <c r="P29" s="57"/>
      <c r="Q29" s="11"/>
      <c r="R29" s="57"/>
      <c r="S29" s="11"/>
      <c r="T29" s="13"/>
    </row>
    <row r="30" spans="3:20" ht="18.95" customHeight="1" x14ac:dyDescent="0.15">
      <c r="C30" s="14" t="s">
        <v>256</v>
      </c>
      <c r="D30" s="13" t="s">
        <v>253</v>
      </c>
      <c r="E30" s="13" t="s">
        <v>257</v>
      </c>
      <c r="F30" s="10" t="s">
        <v>172</v>
      </c>
      <c r="G30" s="62">
        <f t="shared" si="0"/>
        <v>3041</v>
      </c>
      <c r="H30" s="57">
        <v>3041</v>
      </c>
      <c r="I30" s="3"/>
      <c r="J30" s="57">
        <v>4604</v>
      </c>
      <c r="K30" s="11" t="s">
        <v>255</v>
      </c>
      <c r="L30" s="57">
        <v>4278</v>
      </c>
      <c r="M30" s="11" t="s">
        <v>249</v>
      </c>
      <c r="N30" s="57"/>
      <c r="O30" s="11"/>
      <c r="P30" s="57"/>
      <c r="Q30" s="11"/>
      <c r="R30" s="57"/>
      <c r="S30" s="11"/>
      <c r="T30" s="13"/>
    </row>
    <row r="31" spans="3:20" ht="18.95" customHeight="1" x14ac:dyDescent="0.15">
      <c r="C31" s="14" t="s">
        <v>258</v>
      </c>
      <c r="D31" s="13" t="s">
        <v>259</v>
      </c>
      <c r="E31" s="13" t="s">
        <v>260</v>
      </c>
      <c r="F31" s="10" t="s">
        <v>172</v>
      </c>
      <c r="G31" s="62">
        <f t="shared" si="0"/>
        <v>5764</v>
      </c>
      <c r="H31" s="57">
        <v>5764</v>
      </c>
      <c r="I31" s="3"/>
      <c r="J31" s="57">
        <v>6997</v>
      </c>
      <c r="K31" s="11" t="s">
        <v>248</v>
      </c>
      <c r="L31" s="57">
        <v>6572</v>
      </c>
      <c r="M31" s="11" t="s">
        <v>261</v>
      </c>
      <c r="N31" s="57"/>
      <c r="O31" s="11"/>
      <c r="P31" s="57"/>
      <c r="Q31" s="11"/>
      <c r="R31" s="57"/>
      <c r="S31" s="11"/>
      <c r="T31" s="13"/>
    </row>
    <row r="32" spans="3:20" ht="18.95" customHeight="1" x14ac:dyDescent="0.15">
      <c r="C32" s="14" t="s">
        <v>262</v>
      </c>
      <c r="D32" s="13" t="s">
        <v>259</v>
      </c>
      <c r="E32" s="13" t="s">
        <v>263</v>
      </c>
      <c r="F32" s="10" t="s">
        <v>172</v>
      </c>
      <c r="G32" s="62">
        <f t="shared" si="0"/>
        <v>7760</v>
      </c>
      <c r="H32" s="57">
        <v>7760</v>
      </c>
      <c r="I32" s="3"/>
      <c r="J32" s="57">
        <v>9550</v>
      </c>
      <c r="K32" s="11" t="s">
        <v>248</v>
      </c>
      <c r="L32" s="57">
        <v>8969</v>
      </c>
      <c r="M32" s="11" t="s">
        <v>261</v>
      </c>
      <c r="N32" s="57"/>
      <c r="O32" s="11"/>
      <c r="P32" s="57"/>
      <c r="Q32" s="11"/>
      <c r="R32" s="57"/>
      <c r="S32" s="11"/>
      <c r="T32" s="13"/>
    </row>
    <row r="33" spans="3:20" ht="18.95" customHeight="1" x14ac:dyDescent="0.15">
      <c r="C33" s="14" t="s">
        <v>264</v>
      </c>
      <c r="D33" s="13" t="s">
        <v>259</v>
      </c>
      <c r="E33" s="13" t="s">
        <v>265</v>
      </c>
      <c r="F33" s="10" t="s">
        <v>172</v>
      </c>
      <c r="G33" s="62">
        <f t="shared" si="0"/>
        <v>5105</v>
      </c>
      <c r="H33" s="57">
        <v>5105</v>
      </c>
      <c r="I33" s="3"/>
      <c r="J33" s="57">
        <v>6731</v>
      </c>
      <c r="K33" s="11" t="s">
        <v>248</v>
      </c>
      <c r="L33" s="57">
        <v>5922</v>
      </c>
      <c r="M33" s="11" t="s">
        <v>261</v>
      </c>
      <c r="N33" s="57"/>
      <c r="O33" s="11"/>
      <c r="P33" s="57"/>
      <c r="Q33" s="11"/>
      <c r="R33" s="57"/>
      <c r="S33" s="11"/>
      <c r="T33" s="13"/>
    </row>
    <row r="34" spans="3:20" ht="18.95" customHeight="1" x14ac:dyDescent="0.15">
      <c r="C34" s="14" t="s">
        <v>266</v>
      </c>
      <c r="D34" s="13" t="s">
        <v>259</v>
      </c>
      <c r="E34" s="13" t="s">
        <v>267</v>
      </c>
      <c r="F34" s="10" t="s">
        <v>172</v>
      </c>
      <c r="G34" s="62">
        <f t="shared" si="0"/>
        <v>15126</v>
      </c>
      <c r="H34" s="57">
        <v>15126</v>
      </c>
      <c r="I34" s="3"/>
      <c r="J34" s="57">
        <v>18405</v>
      </c>
      <c r="K34" s="11" t="s">
        <v>248</v>
      </c>
      <c r="L34" s="57">
        <v>17285</v>
      </c>
      <c r="M34" s="11" t="s">
        <v>261</v>
      </c>
      <c r="N34" s="57"/>
      <c r="O34" s="11"/>
      <c r="P34" s="57"/>
      <c r="Q34" s="11"/>
      <c r="R34" s="57"/>
      <c r="S34" s="11"/>
      <c r="T34" s="13"/>
    </row>
    <row r="35" spans="3:20" ht="18.95" customHeight="1" x14ac:dyDescent="0.15">
      <c r="C35" s="14" t="s">
        <v>268</v>
      </c>
      <c r="D35" s="13" t="s">
        <v>269</v>
      </c>
      <c r="E35" s="13" t="s">
        <v>270</v>
      </c>
      <c r="F35" s="10" t="s">
        <v>172</v>
      </c>
      <c r="G35" s="62">
        <f t="shared" si="0"/>
        <v>1851</v>
      </c>
      <c r="H35" s="57">
        <v>1851</v>
      </c>
      <c r="I35" s="3"/>
      <c r="J35" s="57">
        <v>2544</v>
      </c>
      <c r="K35" s="11" t="s">
        <v>255</v>
      </c>
      <c r="L35" s="57">
        <v>3169</v>
      </c>
      <c r="M35" s="11" t="s">
        <v>271</v>
      </c>
      <c r="N35" s="57"/>
      <c r="O35" s="11"/>
      <c r="P35" s="57">
        <v>2932</v>
      </c>
      <c r="Q35" s="11" t="s">
        <v>1097</v>
      </c>
      <c r="R35" s="57"/>
      <c r="S35" s="11"/>
      <c r="T35" s="13"/>
    </row>
    <row r="36" spans="3:20" ht="18.95" customHeight="1" x14ac:dyDescent="0.15">
      <c r="C36" s="14" t="s">
        <v>272</v>
      </c>
      <c r="D36" s="13" t="s">
        <v>269</v>
      </c>
      <c r="E36" s="13" t="s">
        <v>273</v>
      </c>
      <c r="F36" s="10" t="s">
        <v>172</v>
      </c>
      <c r="G36" s="62">
        <f t="shared" si="0"/>
        <v>4428</v>
      </c>
      <c r="H36" s="57">
        <v>4428</v>
      </c>
      <c r="I36" s="3"/>
      <c r="J36" s="57">
        <v>5994</v>
      </c>
      <c r="K36" s="11" t="s">
        <v>255</v>
      </c>
      <c r="L36" s="57">
        <v>7665</v>
      </c>
      <c r="M36" s="11" t="s">
        <v>271</v>
      </c>
      <c r="N36" s="57"/>
      <c r="O36" s="11"/>
      <c r="P36" s="57"/>
      <c r="Q36" s="11"/>
      <c r="R36" s="57"/>
      <c r="S36" s="11"/>
      <c r="T36" s="13"/>
    </row>
    <row r="37" spans="3:20" ht="18.95" customHeight="1" x14ac:dyDescent="0.15">
      <c r="C37" s="14" t="s">
        <v>274</v>
      </c>
      <c r="D37" s="13" t="s">
        <v>275</v>
      </c>
      <c r="E37" s="13" t="s">
        <v>276</v>
      </c>
      <c r="F37" s="10" t="s">
        <v>190</v>
      </c>
      <c r="G37" s="62">
        <f t="shared" si="0"/>
        <v>1887</v>
      </c>
      <c r="H37" s="57">
        <v>1887</v>
      </c>
      <c r="I37" s="3"/>
      <c r="J37" s="57">
        <v>5500</v>
      </c>
      <c r="K37" s="11" t="s">
        <v>277</v>
      </c>
      <c r="L37" s="57">
        <v>6195</v>
      </c>
      <c r="M37" s="11" t="s">
        <v>278</v>
      </c>
      <c r="N37" s="57"/>
      <c r="O37" s="11"/>
      <c r="P37" s="57"/>
      <c r="Q37" s="11"/>
      <c r="R37" s="57"/>
      <c r="S37" s="11"/>
      <c r="T37" s="13"/>
    </row>
    <row r="38" spans="3:20" ht="18.95" customHeight="1" x14ac:dyDescent="0.15">
      <c r="C38" s="14" t="s">
        <v>279</v>
      </c>
      <c r="D38" s="13" t="s">
        <v>275</v>
      </c>
      <c r="E38" s="13" t="s">
        <v>280</v>
      </c>
      <c r="F38" s="10" t="s">
        <v>190</v>
      </c>
      <c r="G38" s="62">
        <f t="shared" si="0"/>
        <v>2440</v>
      </c>
      <c r="H38" s="57">
        <v>2440</v>
      </c>
      <c r="I38" s="3"/>
      <c r="J38" s="57">
        <v>7070</v>
      </c>
      <c r="K38" s="11" t="s">
        <v>277</v>
      </c>
      <c r="L38" s="57">
        <v>7812</v>
      </c>
      <c r="M38" s="11" t="s">
        <v>278</v>
      </c>
      <c r="N38" s="57"/>
      <c r="O38" s="11"/>
      <c r="P38" s="57"/>
      <c r="Q38" s="11"/>
      <c r="R38" s="57"/>
      <c r="S38" s="11"/>
      <c r="T38" s="13"/>
    </row>
    <row r="39" spans="3:20" ht="18.95" customHeight="1" x14ac:dyDescent="0.15">
      <c r="C39" s="14" t="s">
        <v>281</v>
      </c>
      <c r="D39" s="13" t="s">
        <v>282</v>
      </c>
      <c r="E39" s="13" t="s">
        <v>283</v>
      </c>
      <c r="F39" s="10" t="s">
        <v>190</v>
      </c>
      <c r="G39" s="62">
        <f t="shared" si="0"/>
        <v>1320</v>
      </c>
      <c r="H39" s="57">
        <v>1320</v>
      </c>
      <c r="I39" s="3"/>
      <c r="J39" s="57"/>
      <c r="K39" s="11"/>
      <c r="L39" s="57">
        <v>2932</v>
      </c>
      <c r="M39" s="11" t="s">
        <v>278</v>
      </c>
      <c r="N39" s="57"/>
      <c r="O39" s="11"/>
      <c r="P39" s="57"/>
      <c r="Q39" s="11"/>
      <c r="R39" s="57"/>
      <c r="S39" s="11"/>
      <c r="T39" s="13"/>
    </row>
    <row r="40" spans="3:20" ht="18.95" customHeight="1" x14ac:dyDescent="0.15">
      <c r="C40" s="14" t="s">
        <v>284</v>
      </c>
      <c r="D40" s="13" t="s">
        <v>285</v>
      </c>
      <c r="E40" s="13" t="s">
        <v>286</v>
      </c>
      <c r="F40" s="10" t="s">
        <v>190</v>
      </c>
      <c r="G40" s="62">
        <f t="shared" si="0"/>
        <v>2075</v>
      </c>
      <c r="H40" s="57">
        <v>2075</v>
      </c>
      <c r="I40" s="3"/>
      <c r="J40" s="57">
        <v>3567</v>
      </c>
      <c r="K40" s="11" t="s">
        <v>287</v>
      </c>
      <c r="L40" s="57"/>
      <c r="M40" s="11"/>
      <c r="N40" s="57"/>
      <c r="O40" s="11"/>
      <c r="P40" s="57"/>
      <c r="Q40" s="11"/>
      <c r="R40" s="57"/>
      <c r="S40" s="11"/>
      <c r="T40" s="13"/>
    </row>
    <row r="41" spans="3:20" ht="18.95" customHeight="1" x14ac:dyDescent="0.15">
      <c r="C41" s="14" t="s">
        <v>288</v>
      </c>
      <c r="D41" s="13" t="s">
        <v>285</v>
      </c>
      <c r="E41" s="13" t="s">
        <v>289</v>
      </c>
      <c r="F41" s="10" t="s">
        <v>190</v>
      </c>
      <c r="G41" s="62">
        <f t="shared" si="0"/>
        <v>2163</v>
      </c>
      <c r="H41" s="57">
        <v>2163</v>
      </c>
      <c r="I41" s="3"/>
      <c r="J41" s="57">
        <v>4251</v>
      </c>
      <c r="K41" s="11" t="s">
        <v>287</v>
      </c>
      <c r="L41" s="57"/>
      <c r="M41" s="11"/>
      <c r="N41" s="57"/>
      <c r="O41" s="11"/>
      <c r="P41" s="57"/>
      <c r="Q41" s="11"/>
      <c r="R41" s="57"/>
      <c r="S41" s="11"/>
      <c r="T41" s="13"/>
    </row>
    <row r="42" spans="3:20" ht="18.95" customHeight="1" x14ac:dyDescent="0.15">
      <c r="C42" s="14" t="s">
        <v>290</v>
      </c>
      <c r="D42" s="13" t="s">
        <v>291</v>
      </c>
      <c r="E42" s="13" t="s">
        <v>292</v>
      </c>
      <c r="F42" s="10" t="s">
        <v>238</v>
      </c>
      <c r="G42" s="62">
        <f t="shared" si="0"/>
        <v>80000</v>
      </c>
      <c r="H42" s="57"/>
      <c r="I42" s="3"/>
      <c r="J42" s="57"/>
      <c r="K42" s="11"/>
      <c r="L42" s="57"/>
      <c r="M42" s="11"/>
      <c r="N42" s="57"/>
      <c r="O42" s="11"/>
      <c r="P42" s="57">
        <v>80000</v>
      </c>
      <c r="Q42" s="11" t="s">
        <v>191</v>
      </c>
      <c r="R42" s="57"/>
      <c r="S42" s="11"/>
      <c r="T42" s="13"/>
    </row>
    <row r="43" spans="3:20" ht="18.95" hidden="1" customHeight="1" x14ac:dyDescent="0.15">
      <c r="C43" s="14" t="s">
        <v>293</v>
      </c>
      <c r="D43" s="13" t="s">
        <v>294</v>
      </c>
      <c r="E43" s="13" t="s">
        <v>295</v>
      </c>
      <c r="F43" s="10" t="s">
        <v>190</v>
      </c>
      <c r="G43" s="62">
        <f t="shared" si="0"/>
        <v>5000</v>
      </c>
      <c r="H43" s="57"/>
      <c r="I43" s="3"/>
      <c r="J43" s="57"/>
      <c r="K43" s="11"/>
      <c r="L43" s="57">
        <v>5000</v>
      </c>
      <c r="M43" s="11"/>
      <c r="N43" s="57"/>
      <c r="O43" s="11"/>
      <c r="P43" s="57"/>
      <c r="Q43" s="11"/>
      <c r="R43" s="57"/>
      <c r="S43" s="11"/>
      <c r="T43" s="13"/>
    </row>
    <row r="44" spans="3:20" ht="18.95" customHeight="1" x14ac:dyDescent="0.15">
      <c r="C44" s="14" t="s">
        <v>296</v>
      </c>
      <c r="D44" s="13" t="s">
        <v>294</v>
      </c>
      <c r="E44" s="13" t="s">
        <v>297</v>
      </c>
      <c r="F44" s="10" t="s">
        <v>190</v>
      </c>
      <c r="G44" s="62">
        <f t="shared" si="0"/>
        <v>1000</v>
      </c>
      <c r="H44" s="57"/>
      <c r="I44" s="3"/>
      <c r="J44" s="57"/>
      <c r="K44" s="11"/>
      <c r="L44" s="57">
        <v>1000</v>
      </c>
      <c r="M44" s="11"/>
      <c r="N44" s="57"/>
      <c r="O44" s="11"/>
      <c r="P44" s="57"/>
      <c r="Q44" s="11"/>
      <c r="R44" s="57"/>
      <c r="S44" s="11"/>
      <c r="T44" s="13"/>
    </row>
    <row r="45" spans="3:20" ht="18.95" customHeight="1" x14ac:dyDescent="0.15">
      <c r="C45" s="14" t="s">
        <v>298</v>
      </c>
      <c r="D45" s="13" t="s">
        <v>299</v>
      </c>
      <c r="E45" s="13" t="s">
        <v>300</v>
      </c>
      <c r="F45" s="10" t="s">
        <v>238</v>
      </c>
      <c r="G45" s="62">
        <f t="shared" si="0"/>
        <v>43300</v>
      </c>
      <c r="H45" s="57"/>
      <c r="I45" s="3"/>
      <c r="J45" s="57">
        <v>44900</v>
      </c>
      <c r="K45" s="11" t="s">
        <v>301</v>
      </c>
      <c r="L45" s="57">
        <v>43300</v>
      </c>
      <c r="M45" s="11" t="s">
        <v>302</v>
      </c>
      <c r="N45" s="57"/>
      <c r="O45" s="11"/>
      <c r="P45" s="57"/>
      <c r="Q45" s="11"/>
      <c r="R45" s="57"/>
      <c r="S45" s="11"/>
      <c r="T45" s="13"/>
    </row>
    <row r="46" spans="3:20" ht="18.95" customHeight="1" x14ac:dyDescent="0.15">
      <c r="C46" s="14" t="s">
        <v>303</v>
      </c>
      <c r="D46" s="13" t="s">
        <v>304</v>
      </c>
      <c r="E46" s="13" t="s">
        <v>305</v>
      </c>
      <c r="F46" s="10" t="s">
        <v>238</v>
      </c>
      <c r="G46" s="62">
        <f t="shared" si="0"/>
        <v>87800</v>
      </c>
      <c r="H46" s="57"/>
      <c r="I46" s="3"/>
      <c r="J46" s="57">
        <v>91100</v>
      </c>
      <c r="K46" s="11" t="s">
        <v>301</v>
      </c>
      <c r="L46" s="57">
        <v>87800</v>
      </c>
      <c r="M46" s="11" t="s">
        <v>302</v>
      </c>
      <c r="N46" s="57"/>
      <c r="O46" s="11"/>
      <c r="P46" s="57"/>
      <c r="Q46" s="11"/>
      <c r="R46" s="57"/>
      <c r="S46" s="11"/>
      <c r="T46" s="13"/>
    </row>
    <row r="47" spans="3:20" ht="18.95" customHeight="1" x14ac:dyDescent="0.15">
      <c r="C47" s="14" t="s">
        <v>306</v>
      </c>
      <c r="D47" s="13" t="s">
        <v>307</v>
      </c>
      <c r="E47" s="13" t="s">
        <v>308</v>
      </c>
      <c r="F47" s="10" t="s">
        <v>238</v>
      </c>
      <c r="G47" s="62">
        <f t="shared" si="0"/>
        <v>18000</v>
      </c>
      <c r="H47" s="57"/>
      <c r="I47" s="3"/>
      <c r="J47" s="57">
        <v>18000</v>
      </c>
      <c r="K47" s="11" t="s">
        <v>309</v>
      </c>
      <c r="L47" s="57">
        <v>18600</v>
      </c>
      <c r="M47" s="11" t="s">
        <v>310</v>
      </c>
      <c r="N47" s="57"/>
      <c r="O47" s="11"/>
      <c r="P47" s="57">
        <v>18000</v>
      </c>
      <c r="Q47" s="11" t="s">
        <v>1097</v>
      </c>
      <c r="R47" s="57"/>
      <c r="S47" s="11"/>
      <c r="T47" s="13"/>
    </row>
    <row r="48" spans="3:20" ht="18.95" customHeight="1" x14ac:dyDescent="0.15">
      <c r="C48" s="14" t="s">
        <v>311</v>
      </c>
      <c r="D48" s="13" t="s">
        <v>312</v>
      </c>
      <c r="E48" s="13" t="s">
        <v>313</v>
      </c>
      <c r="F48" s="10" t="s">
        <v>190</v>
      </c>
      <c r="G48" s="62">
        <f t="shared" si="0"/>
        <v>101</v>
      </c>
      <c r="H48" s="57">
        <v>101</v>
      </c>
      <c r="I48" s="3"/>
      <c r="J48" s="57">
        <v>133</v>
      </c>
      <c r="K48" s="11" t="s">
        <v>314</v>
      </c>
      <c r="L48" s="57">
        <v>262</v>
      </c>
      <c r="M48" s="11" t="s">
        <v>315</v>
      </c>
      <c r="N48" s="57"/>
      <c r="O48" s="11"/>
      <c r="P48" s="57"/>
      <c r="Q48" s="11"/>
      <c r="R48" s="57"/>
      <c r="S48" s="11"/>
      <c r="T48" s="13"/>
    </row>
    <row r="49" spans="3:20" ht="18.95" customHeight="1" x14ac:dyDescent="0.15">
      <c r="C49" s="14" t="s">
        <v>316</v>
      </c>
      <c r="D49" s="13" t="s">
        <v>312</v>
      </c>
      <c r="E49" s="13" t="s">
        <v>317</v>
      </c>
      <c r="F49" s="10" t="s">
        <v>190</v>
      </c>
      <c r="G49" s="62">
        <f t="shared" si="0"/>
        <v>128</v>
      </c>
      <c r="H49" s="57">
        <v>128</v>
      </c>
      <c r="I49" s="3"/>
      <c r="J49" s="57">
        <v>200</v>
      </c>
      <c r="K49" s="11" t="s">
        <v>314</v>
      </c>
      <c r="L49" s="57">
        <v>668</v>
      </c>
      <c r="M49" s="11" t="s">
        <v>315</v>
      </c>
      <c r="N49" s="57"/>
      <c r="O49" s="11"/>
      <c r="P49" s="57"/>
      <c r="Q49" s="11"/>
      <c r="R49" s="57"/>
      <c r="S49" s="11"/>
      <c r="T49" s="13"/>
    </row>
    <row r="50" spans="3:20" ht="18.95" customHeight="1" x14ac:dyDescent="0.15">
      <c r="C50" s="14" t="s">
        <v>318</v>
      </c>
      <c r="D50" s="13" t="s">
        <v>312</v>
      </c>
      <c r="E50" s="13" t="s">
        <v>319</v>
      </c>
      <c r="F50" s="10" t="s">
        <v>190</v>
      </c>
      <c r="G50" s="62">
        <f t="shared" si="0"/>
        <v>191</v>
      </c>
      <c r="H50" s="57">
        <v>191</v>
      </c>
      <c r="I50" s="3"/>
      <c r="J50" s="57">
        <v>260</v>
      </c>
      <c r="K50" s="11" t="s">
        <v>314</v>
      </c>
      <c r="L50" s="57">
        <v>818</v>
      </c>
      <c r="M50" s="11" t="s">
        <v>315</v>
      </c>
      <c r="N50" s="57"/>
      <c r="O50" s="11"/>
      <c r="P50" s="57"/>
      <c r="Q50" s="11"/>
      <c r="R50" s="57"/>
      <c r="S50" s="11"/>
      <c r="T50" s="13"/>
    </row>
    <row r="51" spans="3:20" ht="18.95" customHeight="1" x14ac:dyDescent="0.15">
      <c r="C51" s="14" t="s">
        <v>320</v>
      </c>
      <c r="D51" s="13" t="s">
        <v>312</v>
      </c>
      <c r="E51" s="13" t="s">
        <v>321</v>
      </c>
      <c r="F51" s="10" t="s">
        <v>190</v>
      </c>
      <c r="G51" s="62">
        <f t="shared" si="0"/>
        <v>247</v>
      </c>
      <c r="H51" s="57">
        <v>247</v>
      </c>
      <c r="I51" s="3"/>
      <c r="J51" s="57">
        <v>316</v>
      </c>
      <c r="K51" s="11" t="s">
        <v>314</v>
      </c>
      <c r="L51" s="57">
        <v>1040</v>
      </c>
      <c r="M51" s="11" t="s">
        <v>315</v>
      </c>
      <c r="N51" s="57"/>
      <c r="O51" s="11"/>
      <c r="P51" s="57"/>
      <c r="Q51" s="11"/>
      <c r="R51" s="57"/>
      <c r="S51" s="11"/>
      <c r="T51" s="13"/>
    </row>
    <row r="52" spans="3:20" ht="18.95" customHeight="1" x14ac:dyDescent="0.15">
      <c r="C52" s="14" t="s">
        <v>322</v>
      </c>
      <c r="D52" s="13" t="s">
        <v>323</v>
      </c>
      <c r="E52" s="13" t="s">
        <v>324</v>
      </c>
      <c r="F52" s="10" t="s">
        <v>190</v>
      </c>
      <c r="G52" s="62">
        <f t="shared" si="0"/>
        <v>376</v>
      </c>
      <c r="H52" s="57"/>
      <c r="I52" s="3"/>
      <c r="J52" s="57"/>
      <c r="K52" s="11"/>
      <c r="L52" s="57">
        <v>376</v>
      </c>
      <c r="M52" s="11" t="s">
        <v>325</v>
      </c>
      <c r="N52" s="57"/>
      <c r="O52" s="11"/>
      <c r="P52" s="57"/>
      <c r="Q52" s="11"/>
      <c r="R52" s="57"/>
      <c r="S52" s="11"/>
      <c r="T52" s="13"/>
    </row>
    <row r="53" spans="3:20" ht="18.95" customHeight="1" x14ac:dyDescent="0.15">
      <c r="C53" s="14" t="s">
        <v>326</v>
      </c>
      <c r="D53" s="13" t="s">
        <v>323</v>
      </c>
      <c r="E53" s="13" t="s">
        <v>327</v>
      </c>
      <c r="F53" s="10" t="s">
        <v>190</v>
      </c>
      <c r="G53" s="62">
        <f t="shared" si="0"/>
        <v>602</v>
      </c>
      <c r="H53" s="57"/>
      <c r="I53" s="3"/>
      <c r="J53" s="57"/>
      <c r="K53" s="11"/>
      <c r="L53" s="57">
        <v>602</v>
      </c>
      <c r="M53" s="11" t="s">
        <v>325</v>
      </c>
      <c r="N53" s="57"/>
      <c r="O53" s="11"/>
      <c r="P53" s="57"/>
      <c r="Q53" s="11"/>
      <c r="R53" s="57"/>
      <c r="S53" s="11"/>
      <c r="T53" s="13"/>
    </row>
    <row r="54" spans="3:20" ht="18.95" customHeight="1" x14ac:dyDescent="0.15">
      <c r="C54" s="14" t="s">
        <v>328</v>
      </c>
      <c r="D54" s="13" t="s">
        <v>323</v>
      </c>
      <c r="E54" s="13" t="s">
        <v>329</v>
      </c>
      <c r="F54" s="10" t="s">
        <v>190</v>
      </c>
      <c r="G54" s="62">
        <f t="shared" si="0"/>
        <v>805</v>
      </c>
      <c r="H54" s="57"/>
      <c r="I54" s="3"/>
      <c r="J54" s="57"/>
      <c r="K54" s="11"/>
      <c r="L54" s="57">
        <v>805</v>
      </c>
      <c r="M54" s="11" t="s">
        <v>325</v>
      </c>
      <c r="N54" s="57"/>
      <c r="O54" s="11"/>
      <c r="P54" s="57"/>
      <c r="Q54" s="11"/>
      <c r="R54" s="57"/>
      <c r="S54" s="11"/>
      <c r="T54" s="13"/>
    </row>
    <row r="55" spans="3:20" ht="18.95" customHeight="1" x14ac:dyDescent="0.15">
      <c r="C55" s="14" t="s">
        <v>330</v>
      </c>
      <c r="D55" s="13" t="s">
        <v>331</v>
      </c>
      <c r="E55" s="13" t="s">
        <v>332</v>
      </c>
      <c r="F55" s="10" t="s">
        <v>190</v>
      </c>
      <c r="G55" s="62">
        <f t="shared" si="0"/>
        <v>232</v>
      </c>
      <c r="H55" s="57"/>
      <c r="I55" s="3"/>
      <c r="J55" s="57">
        <v>270</v>
      </c>
      <c r="K55" s="11" t="s">
        <v>333</v>
      </c>
      <c r="L55" s="57">
        <v>232</v>
      </c>
      <c r="M55" s="11"/>
      <c r="N55" s="57"/>
      <c r="O55" s="11"/>
      <c r="P55" s="57"/>
      <c r="Q55" s="11"/>
      <c r="R55" s="57"/>
      <c r="S55" s="11"/>
      <c r="T55" s="13"/>
    </row>
    <row r="56" spans="3:20" ht="18.95" customHeight="1" x14ac:dyDescent="0.15">
      <c r="C56" s="14" t="s">
        <v>334</v>
      </c>
      <c r="D56" s="13" t="s">
        <v>335</v>
      </c>
      <c r="E56" s="13" t="s">
        <v>336</v>
      </c>
      <c r="F56" s="10" t="s">
        <v>190</v>
      </c>
      <c r="G56" s="62">
        <f t="shared" si="0"/>
        <v>28</v>
      </c>
      <c r="H56" s="57"/>
      <c r="I56" s="3"/>
      <c r="J56" s="57"/>
      <c r="K56" s="11"/>
      <c r="L56" s="57">
        <v>28</v>
      </c>
      <c r="M56" s="11" t="s">
        <v>337</v>
      </c>
      <c r="N56" s="57"/>
      <c r="O56" s="11"/>
      <c r="P56" s="57"/>
      <c r="Q56" s="11"/>
      <c r="R56" s="57"/>
      <c r="S56" s="11"/>
      <c r="T56" s="13"/>
    </row>
    <row r="57" spans="3:20" ht="18.95" customHeight="1" x14ac:dyDescent="0.15">
      <c r="C57" s="14" t="s">
        <v>338</v>
      </c>
      <c r="D57" s="13" t="s">
        <v>339</v>
      </c>
      <c r="E57" s="13" t="s">
        <v>340</v>
      </c>
      <c r="F57" s="10" t="s">
        <v>238</v>
      </c>
      <c r="G57" s="62">
        <f t="shared" si="0"/>
        <v>9</v>
      </c>
      <c r="H57" s="57"/>
      <c r="I57" s="3"/>
      <c r="J57" s="57"/>
      <c r="K57" s="11"/>
      <c r="L57" s="57">
        <v>9</v>
      </c>
      <c r="M57" s="11" t="s">
        <v>341</v>
      </c>
      <c r="N57" s="57"/>
      <c r="O57" s="11"/>
      <c r="P57" s="57"/>
      <c r="Q57" s="11"/>
      <c r="R57" s="57"/>
      <c r="S57" s="11"/>
      <c r="T57" s="13"/>
    </row>
    <row r="58" spans="3:20" ht="18.95" hidden="1" customHeight="1" x14ac:dyDescent="0.15">
      <c r="C58" s="14" t="s">
        <v>342</v>
      </c>
      <c r="D58" s="13" t="s">
        <v>343</v>
      </c>
      <c r="E58" s="13" t="s">
        <v>344</v>
      </c>
      <c r="F58" s="10" t="s">
        <v>345</v>
      </c>
      <c r="G58" s="62">
        <f t="shared" si="0"/>
        <v>4132876</v>
      </c>
      <c r="H58" s="57"/>
      <c r="I58" s="3"/>
      <c r="J58" s="57"/>
      <c r="K58" s="11"/>
      <c r="L58" s="57"/>
      <c r="M58" s="11"/>
      <c r="N58" s="57"/>
      <c r="O58" s="11"/>
      <c r="P58" s="57">
        <v>4132876</v>
      </c>
      <c r="Q58" s="11" t="s">
        <v>346</v>
      </c>
      <c r="R58" s="57"/>
      <c r="S58" s="11"/>
      <c r="T58" s="13"/>
    </row>
    <row r="59" spans="3:20" ht="18.95" hidden="1" customHeight="1" x14ac:dyDescent="0.15">
      <c r="C59" s="14" t="s">
        <v>347</v>
      </c>
      <c r="D59" s="13" t="s">
        <v>348</v>
      </c>
      <c r="E59" s="13" t="s">
        <v>349</v>
      </c>
      <c r="F59" s="10" t="s">
        <v>238</v>
      </c>
      <c r="G59" s="62">
        <f t="shared" si="0"/>
        <v>0</v>
      </c>
      <c r="H59" s="57"/>
      <c r="I59" s="3"/>
      <c r="J59" s="57"/>
      <c r="K59" s="11"/>
      <c r="L59" s="57"/>
      <c r="M59" s="11"/>
      <c r="N59" s="57"/>
      <c r="O59" s="11"/>
      <c r="P59" s="57"/>
      <c r="Q59" s="11"/>
      <c r="R59" s="57"/>
      <c r="S59" s="11"/>
      <c r="T59" s="13"/>
    </row>
    <row r="60" spans="3:20" ht="18.95" customHeight="1" x14ac:dyDescent="0.15">
      <c r="C60" s="14" t="s">
        <v>350</v>
      </c>
      <c r="D60" s="13" t="s">
        <v>351</v>
      </c>
      <c r="E60" s="13" t="s">
        <v>352</v>
      </c>
      <c r="F60" s="10" t="s">
        <v>238</v>
      </c>
      <c r="G60" s="62">
        <f t="shared" si="0"/>
        <v>400</v>
      </c>
      <c r="H60" s="57"/>
      <c r="I60" s="3"/>
      <c r="J60" s="57">
        <v>400</v>
      </c>
      <c r="K60" s="11" t="s">
        <v>198</v>
      </c>
      <c r="L60" s="57"/>
      <c r="M60" s="11"/>
      <c r="N60" s="57">
        <v>400</v>
      </c>
      <c r="O60" s="11" t="s">
        <v>353</v>
      </c>
      <c r="P60" s="57"/>
      <c r="Q60" s="11"/>
      <c r="R60" s="57"/>
      <c r="S60" s="11"/>
      <c r="T60" s="13"/>
    </row>
    <row r="61" spans="3:20" ht="18.95" hidden="1" customHeight="1" x14ac:dyDescent="0.15">
      <c r="C61" s="14" t="s">
        <v>354</v>
      </c>
      <c r="D61" s="13" t="s">
        <v>355</v>
      </c>
      <c r="E61" s="13" t="s">
        <v>356</v>
      </c>
      <c r="F61" s="10" t="s">
        <v>172</v>
      </c>
      <c r="G61" s="62">
        <f t="shared" si="0"/>
        <v>0</v>
      </c>
      <c r="H61" s="57"/>
      <c r="I61" s="3"/>
      <c r="J61" s="57"/>
      <c r="K61" s="11"/>
      <c r="L61" s="57"/>
      <c r="M61" s="11"/>
      <c r="N61" s="57"/>
      <c r="O61" s="11"/>
      <c r="P61" s="57"/>
      <c r="Q61" s="11"/>
      <c r="R61" s="57"/>
      <c r="S61" s="11"/>
      <c r="T61" s="13"/>
    </row>
    <row r="62" spans="3:20" ht="18.95" hidden="1" customHeight="1" x14ac:dyDescent="0.15">
      <c r="C62" s="14" t="s">
        <v>357</v>
      </c>
      <c r="D62" s="13" t="s">
        <v>358</v>
      </c>
      <c r="E62" s="13" t="s">
        <v>359</v>
      </c>
      <c r="F62" s="10" t="s">
        <v>345</v>
      </c>
      <c r="G62" s="62">
        <f t="shared" si="0"/>
        <v>1697532</v>
      </c>
      <c r="H62" s="57"/>
      <c r="I62" s="3"/>
      <c r="J62" s="57"/>
      <c r="K62" s="11"/>
      <c r="L62" s="57"/>
      <c r="M62" s="11"/>
      <c r="N62" s="57"/>
      <c r="O62" s="11"/>
      <c r="P62" s="57">
        <v>1697532</v>
      </c>
      <c r="Q62" s="11" t="s">
        <v>346</v>
      </c>
      <c r="R62" s="57"/>
      <c r="S62" s="11"/>
      <c r="T62" s="13"/>
    </row>
    <row r="63" spans="3:20" ht="18.95" hidden="1" customHeight="1" x14ac:dyDescent="0.15">
      <c r="C63" s="14" t="s">
        <v>360</v>
      </c>
      <c r="D63" s="13" t="s">
        <v>361</v>
      </c>
      <c r="E63" s="13" t="s">
        <v>362</v>
      </c>
      <c r="F63" s="10" t="s">
        <v>345</v>
      </c>
      <c r="G63" s="62">
        <f t="shared" si="0"/>
        <v>1227418</v>
      </c>
      <c r="H63" s="57"/>
      <c r="I63" s="3"/>
      <c r="J63" s="57"/>
      <c r="K63" s="11"/>
      <c r="L63" s="57"/>
      <c r="M63" s="11"/>
      <c r="N63" s="57"/>
      <c r="O63" s="11"/>
      <c r="P63" s="57">
        <v>1227418</v>
      </c>
      <c r="Q63" s="11" t="s">
        <v>346</v>
      </c>
      <c r="R63" s="57"/>
      <c r="S63" s="11"/>
      <c r="T63" s="13"/>
    </row>
    <row r="64" spans="3:20" ht="18.95" hidden="1" customHeight="1" x14ac:dyDescent="0.15">
      <c r="C64" s="14" t="s">
        <v>363</v>
      </c>
      <c r="D64" s="13" t="s">
        <v>364</v>
      </c>
      <c r="E64" s="13" t="s">
        <v>365</v>
      </c>
      <c r="F64" s="10" t="s">
        <v>345</v>
      </c>
      <c r="G64" s="62">
        <f t="shared" si="0"/>
        <v>4000000</v>
      </c>
      <c r="H64" s="57"/>
      <c r="I64" s="3"/>
      <c r="J64" s="57"/>
      <c r="K64" s="11"/>
      <c r="L64" s="57"/>
      <c r="M64" s="11"/>
      <c r="N64" s="57"/>
      <c r="O64" s="11"/>
      <c r="P64" s="57">
        <v>4000000</v>
      </c>
      <c r="Q64" s="11" t="s">
        <v>346</v>
      </c>
      <c r="R64" s="57"/>
      <c r="S64" s="11"/>
      <c r="T64" s="13"/>
    </row>
    <row r="65" spans="3:20" ht="18.95" hidden="1" customHeight="1" x14ac:dyDescent="0.15">
      <c r="C65" s="14" t="s">
        <v>366</v>
      </c>
      <c r="D65" s="13" t="s">
        <v>367</v>
      </c>
      <c r="E65" s="13" t="s">
        <v>359</v>
      </c>
      <c r="F65" s="10" t="s">
        <v>345</v>
      </c>
      <c r="G65" s="62">
        <f t="shared" si="0"/>
        <v>1697532</v>
      </c>
      <c r="H65" s="57"/>
      <c r="I65" s="3"/>
      <c r="J65" s="57"/>
      <c r="K65" s="11"/>
      <c r="L65" s="57"/>
      <c r="M65" s="11"/>
      <c r="N65" s="57"/>
      <c r="O65" s="11"/>
      <c r="P65" s="57">
        <v>1697532</v>
      </c>
      <c r="Q65" s="11" t="s">
        <v>346</v>
      </c>
      <c r="R65" s="57"/>
      <c r="S65" s="11"/>
      <c r="T65" s="13"/>
    </row>
    <row r="66" spans="3:20" ht="18.95" hidden="1" customHeight="1" x14ac:dyDescent="0.15">
      <c r="C66" s="14" t="s">
        <v>368</v>
      </c>
      <c r="D66" s="13" t="s">
        <v>369</v>
      </c>
      <c r="E66" s="13" t="s">
        <v>370</v>
      </c>
      <c r="F66" s="10" t="s">
        <v>345</v>
      </c>
      <c r="G66" s="62">
        <f t="shared" si="0"/>
        <v>1697532</v>
      </c>
      <c r="H66" s="57"/>
      <c r="I66" s="3"/>
      <c r="J66" s="57"/>
      <c r="K66" s="11"/>
      <c r="L66" s="57"/>
      <c r="M66" s="11"/>
      <c r="N66" s="57"/>
      <c r="O66" s="11"/>
      <c r="P66" s="57">
        <v>1697532</v>
      </c>
      <c r="Q66" s="11" t="s">
        <v>346</v>
      </c>
      <c r="R66" s="57"/>
      <c r="S66" s="11"/>
      <c r="T66" s="13"/>
    </row>
    <row r="67" spans="3:20" ht="18.95" hidden="1" customHeight="1" x14ac:dyDescent="0.15">
      <c r="C67" s="14" t="s">
        <v>371</v>
      </c>
      <c r="D67" s="13" t="s">
        <v>372</v>
      </c>
      <c r="E67" s="13" t="s">
        <v>370</v>
      </c>
      <c r="F67" s="10" t="s">
        <v>345</v>
      </c>
      <c r="G67" s="62">
        <f t="shared" si="0"/>
        <v>1697532</v>
      </c>
      <c r="H67" s="57"/>
      <c r="I67" s="3"/>
      <c r="J67" s="57"/>
      <c r="K67" s="11"/>
      <c r="L67" s="57"/>
      <c r="M67" s="11"/>
      <c r="N67" s="57"/>
      <c r="O67" s="11"/>
      <c r="P67" s="57">
        <v>1697532</v>
      </c>
      <c r="Q67" s="11" t="s">
        <v>346</v>
      </c>
      <c r="R67" s="57"/>
      <c r="S67" s="11"/>
      <c r="T67" s="13"/>
    </row>
    <row r="68" spans="3:20" ht="18.95" hidden="1" customHeight="1" x14ac:dyDescent="0.15">
      <c r="C68" s="14" t="s">
        <v>373</v>
      </c>
      <c r="D68" s="13" t="s">
        <v>374</v>
      </c>
      <c r="E68" s="13" t="s">
        <v>375</v>
      </c>
      <c r="F68" s="10" t="s">
        <v>345</v>
      </c>
      <c r="G68" s="62">
        <f t="shared" si="0"/>
        <v>1697532</v>
      </c>
      <c r="H68" s="57"/>
      <c r="I68" s="3"/>
      <c r="J68" s="57"/>
      <c r="K68" s="11"/>
      <c r="L68" s="57"/>
      <c r="M68" s="11"/>
      <c r="N68" s="57"/>
      <c r="O68" s="11"/>
      <c r="P68" s="57">
        <v>1697532</v>
      </c>
      <c r="Q68" s="11" t="s">
        <v>346</v>
      </c>
      <c r="R68" s="57"/>
      <c r="S68" s="11"/>
      <c r="T68" s="13"/>
    </row>
    <row r="69" spans="3:20" ht="18.95" customHeight="1" x14ac:dyDescent="0.15">
      <c r="C69" s="14" t="s">
        <v>376</v>
      </c>
      <c r="D69" s="13" t="s">
        <v>377</v>
      </c>
      <c r="E69" s="13" t="s">
        <v>378</v>
      </c>
      <c r="F69" s="10" t="s">
        <v>345</v>
      </c>
      <c r="G69" s="62">
        <f t="shared" ref="G69:G102" si="1">MIN(H69,J69,L69,N69,P69)</f>
        <v>10000</v>
      </c>
      <c r="H69" s="57"/>
      <c r="I69" s="3"/>
      <c r="J69" s="57"/>
      <c r="K69" s="11"/>
      <c r="L69" s="57"/>
      <c r="M69" s="11"/>
      <c r="N69" s="57"/>
      <c r="O69" s="11"/>
      <c r="P69" s="57">
        <v>10000</v>
      </c>
      <c r="Q69" s="11" t="s">
        <v>379</v>
      </c>
      <c r="R69" s="57"/>
      <c r="S69" s="11"/>
      <c r="T69" s="13"/>
    </row>
    <row r="70" spans="3:20" ht="18.95" hidden="1" customHeight="1" x14ac:dyDescent="0.15">
      <c r="C70" s="14" t="s">
        <v>380</v>
      </c>
      <c r="D70" s="13" t="s">
        <v>381</v>
      </c>
      <c r="E70" s="13" t="s">
        <v>343</v>
      </c>
      <c r="F70" s="10" t="s">
        <v>345</v>
      </c>
      <c r="G70" s="62">
        <f t="shared" si="1"/>
        <v>0</v>
      </c>
      <c r="H70" s="57"/>
      <c r="I70" s="3"/>
      <c r="J70" s="57"/>
      <c r="K70" s="11"/>
      <c r="L70" s="57"/>
      <c r="M70" s="11"/>
      <c r="N70" s="57"/>
      <c r="O70" s="11"/>
      <c r="P70" s="57"/>
      <c r="Q70" s="11"/>
      <c r="R70" s="57"/>
      <c r="S70" s="11"/>
      <c r="T70" s="13"/>
    </row>
    <row r="71" spans="3:20" ht="18.95" hidden="1" customHeight="1" x14ac:dyDescent="0.15">
      <c r="C71" s="14" t="s">
        <v>382</v>
      </c>
      <c r="D71" s="13" t="s">
        <v>381</v>
      </c>
      <c r="E71" s="13" t="s">
        <v>383</v>
      </c>
      <c r="F71" s="10" t="s">
        <v>345</v>
      </c>
      <c r="G71" s="62">
        <f t="shared" si="1"/>
        <v>0</v>
      </c>
      <c r="H71" s="57"/>
      <c r="I71" s="3"/>
      <c r="J71" s="57"/>
      <c r="K71" s="11"/>
      <c r="L71" s="57"/>
      <c r="M71" s="11"/>
      <c r="N71" s="57"/>
      <c r="O71" s="11"/>
      <c r="P71" s="57"/>
      <c r="Q71" s="11"/>
      <c r="R71" s="57"/>
      <c r="S71" s="11"/>
      <c r="T71" s="13"/>
    </row>
    <row r="72" spans="3:20" ht="18.95" hidden="1" customHeight="1" x14ac:dyDescent="0.15">
      <c r="C72" s="14" t="s">
        <v>384</v>
      </c>
      <c r="D72" s="13" t="s">
        <v>381</v>
      </c>
      <c r="E72" s="13" t="s">
        <v>385</v>
      </c>
      <c r="F72" s="10" t="s">
        <v>345</v>
      </c>
      <c r="G72" s="62">
        <f t="shared" si="1"/>
        <v>0</v>
      </c>
      <c r="H72" s="57"/>
      <c r="I72" s="3"/>
      <c r="J72" s="57"/>
      <c r="K72" s="11"/>
      <c r="L72" s="57"/>
      <c r="M72" s="11"/>
      <c r="N72" s="57"/>
      <c r="O72" s="11"/>
      <c r="P72" s="57"/>
      <c r="Q72" s="11"/>
      <c r="R72" s="57"/>
      <c r="S72" s="11"/>
      <c r="T72" s="13"/>
    </row>
    <row r="73" spans="3:20" ht="18.95" hidden="1" customHeight="1" x14ac:dyDescent="0.15">
      <c r="C73" s="14" t="s">
        <v>386</v>
      </c>
      <c r="D73" s="13" t="s">
        <v>381</v>
      </c>
      <c r="E73" s="13" t="s">
        <v>387</v>
      </c>
      <c r="F73" s="10" t="s">
        <v>345</v>
      </c>
      <c r="G73" s="62">
        <f t="shared" si="1"/>
        <v>0</v>
      </c>
      <c r="H73" s="57"/>
      <c r="I73" s="3"/>
      <c r="J73" s="57"/>
      <c r="K73" s="11"/>
      <c r="L73" s="57"/>
      <c r="M73" s="11"/>
      <c r="N73" s="57"/>
      <c r="O73" s="11"/>
      <c r="P73" s="57"/>
      <c r="Q73" s="11"/>
      <c r="R73" s="57"/>
      <c r="S73" s="11"/>
      <c r="T73" s="13"/>
    </row>
    <row r="74" spans="3:20" ht="18.95" hidden="1" customHeight="1" x14ac:dyDescent="0.15">
      <c r="C74" s="14" t="s">
        <v>388</v>
      </c>
      <c r="D74" s="13" t="s">
        <v>381</v>
      </c>
      <c r="E74" s="13" t="s">
        <v>389</v>
      </c>
      <c r="F74" s="10" t="s">
        <v>345</v>
      </c>
      <c r="G74" s="62">
        <f t="shared" si="1"/>
        <v>0</v>
      </c>
      <c r="H74" s="57"/>
      <c r="I74" s="3"/>
      <c r="J74" s="57"/>
      <c r="K74" s="11"/>
      <c r="L74" s="57"/>
      <c r="M74" s="11"/>
      <c r="N74" s="57"/>
      <c r="O74" s="11"/>
      <c r="P74" s="57"/>
      <c r="Q74" s="11"/>
      <c r="R74" s="57"/>
      <c r="S74" s="11"/>
      <c r="T74" s="13"/>
    </row>
    <row r="75" spans="3:20" ht="18.95" hidden="1" customHeight="1" x14ac:dyDescent="0.15">
      <c r="C75" s="14" t="s">
        <v>390</v>
      </c>
      <c r="D75" s="13" t="s">
        <v>381</v>
      </c>
      <c r="E75" s="13" t="s">
        <v>391</v>
      </c>
      <c r="F75" s="10" t="s">
        <v>345</v>
      </c>
      <c r="G75" s="62">
        <f t="shared" si="1"/>
        <v>0</v>
      </c>
      <c r="H75" s="57"/>
      <c r="I75" s="3"/>
      <c r="J75" s="57"/>
      <c r="K75" s="11"/>
      <c r="L75" s="57"/>
      <c r="M75" s="11"/>
      <c r="N75" s="57"/>
      <c r="O75" s="11"/>
      <c r="P75" s="57"/>
      <c r="Q75" s="11"/>
      <c r="R75" s="57"/>
      <c r="S75" s="11"/>
      <c r="T75" s="13"/>
    </row>
    <row r="76" spans="3:20" ht="18.95" hidden="1" customHeight="1" x14ac:dyDescent="0.15">
      <c r="C76" s="14" t="s">
        <v>392</v>
      </c>
      <c r="D76" s="13" t="s">
        <v>381</v>
      </c>
      <c r="E76" s="13" t="s">
        <v>393</v>
      </c>
      <c r="F76" s="10" t="s">
        <v>345</v>
      </c>
      <c r="G76" s="62">
        <f t="shared" si="1"/>
        <v>0</v>
      </c>
      <c r="H76" s="57"/>
      <c r="I76" s="3"/>
      <c r="J76" s="57"/>
      <c r="K76" s="11"/>
      <c r="L76" s="57"/>
      <c r="M76" s="11"/>
      <c r="N76" s="57"/>
      <c r="O76" s="11"/>
      <c r="P76" s="57"/>
      <c r="Q76" s="11"/>
      <c r="R76" s="57"/>
      <c r="S76" s="11"/>
      <c r="T76" s="13"/>
    </row>
    <row r="77" spans="3:20" ht="18.95" hidden="1" customHeight="1" x14ac:dyDescent="0.15">
      <c r="C77" s="14" t="s">
        <v>394</v>
      </c>
      <c r="D77" s="13" t="s">
        <v>381</v>
      </c>
      <c r="E77" s="13" t="s">
        <v>395</v>
      </c>
      <c r="F77" s="10" t="s">
        <v>345</v>
      </c>
      <c r="G77" s="62">
        <f t="shared" si="1"/>
        <v>0</v>
      </c>
      <c r="H77" s="57"/>
      <c r="I77" s="3"/>
      <c r="J77" s="57"/>
      <c r="K77" s="11"/>
      <c r="L77" s="57"/>
      <c r="M77" s="11"/>
      <c r="N77" s="57"/>
      <c r="O77" s="11"/>
      <c r="P77" s="57"/>
      <c r="Q77" s="11"/>
      <c r="R77" s="57"/>
      <c r="S77" s="11"/>
      <c r="T77" s="13"/>
    </row>
    <row r="78" spans="3:20" ht="18.95" hidden="1" customHeight="1" x14ac:dyDescent="0.15">
      <c r="C78" s="14" t="s">
        <v>396</v>
      </c>
      <c r="D78" s="13" t="s">
        <v>381</v>
      </c>
      <c r="E78" s="13" t="s">
        <v>397</v>
      </c>
      <c r="F78" s="10" t="s">
        <v>345</v>
      </c>
      <c r="G78" s="62">
        <f t="shared" si="1"/>
        <v>0</v>
      </c>
      <c r="H78" s="57"/>
      <c r="I78" s="3"/>
      <c r="J78" s="57"/>
      <c r="K78" s="11"/>
      <c r="L78" s="57"/>
      <c r="M78" s="11"/>
      <c r="N78" s="57"/>
      <c r="O78" s="11"/>
      <c r="P78" s="57"/>
      <c r="Q78" s="11"/>
      <c r="R78" s="57"/>
      <c r="S78" s="11"/>
      <c r="T78" s="13"/>
    </row>
    <row r="79" spans="3:20" ht="18.95" hidden="1" customHeight="1" x14ac:dyDescent="0.15">
      <c r="C79" s="14" t="s">
        <v>398</v>
      </c>
      <c r="D79" s="13" t="s">
        <v>381</v>
      </c>
      <c r="E79" s="13" t="s">
        <v>399</v>
      </c>
      <c r="F79" s="10" t="s">
        <v>345</v>
      </c>
      <c r="G79" s="62">
        <f t="shared" si="1"/>
        <v>0</v>
      </c>
      <c r="H79" s="57"/>
      <c r="I79" s="3"/>
      <c r="J79" s="57"/>
      <c r="K79" s="11"/>
      <c r="L79" s="57"/>
      <c r="M79" s="11"/>
      <c r="N79" s="57"/>
      <c r="O79" s="11"/>
      <c r="P79" s="57"/>
      <c r="Q79" s="11"/>
      <c r="R79" s="57"/>
      <c r="S79" s="11"/>
      <c r="T79" s="13"/>
    </row>
    <row r="80" spans="3:20" ht="18.95" hidden="1" customHeight="1" x14ac:dyDescent="0.15">
      <c r="C80" s="14" t="s">
        <v>400</v>
      </c>
      <c r="D80" s="13" t="s">
        <v>395</v>
      </c>
      <c r="E80" s="13" t="s">
        <v>401</v>
      </c>
      <c r="F80" s="10" t="s">
        <v>345</v>
      </c>
      <c r="G80" s="62">
        <f t="shared" si="1"/>
        <v>4429883</v>
      </c>
      <c r="H80" s="57"/>
      <c r="I80" s="3"/>
      <c r="J80" s="57"/>
      <c r="K80" s="11"/>
      <c r="L80" s="57"/>
      <c r="M80" s="11"/>
      <c r="N80" s="57"/>
      <c r="O80" s="11"/>
      <c r="P80" s="57">
        <v>4429883</v>
      </c>
      <c r="Q80" s="11" t="s">
        <v>346</v>
      </c>
      <c r="R80" s="57"/>
      <c r="S80" s="11"/>
      <c r="T80" s="13"/>
    </row>
    <row r="81" spans="3:20" ht="18.95" hidden="1" customHeight="1" x14ac:dyDescent="0.15">
      <c r="C81" s="14" t="s">
        <v>402</v>
      </c>
      <c r="D81" s="13" t="s">
        <v>397</v>
      </c>
      <c r="E81" s="13" t="s">
        <v>403</v>
      </c>
      <c r="F81" s="10" t="s">
        <v>345</v>
      </c>
      <c r="G81" s="62">
        <f t="shared" si="1"/>
        <v>7730960</v>
      </c>
      <c r="H81" s="57"/>
      <c r="I81" s="3"/>
      <c r="J81" s="57"/>
      <c r="K81" s="11"/>
      <c r="L81" s="57"/>
      <c r="M81" s="11"/>
      <c r="N81" s="57"/>
      <c r="O81" s="11"/>
      <c r="P81" s="57">
        <v>7730960</v>
      </c>
      <c r="Q81" s="11" t="s">
        <v>346</v>
      </c>
      <c r="R81" s="57"/>
      <c r="S81" s="11"/>
      <c r="T81" s="13"/>
    </row>
    <row r="82" spans="3:20" ht="18.95" hidden="1" customHeight="1" x14ac:dyDescent="0.15">
      <c r="C82" s="14" t="s">
        <v>404</v>
      </c>
      <c r="D82" s="13" t="s">
        <v>405</v>
      </c>
      <c r="E82" s="13" t="s">
        <v>406</v>
      </c>
      <c r="F82" s="10" t="s">
        <v>238</v>
      </c>
      <c r="G82" s="62">
        <f t="shared" si="1"/>
        <v>0</v>
      </c>
      <c r="H82" s="57"/>
      <c r="I82" s="3"/>
      <c r="J82" s="57"/>
      <c r="K82" s="11"/>
      <c r="L82" s="57"/>
      <c r="M82" s="11"/>
      <c r="N82" s="57"/>
      <c r="O82" s="11"/>
      <c r="P82" s="57"/>
      <c r="Q82" s="11"/>
      <c r="R82" s="57"/>
      <c r="S82" s="11"/>
      <c r="T82" s="13"/>
    </row>
    <row r="83" spans="3:20" ht="18.95" hidden="1" customHeight="1" x14ac:dyDescent="0.15">
      <c r="C83" s="14" t="s">
        <v>407</v>
      </c>
      <c r="D83" s="13" t="s">
        <v>405</v>
      </c>
      <c r="E83" s="13" t="s">
        <v>408</v>
      </c>
      <c r="F83" s="10" t="s">
        <v>238</v>
      </c>
      <c r="G83" s="62">
        <f t="shared" si="1"/>
        <v>0</v>
      </c>
      <c r="H83" s="57"/>
      <c r="I83" s="3"/>
      <c r="J83" s="57"/>
      <c r="K83" s="11"/>
      <c r="L83" s="57"/>
      <c r="M83" s="11"/>
      <c r="N83" s="57"/>
      <c r="O83" s="11"/>
      <c r="P83" s="57"/>
      <c r="Q83" s="11"/>
      <c r="R83" s="57"/>
      <c r="S83" s="11"/>
      <c r="T83" s="13"/>
    </row>
    <row r="84" spans="3:20" ht="18.95" customHeight="1" x14ac:dyDescent="0.15">
      <c r="C84" s="14" t="s">
        <v>409</v>
      </c>
      <c r="D84" s="13" t="s">
        <v>410</v>
      </c>
      <c r="E84" s="13" t="s">
        <v>411</v>
      </c>
      <c r="F84" s="10" t="s">
        <v>345</v>
      </c>
      <c r="G84" s="62">
        <f t="shared" si="1"/>
        <v>600000</v>
      </c>
      <c r="H84" s="57"/>
      <c r="I84" s="3"/>
      <c r="J84" s="57"/>
      <c r="K84" s="11"/>
      <c r="L84" s="57"/>
      <c r="M84" s="11"/>
      <c r="N84" s="57"/>
      <c r="O84" s="11"/>
      <c r="P84" s="57">
        <v>600000</v>
      </c>
      <c r="Q84" s="11" t="s">
        <v>191</v>
      </c>
      <c r="R84" s="57"/>
      <c r="S84" s="11"/>
      <c r="T84" s="13"/>
    </row>
    <row r="85" spans="3:20" ht="18.95" hidden="1" customHeight="1" x14ac:dyDescent="0.15">
      <c r="C85" s="14" t="s">
        <v>412</v>
      </c>
      <c r="D85" s="13" t="s">
        <v>413</v>
      </c>
      <c r="E85" s="13" t="s">
        <v>414</v>
      </c>
      <c r="F85" s="10" t="s">
        <v>172</v>
      </c>
      <c r="G85" s="62">
        <f t="shared" si="1"/>
        <v>0</v>
      </c>
      <c r="H85" s="57"/>
      <c r="I85" s="3"/>
      <c r="J85" s="57"/>
      <c r="K85" s="11"/>
      <c r="L85" s="57"/>
      <c r="M85" s="11"/>
      <c r="N85" s="57"/>
      <c r="O85" s="11"/>
      <c r="P85" s="57"/>
      <c r="Q85" s="11"/>
      <c r="R85" s="57"/>
      <c r="S85" s="11"/>
      <c r="T85" s="13"/>
    </row>
    <row r="86" spans="3:20" ht="18.95" hidden="1" customHeight="1" x14ac:dyDescent="0.15">
      <c r="C86" s="14" t="s">
        <v>415</v>
      </c>
      <c r="D86" s="13" t="s">
        <v>413</v>
      </c>
      <c r="E86" s="13" t="s">
        <v>416</v>
      </c>
      <c r="F86" s="10" t="s">
        <v>190</v>
      </c>
      <c r="G86" s="62">
        <f t="shared" si="1"/>
        <v>0</v>
      </c>
      <c r="H86" s="57"/>
      <c r="I86" s="3"/>
      <c r="J86" s="57"/>
      <c r="K86" s="11"/>
      <c r="L86" s="57"/>
      <c r="M86" s="11"/>
      <c r="N86" s="57"/>
      <c r="O86" s="11"/>
      <c r="P86" s="57"/>
      <c r="Q86" s="11"/>
      <c r="R86" s="57"/>
      <c r="S86" s="11"/>
      <c r="T86" s="13"/>
    </row>
    <row r="87" spans="3:20" ht="18.95" hidden="1" customHeight="1" x14ac:dyDescent="0.15">
      <c r="C87" s="14" t="s">
        <v>417</v>
      </c>
      <c r="D87" s="13" t="s">
        <v>418</v>
      </c>
      <c r="E87" s="13" t="s">
        <v>419</v>
      </c>
      <c r="F87" s="10" t="s">
        <v>420</v>
      </c>
      <c r="G87" s="62">
        <f t="shared" si="1"/>
        <v>0</v>
      </c>
      <c r="H87" s="57"/>
      <c r="I87" s="3"/>
      <c r="J87" s="57"/>
      <c r="K87" s="11"/>
      <c r="L87" s="57"/>
      <c r="M87" s="11"/>
      <c r="N87" s="57"/>
      <c r="O87" s="11"/>
      <c r="P87" s="57"/>
      <c r="Q87" s="11"/>
      <c r="R87" s="57"/>
      <c r="S87" s="11"/>
      <c r="T87" s="13"/>
    </row>
    <row r="88" spans="3:20" ht="18.95" hidden="1" customHeight="1" x14ac:dyDescent="0.15">
      <c r="C88" s="14" t="s">
        <v>421</v>
      </c>
      <c r="D88" s="13" t="s">
        <v>418</v>
      </c>
      <c r="E88" s="13" t="s">
        <v>422</v>
      </c>
      <c r="F88" s="10" t="s">
        <v>420</v>
      </c>
      <c r="G88" s="62">
        <f t="shared" si="1"/>
        <v>0</v>
      </c>
      <c r="H88" s="57"/>
      <c r="I88" s="3"/>
      <c r="J88" s="57"/>
      <c r="K88" s="11"/>
      <c r="L88" s="57"/>
      <c r="M88" s="11"/>
      <c r="N88" s="57"/>
      <c r="O88" s="11"/>
      <c r="P88" s="57"/>
      <c r="Q88" s="11"/>
      <c r="R88" s="57"/>
      <c r="S88" s="11"/>
      <c r="T88" s="13"/>
    </row>
    <row r="89" spans="3:20" ht="18.95" customHeight="1" x14ac:dyDescent="0.15">
      <c r="C89" s="14" t="s">
        <v>423</v>
      </c>
      <c r="D89" s="13" t="s">
        <v>424</v>
      </c>
      <c r="E89" s="13" t="s">
        <v>425</v>
      </c>
      <c r="F89" s="10" t="s">
        <v>420</v>
      </c>
      <c r="G89" s="62">
        <f t="shared" si="1"/>
        <v>70000</v>
      </c>
      <c r="H89" s="57"/>
      <c r="I89" s="3"/>
      <c r="J89" s="57"/>
      <c r="K89" s="11"/>
      <c r="L89" s="57"/>
      <c r="M89" s="11"/>
      <c r="N89" s="57"/>
      <c r="O89" s="11"/>
      <c r="P89" s="57">
        <v>70000</v>
      </c>
      <c r="Q89" s="11"/>
      <c r="R89" s="57"/>
      <c r="S89" s="11"/>
      <c r="T89" s="13"/>
    </row>
    <row r="90" spans="3:20" ht="18.95" customHeight="1" x14ac:dyDescent="0.15">
      <c r="C90" s="14" t="s">
        <v>426</v>
      </c>
      <c r="D90" s="13" t="s">
        <v>427</v>
      </c>
      <c r="E90" s="13" t="s">
        <v>428</v>
      </c>
      <c r="F90" s="10" t="s">
        <v>420</v>
      </c>
      <c r="G90" s="62">
        <f t="shared" si="1"/>
        <v>25000</v>
      </c>
      <c r="H90" s="57"/>
      <c r="I90" s="3"/>
      <c r="J90" s="57"/>
      <c r="K90" s="11"/>
      <c r="L90" s="57"/>
      <c r="M90" s="11"/>
      <c r="N90" s="57"/>
      <c r="O90" s="11"/>
      <c r="P90" s="57">
        <v>25000</v>
      </c>
      <c r="Q90" s="11"/>
      <c r="R90" s="57"/>
      <c r="S90" s="11"/>
      <c r="T90" s="13"/>
    </row>
    <row r="91" spans="3:20" ht="18.95" hidden="1" customHeight="1" x14ac:dyDescent="0.15">
      <c r="C91" s="14" t="s">
        <v>429</v>
      </c>
      <c r="D91" s="13" t="s">
        <v>430</v>
      </c>
      <c r="E91" s="13" t="s">
        <v>431</v>
      </c>
      <c r="F91" s="10" t="s">
        <v>238</v>
      </c>
      <c r="G91" s="62">
        <f t="shared" si="1"/>
        <v>0</v>
      </c>
      <c r="H91" s="57"/>
      <c r="I91" s="3"/>
      <c r="J91" s="57"/>
      <c r="K91" s="11"/>
      <c r="L91" s="57"/>
      <c r="M91" s="11"/>
      <c r="N91" s="57"/>
      <c r="O91" s="11"/>
      <c r="P91" s="57"/>
      <c r="Q91" s="11"/>
      <c r="R91" s="57"/>
      <c r="S91" s="11"/>
      <c r="T91" s="13"/>
    </row>
    <row r="92" spans="3:20" ht="18.95" customHeight="1" x14ac:dyDescent="0.15">
      <c r="C92" s="14" t="s">
        <v>432</v>
      </c>
      <c r="D92" s="13" t="s">
        <v>433</v>
      </c>
      <c r="E92" s="13" t="s">
        <v>434</v>
      </c>
      <c r="F92" s="10" t="s">
        <v>238</v>
      </c>
      <c r="G92" s="62">
        <f t="shared" si="1"/>
        <v>1200</v>
      </c>
      <c r="H92" s="57"/>
      <c r="I92" s="3"/>
      <c r="J92" s="57"/>
      <c r="K92" s="11"/>
      <c r="L92" s="57"/>
      <c r="M92" s="11"/>
      <c r="N92" s="57"/>
      <c r="O92" s="11"/>
      <c r="P92" s="57">
        <v>1200</v>
      </c>
      <c r="Q92" s="11" t="s">
        <v>191</v>
      </c>
      <c r="R92" s="57"/>
      <c r="S92" s="11"/>
      <c r="T92" s="13"/>
    </row>
    <row r="93" spans="3:20" ht="18.95" customHeight="1" x14ac:dyDescent="0.15">
      <c r="C93" s="14" t="s">
        <v>435</v>
      </c>
      <c r="D93" s="13" t="s">
        <v>433</v>
      </c>
      <c r="E93" s="13" t="s">
        <v>436</v>
      </c>
      <c r="F93" s="10" t="s">
        <v>238</v>
      </c>
      <c r="G93" s="62">
        <f t="shared" si="1"/>
        <v>2000</v>
      </c>
      <c r="H93" s="57"/>
      <c r="I93" s="3"/>
      <c r="J93" s="57"/>
      <c r="K93" s="11"/>
      <c r="L93" s="57"/>
      <c r="M93" s="11"/>
      <c r="N93" s="57"/>
      <c r="O93" s="11"/>
      <c r="P93" s="57">
        <v>2000</v>
      </c>
      <c r="Q93" s="11" t="s">
        <v>191</v>
      </c>
      <c r="R93" s="57"/>
      <c r="S93" s="11"/>
      <c r="T93" s="13"/>
    </row>
    <row r="94" spans="3:20" ht="18.95" hidden="1" customHeight="1" x14ac:dyDescent="0.15">
      <c r="C94" s="14" t="s">
        <v>437</v>
      </c>
      <c r="D94" s="13" t="s">
        <v>438</v>
      </c>
      <c r="E94" s="13" t="s">
        <v>439</v>
      </c>
      <c r="F94" s="10" t="s">
        <v>238</v>
      </c>
      <c r="G94" s="62">
        <f t="shared" si="1"/>
        <v>0</v>
      </c>
      <c r="H94" s="57"/>
      <c r="I94" s="3"/>
      <c r="J94" s="57"/>
      <c r="K94" s="11"/>
      <c r="L94" s="57"/>
      <c r="M94" s="11"/>
      <c r="N94" s="57"/>
      <c r="O94" s="11"/>
      <c r="P94" s="57"/>
      <c r="Q94" s="11"/>
      <c r="R94" s="57"/>
      <c r="S94" s="11"/>
      <c r="T94" s="13"/>
    </row>
    <row r="95" spans="3:20" ht="18.95" hidden="1" customHeight="1" x14ac:dyDescent="0.15">
      <c r="C95" s="14" t="s">
        <v>440</v>
      </c>
      <c r="D95" s="13" t="s">
        <v>438</v>
      </c>
      <c r="E95" s="13" t="s">
        <v>441</v>
      </c>
      <c r="F95" s="10" t="s">
        <v>238</v>
      </c>
      <c r="G95" s="62">
        <f t="shared" si="1"/>
        <v>0</v>
      </c>
      <c r="H95" s="57"/>
      <c r="I95" s="3"/>
      <c r="J95" s="57"/>
      <c r="K95" s="11"/>
      <c r="L95" s="57"/>
      <c r="M95" s="11"/>
      <c r="N95" s="57"/>
      <c r="O95" s="11"/>
      <c r="P95" s="57"/>
      <c r="Q95" s="11"/>
      <c r="R95" s="57"/>
      <c r="S95" s="11"/>
      <c r="T95" s="13"/>
    </row>
    <row r="96" spans="3:20" ht="18.95" hidden="1" customHeight="1" x14ac:dyDescent="0.15">
      <c r="C96" s="14" t="s">
        <v>442</v>
      </c>
      <c r="D96" s="13" t="s">
        <v>443</v>
      </c>
      <c r="E96" s="13" t="s">
        <v>444</v>
      </c>
      <c r="F96" s="10" t="s">
        <v>172</v>
      </c>
      <c r="G96" s="62">
        <f t="shared" si="1"/>
        <v>0</v>
      </c>
      <c r="H96" s="57"/>
      <c r="I96" s="3"/>
      <c r="J96" s="57"/>
      <c r="K96" s="11"/>
      <c r="L96" s="57"/>
      <c r="M96" s="11"/>
      <c r="N96" s="57"/>
      <c r="O96" s="11"/>
      <c r="P96" s="57"/>
      <c r="Q96" s="11"/>
      <c r="R96" s="57"/>
      <c r="S96" s="11"/>
      <c r="T96" s="13"/>
    </row>
    <row r="97" spans="1:20" ht="18.95" hidden="1" customHeight="1" x14ac:dyDescent="0.15">
      <c r="C97" s="14" t="s">
        <v>445</v>
      </c>
      <c r="D97" s="13" t="s">
        <v>443</v>
      </c>
      <c r="E97" s="13" t="s">
        <v>446</v>
      </c>
      <c r="F97" s="10" t="s">
        <v>172</v>
      </c>
      <c r="G97" s="62">
        <f t="shared" si="1"/>
        <v>0</v>
      </c>
      <c r="H97" s="57"/>
      <c r="I97" s="3"/>
      <c r="J97" s="57"/>
      <c r="K97" s="11"/>
      <c r="L97" s="57"/>
      <c r="M97" s="11"/>
      <c r="N97" s="57"/>
      <c r="O97" s="11"/>
      <c r="P97" s="57"/>
      <c r="Q97" s="11"/>
      <c r="R97" s="57"/>
      <c r="S97" s="11"/>
      <c r="T97" s="13"/>
    </row>
    <row r="98" spans="1:20" ht="18.95" hidden="1" customHeight="1" x14ac:dyDescent="0.15">
      <c r="C98" s="14" t="s">
        <v>447</v>
      </c>
      <c r="D98" s="13" t="s">
        <v>443</v>
      </c>
      <c r="E98" s="13" t="s">
        <v>448</v>
      </c>
      <c r="F98" s="10" t="s">
        <v>172</v>
      </c>
      <c r="G98" s="62">
        <f t="shared" si="1"/>
        <v>0</v>
      </c>
      <c r="H98" s="57"/>
      <c r="I98" s="3"/>
      <c r="J98" s="57"/>
      <c r="K98" s="11"/>
      <c r="L98" s="57"/>
      <c r="M98" s="11"/>
      <c r="N98" s="57"/>
      <c r="O98" s="11"/>
      <c r="P98" s="57"/>
      <c r="Q98" s="11"/>
      <c r="R98" s="57"/>
      <c r="S98" s="11"/>
      <c r="T98" s="13"/>
    </row>
    <row r="99" spans="1:20" ht="18.95" hidden="1" customHeight="1" x14ac:dyDescent="0.15">
      <c r="C99" s="14" t="s">
        <v>449</v>
      </c>
      <c r="D99" s="13" t="s">
        <v>443</v>
      </c>
      <c r="E99" s="13" t="s">
        <v>450</v>
      </c>
      <c r="F99" s="10" t="s">
        <v>172</v>
      </c>
      <c r="G99" s="62">
        <f t="shared" si="1"/>
        <v>0</v>
      </c>
      <c r="H99" s="57"/>
      <c r="I99" s="3"/>
      <c r="J99" s="57"/>
      <c r="K99" s="11"/>
      <c r="L99" s="57"/>
      <c r="M99" s="11"/>
      <c r="N99" s="57"/>
      <c r="O99" s="11"/>
      <c r="P99" s="57"/>
      <c r="Q99" s="11"/>
      <c r="R99" s="57"/>
      <c r="S99" s="11"/>
      <c r="T99" s="13"/>
    </row>
    <row r="100" spans="1:20" ht="18.95" hidden="1" customHeight="1" x14ac:dyDescent="0.15">
      <c r="C100" s="14" t="s">
        <v>451</v>
      </c>
      <c r="D100" s="13" t="s">
        <v>443</v>
      </c>
      <c r="E100" s="13" t="s">
        <v>452</v>
      </c>
      <c r="F100" s="10" t="s">
        <v>172</v>
      </c>
      <c r="G100" s="62">
        <f t="shared" si="1"/>
        <v>0</v>
      </c>
      <c r="H100" s="57"/>
      <c r="I100" s="3"/>
      <c r="J100" s="57"/>
      <c r="K100" s="11"/>
      <c r="L100" s="57"/>
      <c r="M100" s="11"/>
      <c r="N100" s="57"/>
      <c r="O100" s="11"/>
      <c r="P100" s="57"/>
      <c r="Q100" s="11"/>
      <c r="R100" s="57"/>
      <c r="S100" s="11"/>
      <c r="T100" s="13"/>
    </row>
    <row r="101" spans="1:20" ht="18.95" hidden="1" customHeight="1" x14ac:dyDescent="0.15">
      <c r="C101" s="14" t="s">
        <v>453</v>
      </c>
      <c r="D101" s="13" t="s">
        <v>454</v>
      </c>
      <c r="E101" s="13" t="s">
        <v>455</v>
      </c>
      <c r="F101" s="10" t="s">
        <v>238</v>
      </c>
      <c r="G101" s="62">
        <f t="shared" si="1"/>
        <v>0</v>
      </c>
      <c r="H101" s="57"/>
      <c r="I101" s="3"/>
      <c r="J101" s="57"/>
      <c r="K101" s="11"/>
      <c r="L101" s="57"/>
      <c r="M101" s="11"/>
      <c r="N101" s="57"/>
      <c r="O101" s="11"/>
      <c r="P101" s="57"/>
      <c r="Q101" s="11"/>
      <c r="R101" s="57"/>
      <c r="S101" s="11"/>
      <c r="T101" s="13"/>
    </row>
    <row r="102" spans="1:20" ht="18.95" hidden="1" customHeight="1" x14ac:dyDescent="0.15">
      <c r="C102" s="14" t="s">
        <v>456</v>
      </c>
      <c r="D102" s="13" t="s">
        <v>454</v>
      </c>
      <c r="E102" s="13" t="s">
        <v>457</v>
      </c>
      <c r="F102" s="10" t="s">
        <v>238</v>
      </c>
      <c r="G102" s="62">
        <f t="shared" si="1"/>
        <v>0</v>
      </c>
      <c r="H102" s="57"/>
      <c r="I102" s="3"/>
      <c r="J102" s="57"/>
      <c r="K102" s="11"/>
      <c r="L102" s="57"/>
      <c r="M102" s="11"/>
      <c r="N102" s="57"/>
      <c r="O102" s="11"/>
      <c r="P102" s="57"/>
      <c r="Q102" s="11"/>
      <c r="R102" s="57"/>
      <c r="S102" s="11"/>
      <c r="T102" s="13"/>
    </row>
    <row r="103" spans="1:20" ht="18.95" customHeight="1" x14ac:dyDescent="0.15">
      <c r="A103" s="147"/>
      <c r="B103" s="147"/>
      <c r="C103" s="147"/>
      <c r="D103" s="13" t="s">
        <v>1063</v>
      </c>
      <c r="E103" s="13" t="s">
        <v>1064</v>
      </c>
      <c r="F103" s="10" t="s">
        <v>1065</v>
      </c>
      <c r="G103" s="62">
        <v>-18400</v>
      </c>
      <c r="H103" s="57"/>
      <c r="I103" s="3"/>
      <c r="J103" s="57"/>
      <c r="K103" s="11"/>
      <c r="L103" s="57">
        <v>-12600</v>
      </c>
      <c r="M103" s="11" t="s">
        <v>1066</v>
      </c>
      <c r="N103" s="57"/>
      <c r="O103" s="11"/>
      <c r="P103" s="57">
        <v>-18400</v>
      </c>
      <c r="Q103" s="11" t="s">
        <v>1067</v>
      </c>
      <c r="R103" s="57"/>
      <c r="S103" s="11"/>
      <c r="T103" s="13" t="s">
        <v>1090</v>
      </c>
    </row>
    <row r="104" spans="1:20" ht="18.95" customHeight="1" x14ac:dyDescent="0.15">
      <c r="A104" s="147"/>
      <c r="B104" s="147"/>
      <c r="C104" s="147"/>
      <c r="D104" s="13" t="s">
        <v>1089</v>
      </c>
      <c r="E104" s="13" t="s">
        <v>1064</v>
      </c>
      <c r="F104" s="10" t="s">
        <v>1065</v>
      </c>
      <c r="G104" s="62">
        <v>-1700</v>
      </c>
      <c r="H104" s="57"/>
      <c r="I104" s="3"/>
      <c r="J104" s="57"/>
      <c r="K104" s="11"/>
      <c r="L104" s="57">
        <v>-1500</v>
      </c>
      <c r="M104" s="11" t="s">
        <v>1066</v>
      </c>
      <c r="N104" s="57"/>
      <c r="O104" s="11"/>
      <c r="P104" s="57">
        <v>-1700</v>
      </c>
      <c r="Q104" s="11" t="s">
        <v>1067</v>
      </c>
      <c r="R104" s="57"/>
      <c r="S104" s="11"/>
      <c r="T104" s="13" t="s">
        <v>1090</v>
      </c>
    </row>
    <row r="105" spans="1:20" ht="18.95" customHeight="1" x14ac:dyDescent="0.15">
      <c r="A105" s="147"/>
      <c r="B105" s="147"/>
      <c r="C105" s="147"/>
      <c r="D105" s="13" t="s">
        <v>1091</v>
      </c>
      <c r="E105" s="13" t="s">
        <v>1064</v>
      </c>
      <c r="F105" s="10" t="s">
        <v>1065</v>
      </c>
      <c r="G105" s="62">
        <v>-380</v>
      </c>
      <c r="H105" s="57"/>
      <c r="I105" s="3"/>
      <c r="J105" s="57"/>
      <c r="K105" s="11"/>
      <c r="L105" s="57">
        <v>-330</v>
      </c>
      <c r="M105" s="11" t="s">
        <v>1066</v>
      </c>
      <c r="N105" s="57"/>
      <c r="O105" s="11"/>
      <c r="P105" s="57">
        <v>-380</v>
      </c>
      <c r="Q105" s="11" t="s">
        <v>1067</v>
      </c>
      <c r="R105" s="57"/>
      <c r="S105" s="11"/>
      <c r="T105" s="13" t="s">
        <v>1090</v>
      </c>
    </row>
    <row r="106" spans="1:20" ht="18.95" customHeight="1" x14ac:dyDescent="0.15">
      <c r="C106" s="14" t="s">
        <v>458</v>
      </c>
      <c r="D106" s="13" t="s">
        <v>459</v>
      </c>
      <c r="E106" s="13" t="s">
        <v>460</v>
      </c>
      <c r="F106" s="10" t="s">
        <v>461</v>
      </c>
      <c r="G106" s="62">
        <v>273676</v>
      </c>
      <c r="H106" s="57"/>
      <c r="I106" s="3"/>
      <c r="J106" s="57"/>
      <c r="K106" s="11"/>
      <c r="L106" s="57"/>
      <c r="M106" s="11"/>
      <c r="N106" s="57"/>
      <c r="O106" s="11"/>
      <c r="P106" s="57"/>
      <c r="Q106" s="11"/>
      <c r="R106" s="57"/>
      <c r="S106" s="11"/>
      <c r="T106" s="13"/>
    </row>
    <row r="107" spans="1:20" ht="18.95" customHeight="1" x14ac:dyDescent="0.15">
      <c r="C107" s="14" t="s">
        <v>462</v>
      </c>
      <c r="D107" s="13" t="s">
        <v>459</v>
      </c>
      <c r="E107" s="13" t="s">
        <v>463</v>
      </c>
      <c r="F107" s="10" t="s">
        <v>461</v>
      </c>
      <c r="G107" s="62">
        <v>304156</v>
      </c>
      <c r="H107" s="57"/>
      <c r="I107" s="3"/>
      <c r="J107" s="57"/>
      <c r="K107" s="11"/>
      <c r="L107" s="57"/>
      <c r="M107" s="11"/>
      <c r="N107" s="57"/>
      <c r="O107" s="11"/>
      <c r="P107" s="57"/>
      <c r="Q107" s="11"/>
      <c r="R107" s="57"/>
      <c r="S107" s="11"/>
      <c r="T107" s="13"/>
    </row>
    <row r="108" spans="1:20" ht="18.95" customHeight="1" x14ac:dyDescent="0.15">
      <c r="C108" s="14" t="s">
        <v>464</v>
      </c>
      <c r="D108" s="13" t="s">
        <v>459</v>
      </c>
      <c r="E108" s="13" t="s">
        <v>465</v>
      </c>
      <c r="F108" s="10" t="s">
        <v>461</v>
      </c>
      <c r="G108" s="62">
        <v>414968</v>
      </c>
      <c r="H108" s="57"/>
      <c r="I108" s="3"/>
      <c r="J108" s="57"/>
      <c r="K108" s="11"/>
      <c r="L108" s="57"/>
      <c r="M108" s="11"/>
      <c r="N108" s="57"/>
      <c r="O108" s="11"/>
      <c r="P108" s="57"/>
      <c r="Q108" s="11"/>
      <c r="R108" s="57"/>
      <c r="S108" s="11"/>
      <c r="T108" s="13"/>
    </row>
    <row r="109" spans="1:20" ht="18.95" customHeight="1" x14ac:dyDescent="0.15">
      <c r="C109" s="14" t="s">
        <v>466</v>
      </c>
      <c r="D109" s="13" t="s">
        <v>459</v>
      </c>
      <c r="E109" s="13" t="s">
        <v>467</v>
      </c>
      <c r="F109" s="10" t="s">
        <v>461</v>
      </c>
      <c r="G109" s="62">
        <v>172068</v>
      </c>
      <c r="H109" s="57"/>
      <c r="I109" s="3"/>
      <c r="J109" s="57"/>
      <c r="K109" s="11"/>
      <c r="L109" s="57"/>
      <c r="M109" s="11"/>
      <c r="N109" s="57"/>
      <c r="O109" s="11"/>
      <c r="P109" s="57"/>
      <c r="Q109" s="11"/>
      <c r="R109" s="57"/>
      <c r="S109" s="11"/>
      <c r="T109" s="13"/>
    </row>
    <row r="110" spans="1:20" ht="18.95" customHeight="1" x14ac:dyDescent="0.15">
      <c r="D110" s="13"/>
      <c r="E110" s="13"/>
      <c r="F110" s="10"/>
      <c r="G110" s="62"/>
      <c r="H110" s="57"/>
      <c r="I110" s="3"/>
      <c r="J110" s="57"/>
      <c r="K110" s="11"/>
      <c r="L110" s="57"/>
      <c r="M110" s="11"/>
      <c r="N110" s="57"/>
      <c r="O110" s="11"/>
      <c r="P110" s="57"/>
      <c r="Q110" s="11"/>
      <c r="R110" s="57"/>
      <c r="S110" s="11"/>
      <c r="T110" s="13"/>
    </row>
    <row r="111" spans="1:20" ht="18.95" customHeight="1" x14ac:dyDescent="0.15">
      <c r="D111" s="13"/>
      <c r="E111" s="13"/>
      <c r="F111" s="10"/>
      <c r="G111" s="62"/>
      <c r="H111" s="57"/>
      <c r="I111" s="3"/>
      <c r="J111" s="57"/>
      <c r="K111" s="11"/>
      <c r="L111" s="57"/>
      <c r="M111" s="11"/>
      <c r="N111" s="57"/>
      <c r="O111" s="11"/>
      <c r="P111" s="57"/>
      <c r="Q111" s="11"/>
      <c r="R111" s="57"/>
      <c r="S111" s="11"/>
      <c r="T111" s="13"/>
    </row>
    <row r="112" spans="1:20" ht="18.95" customHeight="1" x14ac:dyDescent="0.15">
      <c r="D112" s="13"/>
      <c r="E112" s="13"/>
      <c r="F112" s="10"/>
      <c r="G112" s="62"/>
      <c r="H112" s="57"/>
      <c r="I112" s="3"/>
      <c r="J112" s="57"/>
      <c r="K112" s="11"/>
      <c r="L112" s="57"/>
      <c r="M112" s="11"/>
      <c r="N112" s="57"/>
      <c r="O112" s="11"/>
      <c r="P112" s="57"/>
      <c r="Q112" s="11"/>
      <c r="R112" s="57"/>
      <c r="S112" s="11"/>
      <c r="T112" s="13"/>
    </row>
    <row r="113" spans="4:20" ht="18.95" customHeight="1" x14ac:dyDescent="0.15">
      <c r="D113" s="13"/>
      <c r="E113" s="13"/>
      <c r="F113" s="10"/>
      <c r="G113" s="62"/>
      <c r="H113" s="57"/>
      <c r="I113" s="3"/>
      <c r="J113" s="57"/>
      <c r="K113" s="11"/>
      <c r="L113" s="57"/>
      <c r="M113" s="11"/>
      <c r="N113" s="57"/>
      <c r="O113" s="11"/>
      <c r="P113" s="57"/>
      <c r="Q113" s="11"/>
      <c r="R113" s="57"/>
      <c r="S113" s="11"/>
      <c r="T113" s="13"/>
    </row>
    <row r="114" spans="4:20" ht="18.95" customHeight="1" x14ac:dyDescent="0.15">
      <c r="D114" s="13"/>
      <c r="E114" s="13"/>
      <c r="F114" s="10"/>
      <c r="G114" s="62"/>
      <c r="H114" s="57"/>
      <c r="I114" s="3"/>
      <c r="J114" s="57"/>
      <c r="K114" s="11"/>
      <c r="L114" s="57"/>
      <c r="M114" s="11"/>
      <c r="N114" s="57"/>
      <c r="O114" s="11"/>
      <c r="P114" s="57"/>
      <c r="Q114" s="11"/>
      <c r="R114" s="57"/>
      <c r="S114" s="11"/>
      <c r="T114" s="13"/>
    </row>
    <row r="115" spans="4:20" ht="18.95" customHeight="1" x14ac:dyDescent="0.15">
      <c r="D115" s="13"/>
      <c r="E115" s="13"/>
      <c r="F115" s="10"/>
      <c r="G115" s="62"/>
      <c r="H115" s="57"/>
      <c r="I115" s="3"/>
      <c r="J115" s="57"/>
      <c r="K115" s="11"/>
      <c r="L115" s="57"/>
      <c r="M115" s="11"/>
      <c r="N115" s="57"/>
      <c r="O115" s="11"/>
      <c r="P115" s="57"/>
      <c r="Q115" s="11"/>
      <c r="R115" s="57"/>
      <c r="S115" s="11"/>
      <c r="T115" s="13"/>
    </row>
    <row r="116" spans="4:20" ht="18.95" customHeight="1" x14ac:dyDescent="0.15">
      <c r="D116" s="13"/>
      <c r="E116" s="13"/>
      <c r="F116" s="10"/>
      <c r="G116" s="62"/>
      <c r="H116" s="57"/>
      <c r="I116" s="3"/>
      <c r="J116" s="57"/>
      <c r="K116" s="11"/>
      <c r="L116" s="57"/>
      <c r="M116" s="11"/>
      <c r="N116" s="57"/>
      <c r="O116" s="11"/>
      <c r="P116" s="57"/>
      <c r="Q116" s="11"/>
      <c r="R116" s="57"/>
      <c r="S116" s="11"/>
      <c r="T116" s="13"/>
    </row>
    <row r="117" spans="4:20" ht="18.95" customHeight="1" x14ac:dyDescent="0.15">
      <c r="D117" s="13"/>
      <c r="E117" s="13"/>
      <c r="F117" s="10"/>
      <c r="G117" s="62"/>
      <c r="H117" s="57"/>
      <c r="I117" s="3"/>
      <c r="J117" s="57"/>
      <c r="K117" s="11"/>
      <c r="L117" s="57"/>
      <c r="M117" s="11"/>
      <c r="N117" s="57"/>
      <c r="O117" s="11"/>
      <c r="P117" s="57"/>
      <c r="Q117" s="11"/>
      <c r="R117" s="57"/>
      <c r="S117" s="11"/>
      <c r="T117" s="13"/>
    </row>
    <row r="118" spans="4:20" ht="18.95" customHeight="1" x14ac:dyDescent="0.15">
      <c r="D118" s="13"/>
      <c r="E118" s="13"/>
      <c r="F118" s="10"/>
      <c r="G118" s="62"/>
      <c r="H118" s="57"/>
      <c r="I118" s="3"/>
      <c r="J118" s="57"/>
      <c r="K118" s="11"/>
      <c r="L118" s="57"/>
      <c r="M118" s="11"/>
      <c r="N118" s="57"/>
      <c r="O118" s="11"/>
      <c r="P118" s="57"/>
      <c r="Q118" s="11"/>
      <c r="R118" s="57"/>
      <c r="S118" s="11"/>
      <c r="T118" s="13"/>
    </row>
    <row r="119" spans="4:20" ht="18.95" customHeight="1" x14ac:dyDescent="0.15">
      <c r="D119" s="13"/>
      <c r="E119" s="13"/>
      <c r="F119" s="10"/>
      <c r="G119" s="62"/>
      <c r="H119" s="57"/>
      <c r="I119" s="3"/>
      <c r="J119" s="57"/>
      <c r="K119" s="11"/>
      <c r="L119" s="57"/>
      <c r="M119" s="11"/>
      <c r="N119" s="57"/>
      <c r="O119" s="11"/>
      <c r="P119" s="57"/>
      <c r="Q119" s="11"/>
      <c r="R119" s="57"/>
      <c r="S119" s="11"/>
      <c r="T119" s="13"/>
    </row>
    <row r="120" spans="4:20" ht="18.95" customHeight="1" x14ac:dyDescent="0.15">
      <c r="D120" s="13"/>
      <c r="E120" s="13"/>
      <c r="F120" s="10"/>
      <c r="G120" s="62"/>
      <c r="H120" s="57"/>
      <c r="I120" s="3"/>
      <c r="J120" s="57"/>
      <c r="K120" s="11"/>
      <c r="L120" s="57"/>
      <c r="M120" s="11"/>
      <c r="N120" s="57"/>
      <c r="O120" s="11"/>
      <c r="P120" s="57"/>
      <c r="Q120" s="11"/>
      <c r="R120" s="57"/>
      <c r="S120" s="11"/>
      <c r="T120" s="13"/>
    </row>
    <row r="121" spans="4:20" ht="18.95" customHeight="1" x14ac:dyDescent="0.15">
      <c r="D121" s="13"/>
      <c r="E121" s="13"/>
      <c r="F121" s="10"/>
      <c r="G121" s="62"/>
      <c r="H121" s="57"/>
      <c r="I121" s="3"/>
      <c r="J121" s="57"/>
      <c r="K121" s="11"/>
      <c r="L121" s="57"/>
      <c r="M121" s="11"/>
      <c r="N121" s="57"/>
      <c r="O121" s="11"/>
      <c r="P121" s="57"/>
      <c r="Q121" s="11"/>
      <c r="R121" s="57"/>
      <c r="S121" s="11"/>
      <c r="T121" s="13"/>
    </row>
    <row r="122" spans="4:20" ht="18.95" customHeight="1" x14ac:dyDescent="0.15">
      <c r="D122" s="13"/>
      <c r="E122" s="13"/>
      <c r="F122" s="10"/>
      <c r="G122" s="62"/>
      <c r="H122" s="57"/>
      <c r="I122" s="3"/>
      <c r="J122" s="57"/>
      <c r="K122" s="11"/>
      <c r="L122" s="57"/>
      <c r="M122" s="11"/>
      <c r="N122" s="57"/>
      <c r="O122" s="11"/>
      <c r="P122" s="57"/>
      <c r="Q122" s="11"/>
      <c r="R122" s="57"/>
      <c r="S122" s="11"/>
      <c r="T122" s="13"/>
    </row>
    <row r="123" spans="4:20" ht="18.95" customHeight="1" x14ac:dyDescent="0.15">
      <c r="D123" s="13"/>
      <c r="E123" s="13"/>
      <c r="F123" s="10"/>
      <c r="G123" s="62"/>
      <c r="H123" s="57"/>
      <c r="I123" s="3"/>
      <c r="J123" s="57"/>
      <c r="K123" s="11"/>
      <c r="L123" s="57"/>
      <c r="M123" s="11"/>
      <c r="N123" s="57"/>
      <c r="O123" s="11"/>
      <c r="P123" s="57"/>
      <c r="Q123" s="11"/>
      <c r="R123" s="57"/>
      <c r="S123" s="11"/>
      <c r="T123" s="13"/>
    </row>
    <row r="124" spans="4:20" ht="18.95" customHeight="1" x14ac:dyDescent="0.15">
      <c r="D124" s="13"/>
      <c r="E124" s="13"/>
      <c r="F124" s="10"/>
      <c r="G124" s="62"/>
      <c r="H124" s="57"/>
      <c r="I124" s="3"/>
      <c r="J124" s="57"/>
      <c r="K124" s="11"/>
      <c r="L124" s="57"/>
      <c r="M124" s="11"/>
      <c r="N124" s="57"/>
      <c r="O124" s="11"/>
      <c r="P124" s="57"/>
      <c r="Q124" s="11"/>
      <c r="R124" s="57"/>
      <c r="S124" s="11"/>
      <c r="T124" s="13"/>
    </row>
    <row r="125" spans="4:20" ht="18.95" customHeight="1" x14ac:dyDescent="0.15">
      <c r="D125" s="13"/>
      <c r="E125" s="13"/>
      <c r="F125" s="10"/>
      <c r="G125" s="62"/>
      <c r="H125" s="57"/>
      <c r="I125" s="3"/>
      <c r="J125" s="57"/>
      <c r="K125" s="11"/>
      <c r="L125" s="57"/>
      <c r="M125" s="11"/>
      <c r="N125" s="57"/>
      <c r="O125" s="11"/>
      <c r="P125" s="57"/>
      <c r="Q125" s="11"/>
      <c r="R125" s="57"/>
      <c r="S125" s="11"/>
      <c r="T125" s="13"/>
    </row>
    <row r="126" spans="4:20" ht="18.95" customHeight="1" x14ac:dyDescent="0.15">
      <c r="D126" s="13"/>
      <c r="E126" s="13"/>
      <c r="F126" s="10"/>
      <c r="G126" s="62"/>
      <c r="H126" s="57"/>
      <c r="I126" s="3"/>
      <c r="J126" s="57"/>
      <c r="K126" s="11"/>
      <c r="L126" s="57"/>
      <c r="M126" s="11"/>
      <c r="N126" s="57"/>
      <c r="O126" s="11"/>
      <c r="P126" s="57"/>
      <c r="Q126" s="11"/>
      <c r="R126" s="57"/>
      <c r="S126" s="11"/>
      <c r="T126" s="13"/>
    </row>
  </sheetData>
  <mergeCells count="14">
    <mergeCell ref="A2:A3"/>
    <mergeCell ref="L2:M2"/>
    <mergeCell ref="B2:B3"/>
    <mergeCell ref="C2:C3"/>
    <mergeCell ref="D2:D3"/>
    <mergeCell ref="P2:Q2"/>
    <mergeCell ref="D1:T1"/>
    <mergeCell ref="R2:S2"/>
    <mergeCell ref="T2:T3"/>
    <mergeCell ref="F2:F3"/>
    <mergeCell ref="G2:G3"/>
    <mergeCell ref="J2:K2"/>
    <mergeCell ref="N2:O2"/>
    <mergeCell ref="E2:E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  <colBreaks count="1" manualBreakCount="1">
    <brk id="20" max="122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M41"/>
  <sheetViews>
    <sheetView workbookViewId="0">
      <selection activeCell="J20" sqref="J20"/>
    </sheetView>
  </sheetViews>
  <sheetFormatPr defaultRowHeight="13.5" x14ac:dyDescent="0.15"/>
  <cols>
    <col min="1" max="1" width="36.109375" style="1" customWidth="1"/>
    <col min="2" max="2" width="15.109375" style="47" bestFit="1" customWidth="1"/>
    <col min="3" max="6" width="15.109375" style="47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 x14ac:dyDescent="0.2">
      <c r="A1" s="73" t="s">
        <v>4</v>
      </c>
      <c r="B1" s="74" t="s">
        <v>12</v>
      </c>
      <c r="C1" s="74" t="s">
        <v>10</v>
      </c>
      <c r="D1" s="74" t="s">
        <v>11</v>
      </c>
      <c r="E1" s="74" t="s">
        <v>90</v>
      </c>
      <c r="F1" s="75" t="s">
        <v>13</v>
      </c>
      <c r="H1" s="67"/>
    </row>
    <row r="2" spans="1:13" x14ac:dyDescent="0.15">
      <c r="A2" s="5" t="s">
        <v>14</v>
      </c>
      <c r="B2" s="61">
        <f>총괄표!I29</f>
        <v>27109991</v>
      </c>
      <c r="C2" s="61">
        <f>총괄표!L29</f>
        <v>30633718</v>
      </c>
      <c r="D2" s="61">
        <f>총괄표!N29</f>
        <v>0</v>
      </c>
      <c r="E2" s="61"/>
      <c r="F2" s="61">
        <f>SUM(B2,C2,D2)</f>
        <v>57743709</v>
      </c>
    </row>
    <row r="3" spans="1:13" x14ac:dyDescent="0.15">
      <c r="A3" s="3" t="s">
        <v>148</v>
      </c>
      <c r="B3" s="62"/>
      <c r="C3" s="62"/>
      <c r="D3" s="62"/>
      <c r="E3" s="62"/>
      <c r="F3" s="61">
        <f>SUM(B3,C3,D3)</f>
        <v>0</v>
      </c>
      <c r="H3" s="301" t="s">
        <v>164</v>
      </c>
      <c r="I3" s="302"/>
      <c r="J3" s="302"/>
      <c r="K3" s="302"/>
      <c r="L3" s="302"/>
      <c r="M3" s="303"/>
    </row>
    <row r="4" spans="1:13" x14ac:dyDescent="0.15">
      <c r="A4" s="3" t="s">
        <v>4</v>
      </c>
      <c r="B4" s="62"/>
      <c r="C4" s="62"/>
      <c r="D4" s="62"/>
      <c r="E4" s="62"/>
      <c r="F4" s="62"/>
      <c r="H4" s="304"/>
      <c r="I4" s="305"/>
      <c r="J4" s="305"/>
      <c r="K4" s="305"/>
      <c r="L4" s="305"/>
      <c r="M4" s="306"/>
    </row>
    <row r="5" spans="1:13" x14ac:dyDescent="0.15">
      <c r="A5" s="3" t="s">
        <v>4</v>
      </c>
      <c r="B5" s="62"/>
      <c r="C5" s="62" t="s">
        <v>9</v>
      </c>
      <c r="D5" s="62"/>
      <c r="E5" s="62"/>
      <c r="F5" s="62"/>
    </row>
    <row r="6" spans="1:13" x14ac:dyDescent="0.15">
      <c r="A6" s="3" t="s">
        <v>4</v>
      </c>
      <c r="B6" s="62"/>
      <c r="C6" s="62"/>
      <c r="D6" s="62"/>
      <c r="E6" s="62"/>
      <c r="F6" s="62"/>
      <c r="H6" s="295" t="s">
        <v>165</v>
      </c>
      <c r="I6" s="296"/>
      <c r="J6" s="296"/>
      <c r="K6" s="296"/>
      <c r="L6" s="296"/>
      <c r="M6" s="297"/>
    </row>
    <row r="7" spans="1:13" x14ac:dyDescent="0.15">
      <c r="A7" s="3"/>
      <c r="B7" s="62"/>
      <c r="C7" s="62"/>
      <c r="D7" s="62"/>
      <c r="E7" s="62"/>
      <c r="F7" s="62"/>
      <c r="H7" s="298"/>
      <c r="I7" s="299"/>
      <c r="J7" s="299"/>
      <c r="K7" s="299"/>
      <c r="L7" s="299"/>
      <c r="M7" s="300"/>
    </row>
    <row r="8" spans="1:13" x14ac:dyDescent="0.15">
      <c r="A8" s="3"/>
      <c r="B8" s="62"/>
      <c r="C8" s="62"/>
      <c r="D8" s="62"/>
      <c r="E8" s="62"/>
      <c r="F8" s="62"/>
    </row>
    <row r="9" spans="1:13" ht="14.25" thickBot="1" x14ac:dyDescent="0.2">
      <c r="B9" s="77"/>
      <c r="C9" s="77"/>
      <c r="D9" s="77"/>
      <c r="E9" s="77"/>
      <c r="F9" s="77"/>
      <c r="H9" s="295" t="s">
        <v>166</v>
      </c>
      <c r="I9" s="296"/>
      <c r="J9" s="296"/>
      <c r="K9" s="296"/>
      <c r="L9" s="296"/>
      <c r="M9" s="297"/>
    </row>
    <row r="10" spans="1:13" ht="14.25" thickBot="1" x14ac:dyDescent="0.2">
      <c r="A10" s="73"/>
      <c r="B10" s="74" t="s">
        <v>16</v>
      </c>
      <c r="C10" s="74" t="s">
        <v>18</v>
      </c>
      <c r="D10" s="74" t="s">
        <v>106</v>
      </c>
      <c r="E10" s="74" t="s">
        <v>159</v>
      </c>
      <c r="F10" s="75"/>
      <c r="H10" s="298"/>
      <c r="I10" s="299"/>
      <c r="J10" s="299"/>
      <c r="K10" s="299"/>
      <c r="L10" s="299"/>
      <c r="M10" s="300"/>
    </row>
    <row r="11" spans="1:13" x14ac:dyDescent="0.15">
      <c r="A11" s="5" t="s">
        <v>160</v>
      </c>
      <c r="B11" s="48">
        <v>100</v>
      </c>
      <c r="C11" s="48">
        <v>1</v>
      </c>
      <c r="D11" s="48">
        <f>$B$11/100</f>
        <v>1</v>
      </c>
      <c r="E11" s="48"/>
      <c r="F11" s="48"/>
    </row>
    <row r="12" spans="1:13" x14ac:dyDescent="0.15">
      <c r="A12" s="3" t="s">
        <v>161</v>
      </c>
      <c r="B12" s="49">
        <v>100</v>
      </c>
      <c r="C12" s="49">
        <v>1</v>
      </c>
      <c r="D12" s="48">
        <f>$B$12/100</f>
        <v>1</v>
      </c>
      <c r="E12" s="49">
        <v>2</v>
      </c>
      <c r="F12" s="49"/>
      <c r="H12" s="295" t="s">
        <v>167</v>
      </c>
      <c r="I12" s="296"/>
      <c r="J12" s="296"/>
      <c r="K12" s="296"/>
      <c r="L12" s="296"/>
      <c r="M12" s="297"/>
    </row>
    <row r="13" spans="1:13" x14ac:dyDescent="0.15">
      <c r="A13" s="3" t="s">
        <v>162</v>
      </c>
      <c r="B13" s="49">
        <v>100</v>
      </c>
      <c r="C13" s="49">
        <v>1</v>
      </c>
      <c r="D13" s="48">
        <f>$B$13/100</f>
        <v>1</v>
      </c>
      <c r="E13" s="49">
        <v>5</v>
      </c>
      <c r="F13" s="49"/>
      <c r="H13" s="298"/>
      <c r="I13" s="299"/>
      <c r="J13" s="299"/>
      <c r="K13" s="299"/>
      <c r="L13" s="299"/>
      <c r="M13" s="300"/>
    </row>
    <row r="14" spans="1:13" x14ac:dyDescent="0.15">
      <c r="A14" s="3"/>
      <c r="B14" s="49"/>
      <c r="C14" s="49"/>
      <c r="D14" s="49"/>
      <c r="E14" s="49"/>
      <c r="F14" s="49"/>
    </row>
    <row r="15" spans="1:13" x14ac:dyDescent="0.15">
      <c r="A15" s="3"/>
      <c r="B15" s="49"/>
      <c r="C15" s="49"/>
      <c r="D15" s="49"/>
      <c r="E15" s="49"/>
      <c r="F15" s="49"/>
    </row>
    <row r="16" spans="1:13" x14ac:dyDescent="0.15">
      <c r="A16" s="3"/>
      <c r="B16" s="49"/>
      <c r="C16" s="49"/>
      <c r="D16" s="49"/>
      <c r="E16" s="49"/>
      <c r="F16" s="49"/>
    </row>
    <row r="17" spans="1:6" x14ac:dyDescent="0.15">
      <c r="A17" s="3"/>
      <c r="B17" s="49"/>
      <c r="C17" s="49"/>
      <c r="D17" s="49"/>
      <c r="E17" s="49"/>
      <c r="F17" s="49"/>
    </row>
    <row r="18" spans="1:6" x14ac:dyDescent="0.15">
      <c r="A18" s="3" t="s">
        <v>3</v>
      </c>
      <c r="B18" s="49"/>
      <c r="C18" s="49"/>
      <c r="D18" s="49"/>
      <c r="E18" s="49"/>
      <c r="F18" s="49"/>
    </row>
    <row r="19" spans="1:6" ht="14.25" thickBot="1" x14ac:dyDescent="0.2">
      <c r="A19" s="4" t="s">
        <v>9</v>
      </c>
      <c r="B19" s="76"/>
      <c r="C19" s="76"/>
      <c r="D19" s="76"/>
      <c r="E19" s="76"/>
      <c r="F19" s="76"/>
    </row>
    <row r="20" spans="1:6" ht="14.25" thickBot="1" x14ac:dyDescent="0.2">
      <c r="A20" s="73" t="s">
        <v>100</v>
      </c>
      <c r="B20" s="74" t="s">
        <v>16</v>
      </c>
      <c r="C20" s="74"/>
      <c r="D20" s="74" t="s">
        <v>106</v>
      </c>
      <c r="E20" s="74"/>
      <c r="F20" s="75"/>
    </row>
    <row r="21" spans="1:6" x14ac:dyDescent="0.15">
      <c r="A21" s="5" t="s">
        <v>101</v>
      </c>
      <c r="B21" s="48">
        <f>B11</f>
        <v>100</v>
      </c>
      <c r="C21" s="48"/>
      <c r="D21" s="48">
        <f>$B$21/100</f>
        <v>1</v>
      </c>
      <c r="E21" s="48"/>
      <c r="F21" s="48"/>
    </row>
    <row r="22" spans="1:6" x14ac:dyDescent="0.15">
      <c r="A22" s="3" t="s">
        <v>102</v>
      </c>
      <c r="B22" s="49">
        <f>B11</f>
        <v>100</v>
      </c>
      <c r="C22" s="48"/>
      <c r="D22" s="48">
        <f>$B$22/100</f>
        <v>1</v>
      </c>
      <c r="E22" s="49"/>
      <c r="F22" s="49"/>
    </row>
    <row r="23" spans="1:6" x14ac:dyDescent="0.15">
      <c r="A23" s="3" t="s">
        <v>105</v>
      </c>
      <c r="B23" s="49">
        <f>B11</f>
        <v>100</v>
      </c>
      <c r="C23" s="48"/>
      <c r="D23" s="48">
        <f>$B$23/100</f>
        <v>1</v>
      </c>
      <c r="E23" s="49"/>
      <c r="F23" s="49"/>
    </row>
    <row r="24" spans="1:6" x14ac:dyDescent="0.15">
      <c r="A24" s="3" t="s">
        <v>103</v>
      </c>
      <c r="B24" s="49">
        <f>B11</f>
        <v>100</v>
      </c>
      <c r="C24" s="48"/>
      <c r="D24" s="48">
        <f>$B$24/100</f>
        <v>1</v>
      </c>
      <c r="E24" s="49"/>
      <c r="F24" s="49"/>
    </row>
    <row r="25" spans="1:6" x14ac:dyDescent="0.15">
      <c r="A25" s="3" t="s">
        <v>104</v>
      </c>
      <c r="B25" s="49">
        <f>B11</f>
        <v>100</v>
      </c>
      <c r="C25" s="48"/>
      <c r="D25" s="48">
        <f>$B$25/100</f>
        <v>1</v>
      </c>
      <c r="E25" s="49"/>
      <c r="F25" s="49"/>
    </row>
    <row r="26" spans="1:6" x14ac:dyDescent="0.15">
      <c r="A26" s="3"/>
      <c r="B26" s="49"/>
      <c r="C26" s="49"/>
      <c r="D26" s="49"/>
      <c r="E26" s="49"/>
      <c r="F26" s="49"/>
    </row>
    <row r="27" spans="1:6" x14ac:dyDescent="0.15">
      <c r="A27" s="3"/>
      <c r="B27" s="49"/>
      <c r="C27" s="49"/>
      <c r="D27" s="49"/>
      <c r="E27" s="49"/>
      <c r="F27" s="49"/>
    </row>
    <row r="28" spans="1:6" x14ac:dyDescent="0.15">
      <c r="A28" s="3"/>
      <c r="B28" s="49"/>
      <c r="C28" s="49"/>
      <c r="D28" s="49"/>
      <c r="E28" s="49"/>
      <c r="F28" s="49"/>
    </row>
    <row r="29" spans="1:6" ht="14.25" customHeight="1" thickBot="1" x14ac:dyDescent="0.2">
      <c r="A29" s="4"/>
      <c r="B29" s="76"/>
      <c r="C29" s="76"/>
      <c r="D29" s="76"/>
      <c r="E29" s="76"/>
      <c r="F29" s="76"/>
    </row>
    <row r="30" spans="1:6" ht="14.25" customHeight="1" thickBot="1" x14ac:dyDescent="0.2">
      <c r="A30" s="73" t="s">
        <v>152</v>
      </c>
      <c r="B30" s="74" t="s">
        <v>153</v>
      </c>
      <c r="C30" s="74" t="s">
        <v>154</v>
      </c>
      <c r="D30" s="74" t="s">
        <v>155</v>
      </c>
      <c r="E30" s="74"/>
      <c r="F30" s="75"/>
    </row>
    <row r="31" spans="1:6" x14ac:dyDescent="0.15">
      <c r="A31" s="5" t="s">
        <v>156</v>
      </c>
      <c r="B31" s="48">
        <v>15</v>
      </c>
      <c r="C31" s="48">
        <v>15</v>
      </c>
      <c r="D31" s="48">
        <v>20</v>
      </c>
      <c r="E31" s="48"/>
      <c r="F31" s="48"/>
    </row>
    <row r="32" spans="1:6" x14ac:dyDescent="0.15">
      <c r="A32" s="5" t="s">
        <v>151</v>
      </c>
      <c r="B32" s="49">
        <v>40</v>
      </c>
      <c r="C32" s="49">
        <v>40</v>
      </c>
      <c r="D32" s="49">
        <v>40</v>
      </c>
      <c r="E32" s="49"/>
      <c r="F32" s="49"/>
    </row>
    <row r="33" spans="1:13" x14ac:dyDescent="0.15">
      <c r="A33" s="3" t="s">
        <v>19</v>
      </c>
      <c r="B33" s="49">
        <v>2</v>
      </c>
      <c r="C33" s="49"/>
      <c r="D33" s="49"/>
      <c r="E33" s="49"/>
      <c r="F33" s="49"/>
      <c r="H33" s="295" t="s">
        <v>680</v>
      </c>
      <c r="I33" s="296"/>
      <c r="J33" s="296"/>
      <c r="K33" s="296"/>
      <c r="L33" s="296"/>
      <c r="M33" s="297"/>
    </row>
    <row r="34" spans="1:13" x14ac:dyDescent="0.15">
      <c r="A34" s="3" t="s">
        <v>20</v>
      </c>
      <c r="B34" s="49"/>
      <c r="C34" s="49"/>
      <c r="D34" s="49"/>
      <c r="E34" s="49"/>
      <c r="F34" s="49"/>
      <c r="H34" s="298"/>
      <c r="I34" s="299"/>
      <c r="J34" s="299"/>
      <c r="K34" s="299"/>
      <c r="L34" s="299"/>
      <c r="M34" s="300"/>
    </row>
    <row r="35" spans="1:13" x14ac:dyDescent="0.15">
      <c r="A35" s="3" t="s">
        <v>21</v>
      </c>
      <c r="B35" s="49">
        <v>2</v>
      </c>
      <c r="C35" s="49"/>
      <c r="D35" s="49"/>
      <c r="E35" s="49"/>
      <c r="F35" s="49"/>
    </row>
    <row r="36" spans="1:13" x14ac:dyDescent="0.15">
      <c r="A36" s="3" t="s">
        <v>22</v>
      </c>
      <c r="B36" s="49">
        <v>3</v>
      </c>
      <c r="C36" s="49"/>
      <c r="D36" s="49"/>
      <c r="E36" s="49"/>
      <c r="F36" s="49"/>
    </row>
    <row r="37" spans="1:13" x14ac:dyDescent="0.15">
      <c r="A37" s="3"/>
      <c r="B37" s="49"/>
      <c r="C37" s="49"/>
      <c r="D37" s="49"/>
      <c r="E37" s="49"/>
      <c r="F37" s="49"/>
    </row>
    <row r="38" spans="1:13" x14ac:dyDescent="0.15">
      <c r="A38" s="3"/>
      <c r="B38" s="49"/>
      <c r="C38" s="49"/>
      <c r="D38" s="49"/>
      <c r="E38" s="49"/>
      <c r="F38" s="49"/>
    </row>
    <row r="39" spans="1:13" ht="14.25" thickBot="1" x14ac:dyDescent="0.2">
      <c r="A39" s="4"/>
      <c r="B39" s="76"/>
      <c r="C39" s="76"/>
      <c r="D39" s="76"/>
      <c r="E39" s="76"/>
      <c r="F39" s="76"/>
    </row>
    <row r="40" spans="1:13" ht="14.25" thickBot="1" x14ac:dyDescent="0.2">
      <c r="A40" s="73" t="s">
        <v>15</v>
      </c>
      <c r="B40" s="74" t="s">
        <v>16</v>
      </c>
      <c r="C40" s="74" t="s">
        <v>17</v>
      </c>
      <c r="D40" s="74"/>
      <c r="E40" s="74"/>
      <c r="F40" s="75"/>
    </row>
    <row r="41" spans="1:13" x14ac:dyDescent="0.15">
      <c r="A41" s="1" t="s">
        <v>168</v>
      </c>
      <c r="B41" s="47">
        <v>100</v>
      </c>
      <c r="C41" s="47">
        <v>3</v>
      </c>
    </row>
  </sheetData>
  <mergeCells count="5">
    <mergeCell ref="H33:M34"/>
    <mergeCell ref="H3:M4"/>
    <mergeCell ref="H6:M7"/>
    <mergeCell ref="H9:M10"/>
    <mergeCell ref="H12:M1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34"/>
  <sheetViews>
    <sheetView workbookViewId="0">
      <selection activeCell="J20" sqref="J20"/>
    </sheetView>
  </sheetViews>
  <sheetFormatPr defaultRowHeight="18.95" customHeight="1" x14ac:dyDescent="0.15"/>
  <cols>
    <col min="1" max="1" width="4.6640625" style="54" customWidth="1"/>
    <col min="2" max="2" width="73" customWidth="1"/>
  </cols>
  <sheetData>
    <row r="1" spans="1:2" ht="20.25" x14ac:dyDescent="0.25">
      <c r="B1" s="53" t="s">
        <v>72</v>
      </c>
    </row>
    <row r="2" spans="1:2" ht="18.95" customHeight="1" x14ac:dyDescent="0.15">
      <c r="A2" s="54" t="s">
        <v>70</v>
      </c>
      <c r="B2" t="s">
        <v>123</v>
      </c>
    </row>
    <row r="3" spans="1:2" ht="18.95" customHeight="1" x14ac:dyDescent="0.15">
      <c r="B3" t="s">
        <v>124</v>
      </c>
    </row>
    <row r="4" spans="1:2" ht="18.95" customHeight="1" x14ac:dyDescent="0.15">
      <c r="A4" s="54" t="s">
        <v>75</v>
      </c>
      <c r="B4" t="s">
        <v>125</v>
      </c>
    </row>
    <row r="5" spans="1:2" ht="18.95" customHeight="1" x14ac:dyDescent="0.15">
      <c r="B5" t="s">
        <v>126</v>
      </c>
    </row>
    <row r="6" spans="1:2" ht="18.95" customHeight="1" x14ac:dyDescent="0.15">
      <c r="A6" s="54" t="s">
        <v>71</v>
      </c>
      <c r="B6" t="s">
        <v>127</v>
      </c>
    </row>
    <row r="7" spans="1:2" ht="18.95" customHeight="1" x14ac:dyDescent="0.15">
      <c r="A7" s="54" t="s">
        <v>73</v>
      </c>
      <c r="B7" t="s">
        <v>128</v>
      </c>
    </row>
    <row r="8" spans="1:2" ht="18.95" customHeight="1" x14ac:dyDescent="0.15">
      <c r="B8" t="s">
        <v>74</v>
      </c>
    </row>
    <row r="9" spans="1:2" ht="18.95" customHeight="1" x14ac:dyDescent="0.15">
      <c r="B9" t="s">
        <v>129</v>
      </c>
    </row>
    <row r="10" spans="1:2" ht="18.95" customHeight="1" x14ac:dyDescent="0.15">
      <c r="B10" t="s">
        <v>130</v>
      </c>
    </row>
    <row r="11" spans="1:2" ht="18.95" customHeight="1" x14ac:dyDescent="0.15">
      <c r="A11" s="54" t="s">
        <v>3</v>
      </c>
      <c r="B11" t="s">
        <v>131</v>
      </c>
    </row>
    <row r="12" spans="1:2" ht="18.95" customHeight="1" x14ac:dyDescent="0.15">
      <c r="A12" s="54" t="s">
        <v>76</v>
      </c>
      <c r="B12" t="s">
        <v>132</v>
      </c>
    </row>
    <row r="13" spans="1:2" ht="18.95" customHeight="1" x14ac:dyDescent="0.15">
      <c r="B13" t="s">
        <v>133</v>
      </c>
    </row>
    <row r="14" spans="1:2" ht="18.95" customHeight="1" x14ac:dyDescent="0.15">
      <c r="B14" t="s">
        <v>134</v>
      </c>
    </row>
    <row r="15" spans="1:2" ht="18.95" customHeight="1" x14ac:dyDescent="0.15">
      <c r="B15" t="s">
        <v>135</v>
      </c>
    </row>
    <row r="16" spans="1:2" ht="18.95" customHeight="1" x14ac:dyDescent="0.15">
      <c r="B16" t="s">
        <v>78</v>
      </c>
    </row>
    <row r="17" spans="1:2" ht="18.95" customHeight="1" x14ac:dyDescent="0.15">
      <c r="A17" s="54" t="s">
        <v>77</v>
      </c>
      <c r="B17" t="s">
        <v>136</v>
      </c>
    </row>
    <row r="18" spans="1:2" ht="18.95" customHeight="1" x14ac:dyDescent="0.15">
      <c r="A18" s="54" t="s">
        <v>137</v>
      </c>
      <c r="B18" s="79" t="s">
        <v>138</v>
      </c>
    </row>
    <row r="19" spans="1:2" ht="18.95" customHeight="1" x14ac:dyDescent="0.15">
      <c r="A19" s="54" t="s">
        <v>139</v>
      </c>
      <c r="B19" t="s">
        <v>140</v>
      </c>
    </row>
    <row r="20" spans="1:2" ht="18.95" customHeight="1" x14ac:dyDescent="0.15">
      <c r="A20" s="54" t="s">
        <v>145</v>
      </c>
      <c r="B20" t="s">
        <v>146</v>
      </c>
    </row>
    <row r="21" spans="1:2" ht="18.95" customHeight="1" x14ac:dyDescent="0.15">
      <c r="A21" s="54" t="s">
        <v>147</v>
      </c>
      <c r="B21" t="s">
        <v>141</v>
      </c>
    </row>
    <row r="33" spans="2:2" ht="18.95" customHeight="1" x14ac:dyDescent="0.15">
      <c r="B33" t="s">
        <v>142</v>
      </c>
    </row>
    <row r="34" spans="2:2" ht="18.95" customHeight="1" x14ac:dyDescent="0.15">
      <c r="B34" t="s">
        <v>143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 지정된 범위</vt:lpstr>
      </vt:variant>
      <vt:variant>
        <vt:i4>19</vt:i4>
      </vt:variant>
    </vt:vector>
  </HeadingPairs>
  <TitlesOfParts>
    <vt:vector size="34" baseType="lpstr">
      <vt:lpstr>겉표지</vt:lpstr>
      <vt:lpstr>표지</vt:lpstr>
      <vt:lpstr>원가</vt:lpstr>
      <vt:lpstr>결제판</vt:lpstr>
      <vt:lpstr>원가계산서</vt:lpstr>
      <vt:lpstr>총괄표</vt:lpstr>
      <vt:lpstr>내역서</vt:lpstr>
      <vt:lpstr>노임근거</vt:lpstr>
      <vt:lpstr>일대목차 (2)</vt:lpstr>
      <vt:lpstr>일위대가 (2)</vt:lpstr>
      <vt:lpstr>일위노임 (2)</vt:lpstr>
      <vt:lpstr>합산자재</vt:lpstr>
      <vt:lpstr>단가조사</vt:lpstr>
      <vt:lpstr>옵션</vt:lpstr>
      <vt:lpstr>사용설명</vt:lpstr>
      <vt:lpstr>겉표지!Print_Area</vt:lpstr>
      <vt:lpstr>결제판!Print_Area</vt:lpstr>
      <vt:lpstr>내역서!Print_Area</vt:lpstr>
      <vt:lpstr>노임근거!Print_Area</vt:lpstr>
      <vt:lpstr>단가조사!Print_Area</vt:lpstr>
      <vt:lpstr>원가!Print_Area</vt:lpstr>
      <vt:lpstr>원가계산서!Print_Area</vt:lpstr>
      <vt:lpstr>'일위노임 (2)'!Print_Area</vt:lpstr>
      <vt:lpstr>'일위대가 (2)'!Print_Area</vt:lpstr>
      <vt:lpstr>총괄표!Print_Area</vt:lpstr>
      <vt:lpstr>표지!Print_Area</vt:lpstr>
      <vt:lpstr>내역서!Print_Titles</vt:lpstr>
      <vt:lpstr>노임근거!Print_Titles</vt:lpstr>
      <vt:lpstr>단가조사!Print_Titles</vt:lpstr>
      <vt:lpstr>'일대목차 (2)'!Print_Titles</vt:lpstr>
      <vt:lpstr>'일위노임 (2)'!Print_Titles</vt:lpstr>
      <vt:lpstr>'일위대가 (2)'!Print_Titles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2026-09-01T10:14:48Z</cp:lastPrinted>
  <dcterms:created xsi:type="dcterms:W3CDTF">2002-09-09T02:35:17Z</dcterms:created>
  <dcterms:modified xsi:type="dcterms:W3CDTF">2026-09-02T06:10:29Z</dcterms:modified>
</cp:coreProperties>
</file>