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6년원예단지\"/>
    </mc:Choice>
  </mc:AlternateContent>
  <bookViews>
    <workbookView xWindow="28680" yWindow="-120" windowWidth="29040" windowHeight="15720" activeTab="1"/>
  </bookViews>
  <sheets>
    <sheet name="원가계산서" sheetId="11" r:id="rId1"/>
    <sheet name="집계표" sheetId="10" r:id="rId2"/>
    <sheet name="내역서" sheetId="9" r:id="rId3"/>
    <sheet name="일위대가목록" sheetId="8" r:id="rId4"/>
    <sheet name="일위대가표" sheetId="7" r:id="rId5"/>
    <sheet name="단가산출서목록" sheetId="6" r:id="rId6"/>
    <sheet name="단가산출서" sheetId="5" r:id="rId7"/>
    <sheet name="중기경비목록" sheetId="4" r:id="rId8"/>
    <sheet name="중기경비" sheetId="3" r:id="rId9"/>
    <sheet name="단가대비표" sheetId="2" r:id="rId10"/>
  </sheets>
  <definedNames>
    <definedName name="_xlnm.Print_Area" localSheetId="2">내역서!$A$1:$M$215</definedName>
    <definedName name="_xlnm.Print_Area" localSheetId="9">단가대비표!$A$1:$O$161</definedName>
    <definedName name="_xlnm.Print_Area" localSheetId="6">단가산출서!$A$1:$F$118</definedName>
    <definedName name="_xlnm.Print_Area" localSheetId="5">단가산출서목록!$A$1:$N$23</definedName>
    <definedName name="_xlnm.Print_Area" localSheetId="0">원가계산서!$A$1:$F$33</definedName>
    <definedName name="_xlnm.Print_Area" localSheetId="3">일위대가목록!$A$1:$N$23</definedName>
    <definedName name="_xlnm.Print_Area" localSheetId="4">일위대가표!$A$1:$M$106</definedName>
    <definedName name="_xlnm.Print_Area" localSheetId="8">중기경비!$A$1:$M$84</definedName>
    <definedName name="_xlnm.Print_Area" localSheetId="7">중기경비목록!$A$1:$N$23</definedName>
    <definedName name="_xlnm.Print_Area" localSheetId="1">집계표!$A$1:$M$23</definedName>
    <definedName name="_xlnm.Print_Titles" localSheetId="2">내역서!$1:$4</definedName>
    <definedName name="_xlnm.Print_Titles" localSheetId="9">단가대비표!$1:$4</definedName>
    <definedName name="_xlnm.Print_Titles" localSheetId="6">단가산출서!$1:$4</definedName>
    <definedName name="_xlnm.Print_Titles" localSheetId="5">단가산출서목록!$1:$4</definedName>
    <definedName name="_xlnm.Print_Titles" localSheetId="0">원가계산서!$1:$4</definedName>
    <definedName name="_xlnm.Print_Titles" localSheetId="3">일위대가목록!$1:$4</definedName>
    <definedName name="_xlnm.Print_Titles" localSheetId="4">일위대가표!$1:$4</definedName>
    <definedName name="_xlnm.Print_Titles" localSheetId="8">중기경비!$1:$4</definedName>
    <definedName name="_xlnm.Print_Titles" localSheetId="7">중기경비목록!$1:$4</definedName>
    <definedName name="_xlnm.Print_Titles" localSheetId="1">집계표!$1:$4</definedName>
  </definedNames>
  <calcPr calcId="162913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2" i="11" l="1"/>
  <c r="D29" i="11"/>
  <c r="D28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D10" i="11"/>
  <c r="AW23" i="10"/>
  <c r="AX23" i="10"/>
  <c r="AY23" i="10"/>
  <c r="AV215" i="9"/>
  <c r="AV9" i="10" s="1"/>
  <c r="AW215" i="9"/>
  <c r="AX215" i="9"/>
  <c r="AY215" i="9"/>
  <c r="O204" i="9"/>
  <c r="S204" i="9"/>
  <c r="T204" i="9"/>
  <c r="U204" i="9"/>
  <c r="V204" i="9"/>
  <c r="W204" i="9"/>
  <c r="X204" i="9"/>
  <c r="Y204" i="9"/>
  <c r="Z204" i="9"/>
  <c r="AA204" i="9"/>
  <c r="AB204" i="9"/>
  <c r="AC204" i="9"/>
  <c r="AD204" i="9"/>
  <c r="AE204" i="9"/>
  <c r="AF204" i="9"/>
  <c r="AG204" i="9"/>
  <c r="AH204" i="9"/>
  <c r="AI204" i="9"/>
  <c r="AJ204" i="9"/>
  <c r="AK204" i="9"/>
  <c r="AL204" i="9"/>
  <c r="AM204" i="9"/>
  <c r="AN204" i="9"/>
  <c r="AO204" i="9"/>
  <c r="AP204" i="9"/>
  <c r="AQ204" i="9"/>
  <c r="AR204" i="9"/>
  <c r="AS204" i="9"/>
  <c r="AT204" i="9"/>
  <c r="AU204" i="9"/>
  <c r="O203" i="9"/>
  <c r="S203" i="9"/>
  <c r="T203" i="9"/>
  <c r="U203" i="9"/>
  <c r="V203" i="9"/>
  <c r="W203" i="9"/>
  <c r="X203" i="9"/>
  <c r="Y203" i="9"/>
  <c r="Z203" i="9"/>
  <c r="AA203" i="9"/>
  <c r="AB203" i="9"/>
  <c r="AC203" i="9"/>
  <c r="AD203" i="9"/>
  <c r="AE203" i="9"/>
  <c r="AF203" i="9"/>
  <c r="AG203" i="9"/>
  <c r="AH203" i="9"/>
  <c r="AI203" i="9"/>
  <c r="AJ203" i="9"/>
  <c r="AK203" i="9"/>
  <c r="AL203" i="9"/>
  <c r="AM203" i="9"/>
  <c r="AN203" i="9"/>
  <c r="AO203" i="9"/>
  <c r="AP203" i="9"/>
  <c r="AQ203" i="9"/>
  <c r="AR203" i="9"/>
  <c r="AS203" i="9"/>
  <c r="AT203" i="9"/>
  <c r="AU203" i="9"/>
  <c r="O202" i="9"/>
  <c r="S202" i="9"/>
  <c r="T202" i="9"/>
  <c r="U202" i="9"/>
  <c r="V202" i="9"/>
  <c r="W202" i="9"/>
  <c r="X202" i="9"/>
  <c r="Y202" i="9"/>
  <c r="Z202" i="9"/>
  <c r="AA202" i="9"/>
  <c r="AB202" i="9"/>
  <c r="AC202" i="9"/>
  <c r="AD202" i="9"/>
  <c r="AE202" i="9"/>
  <c r="AF202" i="9"/>
  <c r="AG202" i="9"/>
  <c r="AH202" i="9"/>
  <c r="AI202" i="9"/>
  <c r="AJ202" i="9"/>
  <c r="AK202" i="9"/>
  <c r="AL202" i="9"/>
  <c r="AM202" i="9"/>
  <c r="AN202" i="9"/>
  <c r="AO202" i="9"/>
  <c r="AP202" i="9"/>
  <c r="AQ202" i="9"/>
  <c r="AR202" i="9"/>
  <c r="AS202" i="9"/>
  <c r="AT202" i="9"/>
  <c r="AU202" i="9"/>
  <c r="O201" i="9"/>
  <c r="S201" i="9"/>
  <c r="T201" i="9"/>
  <c r="U201" i="9"/>
  <c r="V201" i="9"/>
  <c r="W201" i="9"/>
  <c r="X201" i="9"/>
  <c r="Y201" i="9"/>
  <c r="Z201" i="9"/>
  <c r="AA201" i="9"/>
  <c r="AB201" i="9"/>
  <c r="AC201" i="9"/>
  <c r="AD201" i="9"/>
  <c r="AE201" i="9"/>
  <c r="AF201" i="9"/>
  <c r="AG201" i="9"/>
  <c r="AH201" i="9"/>
  <c r="AI201" i="9"/>
  <c r="AJ201" i="9"/>
  <c r="AK201" i="9"/>
  <c r="AL201" i="9"/>
  <c r="AM201" i="9"/>
  <c r="AN201" i="9"/>
  <c r="AO201" i="9"/>
  <c r="AP201" i="9"/>
  <c r="AQ201" i="9"/>
  <c r="AR201" i="9"/>
  <c r="AS201" i="9"/>
  <c r="AT201" i="9"/>
  <c r="AU201" i="9"/>
  <c r="E200" i="9"/>
  <c r="F200" i="9" s="1"/>
  <c r="H200" i="9"/>
  <c r="J200" i="9"/>
  <c r="R200" i="9" s="1"/>
  <c r="O200" i="9"/>
  <c r="S200" i="9"/>
  <c r="T200" i="9"/>
  <c r="U200" i="9"/>
  <c r="V200" i="9"/>
  <c r="W200" i="9"/>
  <c r="X200" i="9"/>
  <c r="Y200" i="9"/>
  <c r="Z200" i="9"/>
  <c r="AA200" i="9"/>
  <c r="AB200" i="9"/>
  <c r="AC200" i="9"/>
  <c r="AD200" i="9"/>
  <c r="AE200" i="9"/>
  <c r="AF200" i="9"/>
  <c r="AG200" i="9"/>
  <c r="AH200" i="9"/>
  <c r="AI200" i="9"/>
  <c r="AJ200" i="9"/>
  <c r="AK200" i="9"/>
  <c r="AL200" i="9"/>
  <c r="AM200" i="9"/>
  <c r="AN200" i="9"/>
  <c r="AO200" i="9"/>
  <c r="AP200" i="9"/>
  <c r="AQ200" i="9"/>
  <c r="AR200" i="9"/>
  <c r="AS200" i="9"/>
  <c r="AT200" i="9"/>
  <c r="AU200" i="9"/>
  <c r="E199" i="9"/>
  <c r="F199" i="9" s="1"/>
  <c r="H199" i="9"/>
  <c r="J199" i="9"/>
  <c r="R199" i="9" s="1"/>
  <c r="O199" i="9"/>
  <c r="S199" i="9"/>
  <c r="T199" i="9"/>
  <c r="U199" i="9"/>
  <c r="V199" i="9"/>
  <c r="W199" i="9"/>
  <c r="X199" i="9"/>
  <c r="Y199" i="9"/>
  <c r="Z199" i="9"/>
  <c r="AA199" i="9"/>
  <c r="AB199" i="9"/>
  <c r="AC199" i="9"/>
  <c r="AD199" i="9"/>
  <c r="AE199" i="9"/>
  <c r="AF199" i="9"/>
  <c r="AG199" i="9"/>
  <c r="AH199" i="9"/>
  <c r="AI199" i="9"/>
  <c r="AJ199" i="9"/>
  <c r="AK199" i="9"/>
  <c r="AL199" i="9"/>
  <c r="AM199" i="9"/>
  <c r="AN199" i="9"/>
  <c r="AO199" i="9"/>
  <c r="AP199" i="9"/>
  <c r="AQ199" i="9"/>
  <c r="AR199" i="9"/>
  <c r="AS199" i="9"/>
  <c r="AT199" i="9"/>
  <c r="AU199" i="9"/>
  <c r="K198" i="9"/>
  <c r="O198" i="9"/>
  <c r="AV196" i="9"/>
  <c r="AV8" i="10" s="1"/>
  <c r="AW196" i="9"/>
  <c r="AX196" i="9"/>
  <c r="AY196" i="9"/>
  <c r="O194" i="9"/>
  <c r="S194" i="9"/>
  <c r="T194" i="9"/>
  <c r="U194" i="9"/>
  <c r="V194" i="9"/>
  <c r="W194" i="9"/>
  <c r="X194" i="9"/>
  <c r="Y194" i="9"/>
  <c r="Z194" i="9"/>
  <c r="AA194" i="9"/>
  <c r="AB194" i="9"/>
  <c r="AC194" i="9"/>
  <c r="AD194" i="9"/>
  <c r="AE194" i="9"/>
  <c r="AF194" i="9"/>
  <c r="AG194" i="9"/>
  <c r="AH194" i="9"/>
  <c r="AI194" i="9"/>
  <c r="AJ194" i="9"/>
  <c r="AK194" i="9"/>
  <c r="AL194" i="9"/>
  <c r="AM194" i="9"/>
  <c r="AN194" i="9"/>
  <c r="AO194" i="9"/>
  <c r="AP194" i="9"/>
  <c r="AQ194" i="9"/>
  <c r="AR194" i="9"/>
  <c r="AS194" i="9"/>
  <c r="AT194" i="9"/>
  <c r="AU194" i="9"/>
  <c r="O193" i="9"/>
  <c r="S193" i="9"/>
  <c r="T193" i="9"/>
  <c r="U193" i="9"/>
  <c r="V193" i="9"/>
  <c r="W193" i="9"/>
  <c r="X193" i="9"/>
  <c r="Y193" i="9"/>
  <c r="Z193" i="9"/>
  <c r="AA193" i="9"/>
  <c r="AB193" i="9"/>
  <c r="AC193" i="9"/>
  <c r="AD193" i="9"/>
  <c r="AE193" i="9"/>
  <c r="AF193" i="9"/>
  <c r="AG193" i="9"/>
  <c r="AH193" i="9"/>
  <c r="AI193" i="9"/>
  <c r="AJ193" i="9"/>
  <c r="AK193" i="9"/>
  <c r="AL193" i="9"/>
  <c r="AM193" i="9"/>
  <c r="AN193" i="9"/>
  <c r="AO193" i="9"/>
  <c r="AP193" i="9"/>
  <c r="AQ193" i="9"/>
  <c r="AR193" i="9"/>
  <c r="AS193" i="9"/>
  <c r="AT193" i="9"/>
  <c r="AU193" i="9"/>
  <c r="E192" i="9"/>
  <c r="K192" i="9" s="1"/>
  <c r="H192" i="9"/>
  <c r="J192" i="9"/>
  <c r="R192" i="9" s="1"/>
  <c r="O192" i="9"/>
  <c r="S192" i="9"/>
  <c r="T192" i="9"/>
  <c r="U192" i="9"/>
  <c r="V192" i="9"/>
  <c r="W192" i="9"/>
  <c r="X192" i="9"/>
  <c r="Y192" i="9"/>
  <c r="Z192" i="9"/>
  <c r="AA192" i="9"/>
  <c r="AB192" i="9"/>
  <c r="AC192" i="9"/>
  <c r="AD192" i="9"/>
  <c r="AE192" i="9"/>
  <c r="AF192" i="9"/>
  <c r="AG192" i="9"/>
  <c r="AH192" i="9"/>
  <c r="AI192" i="9"/>
  <c r="AJ192" i="9"/>
  <c r="AK192" i="9"/>
  <c r="AL192" i="9"/>
  <c r="AM192" i="9"/>
  <c r="AN192" i="9"/>
  <c r="AO192" i="9"/>
  <c r="AP192" i="9"/>
  <c r="AQ192" i="9"/>
  <c r="AR192" i="9"/>
  <c r="AS192" i="9"/>
  <c r="AT192" i="9"/>
  <c r="AU192" i="9"/>
  <c r="E191" i="9"/>
  <c r="F191" i="9" s="1"/>
  <c r="H191" i="9"/>
  <c r="J191" i="9"/>
  <c r="R191" i="9" s="1"/>
  <c r="O191" i="9"/>
  <c r="S191" i="9"/>
  <c r="T191" i="9"/>
  <c r="U191" i="9"/>
  <c r="V191" i="9"/>
  <c r="W191" i="9"/>
  <c r="X191" i="9"/>
  <c r="Y191" i="9"/>
  <c r="Z191" i="9"/>
  <c r="AA191" i="9"/>
  <c r="AB191" i="9"/>
  <c r="AC191" i="9"/>
  <c r="AD191" i="9"/>
  <c r="AE191" i="9"/>
  <c r="AF191" i="9"/>
  <c r="AG191" i="9"/>
  <c r="AH191" i="9"/>
  <c r="AI191" i="9"/>
  <c r="AJ191" i="9"/>
  <c r="AK191" i="9"/>
  <c r="AL191" i="9"/>
  <c r="AM191" i="9"/>
  <c r="AN191" i="9"/>
  <c r="AO191" i="9"/>
  <c r="AP191" i="9"/>
  <c r="AQ191" i="9"/>
  <c r="AR191" i="9"/>
  <c r="AS191" i="9"/>
  <c r="AT191" i="9"/>
  <c r="AU191" i="9"/>
  <c r="E190" i="9"/>
  <c r="F190" i="9" s="1"/>
  <c r="H190" i="9"/>
  <c r="J190" i="9"/>
  <c r="R190" i="9" s="1"/>
  <c r="O190" i="9"/>
  <c r="S190" i="9"/>
  <c r="T190" i="9"/>
  <c r="U190" i="9"/>
  <c r="V190" i="9"/>
  <c r="W190" i="9"/>
  <c r="X190" i="9"/>
  <c r="Y190" i="9"/>
  <c r="Z190" i="9"/>
  <c r="AA190" i="9"/>
  <c r="AB190" i="9"/>
  <c r="AC190" i="9"/>
  <c r="AD190" i="9"/>
  <c r="AE190" i="9"/>
  <c r="AF190" i="9"/>
  <c r="AG190" i="9"/>
  <c r="AH190" i="9"/>
  <c r="AI190" i="9"/>
  <c r="AJ190" i="9"/>
  <c r="AK190" i="9"/>
  <c r="AL190" i="9"/>
  <c r="AM190" i="9"/>
  <c r="AN190" i="9"/>
  <c r="AO190" i="9"/>
  <c r="AP190" i="9"/>
  <c r="AQ190" i="9"/>
  <c r="AR190" i="9"/>
  <c r="AS190" i="9"/>
  <c r="AT190" i="9"/>
  <c r="AU190" i="9"/>
  <c r="E189" i="9"/>
  <c r="F189" i="9" s="1"/>
  <c r="H189" i="9"/>
  <c r="J189" i="9"/>
  <c r="R189" i="9" s="1"/>
  <c r="O189" i="9"/>
  <c r="S189" i="9"/>
  <c r="T189" i="9"/>
  <c r="U189" i="9"/>
  <c r="V189" i="9"/>
  <c r="W189" i="9"/>
  <c r="X189" i="9"/>
  <c r="Y189" i="9"/>
  <c r="Z189" i="9"/>
  <c r="AA189" i="9"/>
  <c r="AB189" i="9"/>
  <c r="AC189" i="9"/>
  <c r="AD189" i="9"/>
  <c r="AE189" i="9"/>
  <c r="AF189" i="9"/>
  <c r="AG189" i="9"/>
  <c r="AH189" i="9"/>
  <c r="AI189" i="9"/>
  <c r="AJ189" i="9"/>
  <c r="AK189" i="9"/>
  <c r="AL189" i="9"/>
  <c r="AM189" i="9"/>
  <c r="AN189" i="9"/>
  <c r="AO189" i="9"/>
  <c r="AP189" i="9"/>
  <c r="AQ189" i="9"/>
  <c r="AR189" i="9"/>
  <c r="AS189" i="9"/>
  <c r="AT189" i="9"/>
  <c r="AU189" i="9"/>
  <c r="E188" i="9"/>
  <c r="F188" i="9" s="1"/>
  <c r="H188" i="9"/>
  <c r="J188" i="9"/>
  <c r="R188" i="9" s="1"/>
  <c r="O188" i="9"/>
  <c r="S188" i="9"/>
  <c r="T188" i="9"/>
  <c r="U188" i="9"/>
  <c r="V188" i="9"/>
  <c r="W188" i="9"/>
  <c r="X188" i="9"/>
  <c r="Y188" i="9"/>
  <c r="Z188" i="9"/>
  <c r="AA188" i="9"/>
  <c r="AB188" i="9"/>
  <c r="AC188" i="9"/>
  <c r="AD188" i="9"/>
  <c r="AE188" i="9"/>
  <c r="AF188" i="9"/>
  <c r="AG188" i="9"/>
  <c r="AH188" i="9"/>
  <c r="AI188" i="9"/>
  <c r="AJ188" i="9"/>
  <c r="AK188" i="9"/>
  <c r="AL188" i="9"/>
  <c r="AM188" i="9"/>
  <c r="AN188" i="9"/>
  <c r="AO188" i="9"/>
  <c r="AP188" i="9"/>
  <c r="AQ188" i="9"/>
  <c r="AR188" i="9"/>
  <c r="AS188" i="9"/>
  <c r="AT188" i="9"/>
  <c r="AU188" i="9"/>
  <c r="E187" i="9"/>
  <c r="F187" i="9" s="1"/>
  <c r="H187" i="9"/>
  <c r="J187" i="9"/>
  <c r="R187" i="9" s="1"/>
  <c r="O187" i="9"/>
  <c r="S187" i="9"/>
  <c r="T187" i="9"/>
  <c r="U187" i="9"/>
  <c r="V187" i="9"/>
  <c r="W187" i="9"/>
  <c r="X187" i="9"/>
  <c r="Y187" i="9"/>
  <c r="Z187" i="9"/>
  <c r="AA187" i="9"/>
  <c r="AB187" i="9"/>
  <c r="AC187" i="9"/>
  <c r="AD187" i="9"/>
  <c r="AE187" i="9"/>
  <c r="AF187" i="9"/>
  <c r="AG187" i="9"/>
  <c r="AH187" i="9"/>
  <c r="AI187" i="9"/>
  <c r="AJ187" i="9"/>
  <c r="AK187" i="9"/>
  <c r="AL187" i="9"/>
  <c r="AM187" i="9"/>
  <c r="AN187" i="9"/>
  <c r="AO187" i="9"/>
  <c r="AP187" i="9"/>
  <c r="AQ187" i="9"/>
  <c r="AR187" i="9"/>
  <c r="AS187" i="9"/>
  <c r="AT187" i="9"/>
  <c r="AU187" i="9"/>
  <c r="E186" i="9"/>
  <c r="F186" i="9" s="1"/>
  <c r="H186" i="9"/>
  <c r="J186" i="9"/>
  <c r="R186" i="9" s="1"/>
  <c r="O186" i="9"/>
  <c r="S186" i="9"/>
  <c r="T186" i="9"/>
  <c r="U186" i="9"/>
  <c r="V186" i="9"/>
  <c r="W186" i="9"/>
  <c r="X186" i="9"/>
  <c r="Y186" i="9"/>
  <c r="Z186" i="9"/>
  <c r="AA186" i="9"/>
  <c r="AB186" i="9"/>
  <c r="AC186" i="9"/>
  <c r="AD186" i="9"/>
  <c r="AE186" i="9"/>
  <c r="AF186" i="9"/>
  <c r="AG186" i="9"/>
  <c r="AH186" i="9"/>
  <c r="AI186" i="9"/>
  <c r="AJ186" i="9"/>
  <c r="AK186" i="9"/>
  <c r="AL186" i="9"/>
  <c r="AM186" i="9"/>
  <c r="AN186" i="9"/>
  <c r="AO186" i="9"/>
  <c r="AP186" i="9"/>
  <c r="AQ186" i="9"/>
  <c r="AR186" i="9"/>
  <c r="AS186" i="9"/>
  <c r="AT186" i="9"/>
  <c r="AU186" i="9"/>
  <c r="E185" i="9"/>
  <c r="F185" i="9" s="1"/>
  <c r="H185" i="9"/>
  <c r="J185" i="9"/>
  <c r="R185" i="9" s="1"/>
  <c r="O185" i="9"/>
  <c r="S185" i="9"/>
  <c r="T185" i="9"/>
  <c r="U185" i="9"/>
  <c r="V185" i="9"/>
  <c r="W185" i="9"/>
  <c r="X185" i="9"/>
  <c r="Y185" i="9"/>
  <c r="Z185" i="9"/>
  <c r="AA185" i="9"/>
  <c r="AB185" i="9"/>
  <c r="AC185" i="9"/>
  <c r="AD185" i="9"/>
  <c r="AE185" i="9"/>
  <c r="AF185" i="9"/>
  <c r="AG185" i="9"/>
  <c r="AH185" i="9"/>
  <c r="AI185" i="9"/>
  <c r="AJ185" i="9"/>
  <c r="AK185" i="9"/>
  <c r="AL185" i="9"/>
  <c r="AM185" i="9"/>
  <c r="AN185" i="9"/>
  <c r="AO185" i="9"/>
  <c r="AP185" i="9"/>
  <c r="AQ185" i="9"/>
  <c r="AR185" i="9"/>
  <c r="AS185" i="9"/>
  <c r="AT185" i="9"/>
  <c r="AU185" i="9"/>
  <c r="E184" i="9"/>
  <c r="F184" i="9" s="1"/>
  <c r="H184" i="9"/>
  <c r="J184" i="9"/>
  <c r="R184" i="9" s="1"/>
  <c r="O184" i="9"/>
  <c r="S184" i="9"/>
  <c r="T184" i="9"/>
  <c r="U184" i="9"/>
  <c r="V184" i="9"/>
  <c r="W184" i="9"/>
  <c r="X184" i="9"/>
  <c r="Y184" i="9"/>
  <c r="Z184" i="9"/>
  <c r="AA184" i="9"/>
  <c r="AB184" i="9"/>
  <c r="AC184" i="9"/>
  <c r="AD184" i="9"/>
  <c r="AE184" i="9"/>
  <c r="AF184" i="9"/>
  <c r="AG184" i="9"/>
  <c r="AH184" i="9"/>
  <c r="AI184" i="9"/>
  <c r="AJ184" i="9"/>
  <c r="AK184" i="9"/>
  <c r="AL184" i="9"/>
  <c r="AM184" i="9"/>
  <c r="AN184" i="9"/>
  <c r="AO184" i="9"/>
  <c r="AP184" i="9"/>
  <c r="AQ184" i="9"/>
  <c r="AR184" i="9"/>
  <c r="AS184" i="9"/>
  <c r="AT184" i="9"/>
  <c r="AU184" i="9"/>
  <c r="E183" i="9"/>
  <c r="F183" i="9" s="1"/>
  <c r="H183" i="9"/>
  <c r="J183" i="9"/>
  <c r="R183" i="9" s="1"/>
  <c r="O183" i="9"/>
  <c r="S183" i="9"/>
  <c r="T183" i="9"/>
  <c r="U183" i="9"/>
  <c r="V183" i="9"/>
  <c r="W183" i="9"/>
  <c r="X183" i="9"/>
  <c r="Y183" i="9"/>
  <c r="Z183" i="9"/>
  <c r="AA183" i="9"/>
  <c r="AB183" i="9"/>
  <c r="AC183" i="9"/>
  <c r="AD183" i="9"/>
  <c r="AE183" i="9"/>
  <c r="AF183" i="9"/>
  <c r="AG183" i="9"/>
  <c r="AH183" i="9"/>
  <c r="AI183" i="9"/>
  <c r="AJ183" i="9"/>
  <c r="AK183" i="9"/>
  <c r="AL183" i="9"/>
  <c r="AM183" i="9"/>
  <c r="AN183" i="9"/>
  <c r="AO183" i="9"/>
  <c r="AP183" i="9"/>
  <c r="AQ183" i="9"/>
  <c r="AR183" i="9"/>
  <c r="AS183" i="9"/>
  <c r="AT183" i="9"/>
  <c r="AU183" i="9"/>
  <c r="E182" i="9"/>
  <c r="F182" i="9" s="1"/>
  <c r="H182" i="9"/>
  <c r="J182" i="9"/>
  <c r="R182" i="9" s="1"/>
  <c r="O182" i="9"/>
  <c r="S182" i="9"/>
  <c r="T182" i="9"/>
  <c r="U182" i="9"/>
  <c r="V182" i="9"/>
  <c r="W182" i="9"/>
  <c r="X182" i="9"/>
  <c r="Y182" i="9"/>
  <c r="Z182" i="9"/>
  <c r="AA182" i="9"/>
  <c r="AB182" i="9"/>
  <c r="AC182" i="9"/>
  <c r="AD182" i="9"/>
  <c r="AE182" i="9"/>
  <c r="AF182" i="9"/>
  <c r="AG182" i="9"/>
  <c r="AH182" i="9"/>
  <c r="AI182" i="9"/>
  <c r="AJ182" i="9"/>
  <c r="AK182" i="9"/>
  <c r="AL182" i="9"/>
  <c r="AM182" i="9"/>
  <c r="AN182" i="9"/>
  <c r="AO182" i="9"/>
  <c r="AP182" i="9"/>
  <c r="AQ182" i="9"/>
  <c r="AR182" i="9"/>
  <c r="AS182" i="9"/>
  <c r="AT182" i="9"/>
  <c r="AU182" i="9"/>
  <c r="E181" i="9"/>
  <c r="K181" i="9" s="1"/>
  <c r="H181" i="9"/>
  <c r="J181" i="9"/>
  <c r="R181" i="9" s="1"/>
  <c r="O181" i="9"/>
  <c r="S181" i="9"/>
  <c r="T181" i="9"/>
  <c r="U181" i="9"/>
  <c r="V181" i="9"/>
  <c r="W181" i="9"/>
  <c r="X181" i="9"/>
  <c r="Y181" i="9"/>
  <c r="Z181" i="9"/>
  <c r="AA181" i="9"/>
  <c r="AB181" i="9"/>
  <c r="AC181" i="9"/>
  <c r="AD181" i="9"/>
  <c r="AE181" i="9"/>
  <c r="AF181" i="9"/>
  <c r="AG181" i="9"/>
  <c r="AH181" i="9"/>
  <c r="AI181" i="9"/>
  <c r="AJ181" i="9"/>
  <c r="AK181" i="9"/>
  <c r="AL181" i="9"/>
  <c r="AM181" i="9"/>
  <c r="AN181" i="9"/>
  <c r="AO181" i="9"/>
  <c r="AP181" i="9"/>
  <c r="AQ181" i="9"/>
  <c r="AR181" i="9"/>
  <c r="AS181" i="9"/>
  <c r="AT181" i="9"/>
  <c r="AU181" i="9"/>
  <c r="E180" i="9"/>
  <c r="F180" i="9" s="1"/>
  <c r="H180" i="9"/>
  <c r="J180" i="9"/>
  <c r="R180" i="9" s="1"/>
  <c r="O180" i="9"/>
  <c r="S180" i="9"/>
  <c r="T180" i="9"/>
  <c r="U180" i="9"/>
  <c r="V180" i="9"/>
  <c r="W180" i="9"/>
  <c r="X180" i="9"/>
  <c r="Y180" i="9"/>
  <c r="Z180" i="9"/>
  <c r="AA180" i="9"/>
  <c r="AB180" i="9"/>
  <c r="AC180" i="9"/>
  <c r="AD180" i="9"/>
  <c r="AE180" i="9"/>
  <c r="AF180" i="9"/>
  <c r="AG180" i="9"/>
  <c r="AH180" i="9"/>
  <c r="AI180" i="9"/>
  <c r="AJ180" i="9"/>
  <c r="AK180" i="9"/>
  <c r="AL180" i="9"/>
  <c r="AM180" i="9"/>
  <c r="AN180" i="9"/>
  <c r="AO180" i="9"/>
  <c r="AP180" i="9"/>
  <c r="AQ180" i="9"/>
  <c r="AR180" i="9"/>
  <c r="AS180" i="9"/>
  <c r="AT180" i="9"/>
  <c r="AU180" i="9"/>
  <c r="E179" i="9"/>
  <c r="F179" i="9" s="1"/>
  <c r="H179" i="9"/>
  <c r="J179" i="9"/>
  <c r="R179" i="9" s="1"/>
  <c r="O179" i="9"/>
  <c r="S179" i="9"/>
  <c r="T179" i="9"/>
  <c r="U179" i="9"/>
  <c r="V179" i="9"/>
  <c r="W179" i="9"/>
  <c r="X179" i="9"/>
  <c r="Y179" i="9"/>
  <c r="Z179" i="9"/>
  <c r="AA179" i="9"/>
  <c r="AB179" i="9"/>
  <c r="AC179" i="9"/>
  <c r="AD179" i="9"/>
  <c r="AE179" i="9"/>
  <c r="AF179" i="9"/>
  <c r="AG179" i="9"/>
  <c r="AH179" i="9"/>
  <c r="AI179" i="9"/>
  <c r="AJ179" i="9"/>
  <c r="AK179" i="9"/>
  <c r="AL179" i="9"/>
  <c r="AM179" i="9"/>
  <c r="AN179" i="9"/>
  <c r="AO179" i="9"/>
  <c r="AP179" i="9"/>
  <c r="AQ179" i="9"/>
  <c r="AR179" i="9"/>
  <c r="AS179" i="9"/>
  <c r="AT179" i="9"/>
  <c r="AU179" i="9"/>
  <c r="E178" i="9"/>
  <c r="K178" i="9" s="1"/>
  <c r="H178" i="9"/>
  <c r="J178" i="9"/>
  <c r="R178" i="9" s="1"/>
  <c r="O178" i="9"/>
  <c r="S178" i="9"/>
  <c r="T178" i="9"/>
  <c r="U178" i="9"/>
  <c r="V178" i="9"/>
  <c r="W178" i="9"/>
  <c r="X178" i="9"/>
  <c r="Y178" i="9"/>
  <c r="Z178" i="9"/>
  <c r="AA178" i="9"/>
  <c r="AB178" i="9"/>
  <c r="AC178" i="9"/>
  <c r="AD178" i="9"/>
  <c r="AE178" i="9"/>
  <c r="AF178" i="9"/>
  <c r="AG178" i="9"/>
  <c r="AH178" i="9"/>
  <c r="AI178" i="9"/>
  <c r="AJ178" i="9"/>
  <c r="AK178" i="9"/>
  <c r="AL178" i="9"/>
  <c r="AM178" i="9"/>
  <c r="AN178" i="9"/>
  <c r="AO178" i="9"/>
  <c r="AP178" i="9"/>
  <c r="AQ178" i="9"/>
  <c r="AR178" i="9"/>
  <c r="AS178" i="9"/>
  <c r="AT178" i="9"/>
  <c r="AU178" i="9"/>
  <c r="E177" i="9"/>
  <c r="K177" i="9" s="1"/>
  <c r="H177" i="9"/>
  <c r="J177" i="9"/>
  <c r="R177" i="9" s="1"/>
  <c r="O177" i="9"/>
  <c r="S177" i="9"/>
  <c r="T177" i="9"/>
  <c r="U177" i="9"/>
  <c r="V177" i="9"/>
  <c r="W177" i="9"/>
  <c r="X177" i="9"/>
  <c r="Y177" i="9"/>
  <c r="Z177" i="9"/>
  <c r="AA177" i="9"/>
  <c r="AB177" i="9"/>
  <c r="AC177" i="9"/>
  <c r="AD177" i="9"/>
  <c r="AE177" i="9"/>
  <c r="AF177" i="9"/>
  <c r="AG177" i="9"/>
  <c r="AH177" i="9"/>
  <c r="AI177" i="9"/>
  <c r="AJ177" i="9"/>
  <c r="AK177" i="9"/>
  <c r="AL177" i="9"/>
  <c r="AM177" i="9"/>
  <c r="AN177" i="9"/>
  <c r="AO177" i="9"/>
  <c r="AP177" i="9"/>
  <c r="AQ177" i="9"/>
  <c r="AR177" i="9"/>
  <c r="AS177" i="9"/>
  <c r="AT177" i="9"/>
  <c r="AU177" i="9"/>
  <c r="E176" i="9"/>
  <c r="F176" i="9" s="1"/>
  <c r="H176" i="9"/>
  <c r="J176" i="9"/>
  <c r="R176" i="9" s="1"/>
  <c r="O176" i="9"/>
  <c r="S176" i="9"/>
  <c r="T176" i="9"/>
  <c r="U176" i="9"/>
  <c r="V176" i="9"/>
  <c r="W176" i="9"/>
  <c r="X176" i="9"/>
  <c r="Y176" i="9"/>
  <c r="Z176" i="9"/>
  <c r="AA176" i="9"/>
  <c r="AB176" i="9"/>
  <c r="AC176" i="9"/>
  <c r="AD176" i="9"/>
  <c r="AE176" i="9"/>
  <c r="AF176" i="9"/>
  <c r="AG176" i="9"/>
  <c r="AH176" i="9"/>
  <c r="AI176" i="9"/>
  <c r="AJ176" i="9"/>
  <c r="AK176" i="9"/>
  <c r="AL176" i="9"/>
  <c r="AM176" i="9"/>
  <c r="AN176" i="9"/>
  <c r="AO176" i="9"/>
  <c r="AP176" i="9"/>
  <c r="AQ176" i="9"/>
  <c r="AR176" i="9"/>
  <c r="AS176" i="9"/>
  <c r="AT176" i="9"/>
  <c r="AU176" i="9"/>
  <c r="E175" i="9"/>
  <c r="F175" i="9" s="1"/>
  <c r="H175" i="9"/>
  <c r="J175" i="9"/>
  <c r="R175" i="9" s="1"/>
  <c r="O175" i="9"/>
  <c r="S175" i="9"/>
  <c r="T175" i="9"/>
  <c r="U175" i="9"/>
  <c r="V175" i="9"/>
  <c r="W175" i="9"/>
  <c r="X175" i="9"/>
  <c r="Y175" i="9"/>
  <c r="Z175" i="9"/>
  <c r="AA175" i="9"/>
  <c r="AB175" i="9"/>
  <c r="AC175" i="9"/>
  <c r="AD175" i="9"/>
  <c r="AE175" i="9"/>
  <c r="AF175" i="9"/>
  <c r="AG175" i="9"/>
  <c r="AH175" i="9"/>
  <c r="AI175" i="9"/>
  <c r="AJ175" i="9"/>
  <c r="AK175" i="9"/>
  <c r="AL175" i="9"/>
  <c r="AM175" i="9"/>
  <c r="AN175" i="9"/>
  <c r="AO175" i="9"/>
  <c r="AP175" i="9"/>
  <c r="AQ175" i="9"/>
  <c r="AR175" i="9"/>
  <c r="AS175" i="9"/>
  <c r="AT175" i="9"/>
  <c r="AU175" i="9"/>
  <c r="E174" i="9"/>
  <c r="K174" i="9" s="1"/>
  <c r="H174" i="9"/>
  <c r="J174" i="9"/>
  <c r="R174" i="9" s="1"/>
  <c r="O174" i="9"/>
  <c r="S174" i="9"/>
  <c r="T174" i="9"/>
  <c r="U174" i="9"/>
  <c r="V174" i="9"/>
  <c r="W174" i="9"/>
  <c r="X174" i="9"/>
  <c r="Y174" i="9"/>
  <c r="Z174" i="9"/>
  <c r="AA174" i="9"/>
  <c r="AB174" i="9"/>
  <c r="AC174" i="9"/>
  <c r="AD174" i="9"/>
  <c r="AE174" i="9"/>
  <c r="AF174" i="9"/>
  <c r="AG174" i="9"/>
  <c r="AH174" i="9"/>
  <c r="AI174" i="9"/>
  <c r="AJ174" i="9"/>
  <c r="AK174" i="9"/>
  <c r="AL174" i="9"/>
  <c r="AM174" i="9"/>
  <c r="AN174" i="9"/>
  <c r="AO174" i="9"/>
  <c r="AP174" i="9"/>
  <c r="AQ174" i="9"/>
  <c r="AR174" i="9"/>
  <c r="AS174" i="9"/>
  <c r="AT174" i="9"/>
  <c r="AU174" i="9"/>
  <c r="E173" i="9"/>
  <c r="K173" i="9" s="1"/>
  <c r="H173" i="9"/>
  <c r="J173" i="9"/>
  <c r="R173" i="9" s="1"/>
  <c r="O173" i="9"/>
  <c r="S173" i="9"/>
  <c r="T173" i="9"/>
  <c r="U173" i="9"/>
  <c r="V173" i="9"/>
  <c r="W173" i="9"/>
  <c r="X173" i="9"/>
  <c r="Y173" i="9"/>
  <c r="Z173" i="9"/>
  <c r="AA173" i="9"/>
  <c r="AB173" i="9"/>
  <c r="AC173" i="9"/>
  <c r="AD173" i="9"/>
  <c r="AE173" i="9"/>
  <c r="AF173" i="9"/>
  <c r="AG173" i="9"/>
  <c r="AH173" i="9"/>
  <c r="AI173" i="9"/>
  <c r="AJ173" i="9"/>
  <c r="AK173" i="9"/>
  <c r="AL173" i="9"/>
  <c r="AM173" i="9"/>
  <c r="AN173" i="9"/>
  <c r="AO173" i="9"/>
  <c r="AP173" i="9"/>
  <c r="AQ173" i="9"/>
  <c r="AR173" i="9"/>
  <c r="AS173" i="9"/>
  <c r="AT173" i="9"/>
  <c r="AU173" i="9"/>
  <c r="E172" i="9"/>
  <c r="K172" i="9" s="1"/>
  <c r="H172" i="9"/>
  <c r="J172" i="9"/>
  <c r="R172" i="9" s="1"/>
  <c r="O172" i="9"/>
  <c r="S172" i="9"/>
  <c r="T172" i="9"/>
  <c r="U172" i="9"/>
  <c r="V172" i="9"/>
  <c r="W172" i="9"/>
  <c r="X172" i="9"/>
  <c r="Y172" i="9"/>
  <c r="Z172" i="9"/>
  <c r="AA172" i="9"/>
  <c r="AB172" i="9"/>
  <c r="AC172" i="9"/>
  <c r="AD172" i="9"/>
  <c r="AE172" i="9"/>
  <c r="AF172" i="9"/>
  <c r="AG172" i="9"/>
  <c r="AH172" i="9"/>
  <c r="AI172" i="9"/>
  <c r="AJ172" i="9"/>
  <c r="AK172" i="9"/>
  <c r="AL172" i="9"/>
  <c r="AM172" i="9"/>
  <c r="AN172" i="9"/>
  <c r="AO172" i="9"/>
  <c r="AP172" i="9"/>
  <c r="AQ172" i="9"/>
  <c r="AR172" i="9"/>
  <c r="AS172" i="9"/>
  <c r="AT172" i="9"/>
  <c r="AU172" i="9"/>
  <c r="E171" i="9"/>
  <c r="K171" i="9" s="1"/>
  <c r="H171" i="9"/>
  <c r="J171" i="9"/>
  <c r="R171" i="9" s="1"/>
  <c r="O171" i="9"/>
  <c r="S171" i="9"/>
  <c r="T171" i="9"/>
  <c r="U171" i="9"/>
  <c r="V171" i="9"/>
  <c r="W171" i="9"/>
  <c r="X171" i="9"/>
  <c r="Y171" i="9"/>
  <c r="Z171" i="9"/>
  <c r="AA171" i="9"/>
  <c r="AB171" i="9"/>
  <c r="AC171" i="9"/>
  <c r="AD171" i="9"/>
  <c r="AE171" i="9"/>
  <c r="AF171" i="9"/>
  <c r="AG171" i="9"/>
  <c r="AH171" i="9"/>
  <c r="AI171" i="9"/>
  <c r="AJ171" i="9"/>
  <c r="AK171" i="9"/>
  <c r="AL171" i="9"/>
  <c r="AM171" i="9"/>
  <c r="AN171" i="9"/>
  <c r="AO171" i="9"/>
  <c r="AP171" i="9"/>
  <c r="AQ171" i="9"/>
  <c r="AR171" i="9"/>
  <c r="AS171" i="9"/>
  <c r="AT171" i="9"/>
  <c r="AU171" i="9"/>
  <c r="E170" i="9"/>
  <c r="K170" i="9" s="1"/>
  <c r="H170" i="9"/>
  <c r="J170" i="9"/>
  <c r="R170" i="9" s="1"/>
  <c r="O170" i="9"/>
  <c r="S170" i="9"/>
  <c r="T170" i="9"/>
  <c r="U170" i="9"/>
  <c r="V170" i="9"/>
  <c r="W170" i="9"/>
  <c r="X170" i="9"/>
  <c r="Y170" i="9"/>
  <c r="Z170" i="9"/>
  <c r="AA170" i="9"/>
  <c r="AB170" i="9"/>
  <c r="AC170" i="9"/>
  <c r="AD170" i="9"/>
  <c r="AE170" i="9"/>
  <c r="AF170" i="9"/>
  <c r="AG170" i="9"/>
  <c r="AH170" i="9"/>
  <c r="AI170" i="9"/>
  <c r="AJ170" i="9"/>
  <c r="AK170" i="9"/>
  <c r="AL170" i="9"/>
  <c r="AM170" i="9"/>
  <c r="AN170" i="9"/>
  <c r="AO170" i="9"/>
  <c r="AP170" i="9"/>
  <c r="AQ170" i="9"/>
  <c r="AR170" i="9"/>
  <c r="AS170" i="9"/>
  <c r="AT170" i="9"/>
  <c r="AU170" i="9"/>
  <c r="E169" i="9"/>
  <c r="K169" i="9" s="1"/>
  <c r="H169" i="9"/>
  <c r="J169" i="9"/>
  <c r="R169" i="9" s="1"/>
  <c r="O169" i="9"/>
  <c r="S169" i="9"/>
  <c r="T169" i="9"/>
  <c r="U169" i="9"/>
  <c r="V169" i="9"/>
  <c r="W169" i="9"/>
  <c r="X169" i="9"/>
  <c r="Y169" i="9"/>
  <c r="Z169" i="9"/>
  <c r="AA169" i="9"/>
  <c r="AB169" i="9"/>
  <c r="AC169" i="9"/>
  <c r="AD169" i="9"/>
  <c r="AE169" i="9"/>
  <c r="AF169" i="9"/>
  <c r="AG169" i="9"/>
  <c r="AH169" i="9"/>
  <c r="AI169" i="9"/>
  <c r="AJ169" i="9"/>
  <c r="AK169" i="9"/>
  <c r="AL169" i="9"/>
  <c r="AM169" i="9"/>
  <c r="AN169" i="9"/>
  <c r="AO169" i="9"/>
  <c r="AP169" i="9"/>
  <c r="AQ169" i="9"/>
  <c r="AR169" i="9"/>
  <c r="AS169" i="9"/>
  <c r="AT169" i="9"/>
  <c r="AU169" i="9"/>
  <c r="E168" i="9"/>
  <c r="F168" i="9" s="1"/>
  <c r="H168" i="9"/>
  <c r="J168" i="9"/>
  <c r="R168" i="9" s="1"/>
  <c r="O168" i="9"/>
  <c r="S168" i="9"/>
  <c r="T168" i="9"/>
  <c r="U168" i="9"/>
  <c r="V168" i="9"/>
  <c r="W168" i="9"/>
  <c r="X168" i="9"/>
  <c r="Y168" i="9"/>
  <c r="Z168" i="9"/>
  <c r="AA168" i="9"/>
  <c r="AB168" i="9"/>
  <c r="AC168" i="9"/>
  <c r="AD168" i="9"/>
  <c r="AE168" i="9"/>
  <c r="AF168" i="9"/>
  <c r="AG168" i="9"/>
  <c r="AH168" i="9"/>
  <c r="AI168" i="9"/>
  <c r="AJ168" i="9"/>
  <c r="AK168" i="9"/>
  <c r="AL168" i="9"/>
  <c r="AM168" i="9"/>
  <c r="AN168" i="9"/>
  <c r="AO168" i="9"/>
  <c r="AP168" i="9"/>
  <c r="AQ168" i="9"/>
  <c r="AR168" i="9"/>
  <c r="AS168" i="9"/>
  <c r="AT168" i="9"/>
  <c r="AU168" i="9"/>
  <c r="E167" i="9"/>
  <c r="F167" i="9" s="1"/>
  <c r="H167" i="9"/>
  <c r="J167" i="9"/>
  <c r="R167" i="9" s="1"/>
  <c r="O167" i="9"/>
  <c r="S167" i="9"/>
  <c r="T167" i="9"/>
  <c r="U167" i="9"/>
  <c r="V167" i="9"/>
  <c r="W167" i="9"/>
  <c r="X167" i="9"/>
  <c r="Y167" i="9"/>
  <c r="Z167" i="9"/>
  <c r="AA167" i="9"/>
  <c r="AB167" i="9"/>
  <c r="AC167" i="9"/>
  <c r="AD167" i="9"/>
  <c r="AE167" i="9"/>
  <c r="AF167" i="9"/>
  <c r="AG167" i="9"/>
  <c r="AH167" i="9"/>
  <c r="AI167" i="9"/>
  <c r="AJ167" i="9"/>
  <c r="AK167" i="9"/>
  <c r="AL167" i="9"/>
  <c r="AM167" i="9"/>
  <c r="AN167" i="9"/>
  <c r="AO167" i="9"/>
  <c r="AP167" i="9"/>
  <c r="AQ167" i="9"/>
  <c r="AR167" i="9"/>
  <c r="AS167" i="9"/>
  <c r="AT167" i="9"/>
  <c r="AU167" i="9"/>
  <c r="E166" i="9"/>
  <c r="F166" i="9" s="1"/>
  <c r="H166" i="9"/>
  <c r="J166" i="9"/>
  <c r="R166" i="9" s="1"/>
  <c r="O166" i="9"/>
  <c r="S166" i="9"/>
  <c r="T166" i="9"/>
  <c r="U166" i="9"/>
  <c r="V166" i="9"/>
  <c r="W166" i="9"/>
  <c r="X166" i="9"/>
  <c r="Y166" i="9"/>
  <c r="Z166" i="9"/>
  <c r="AA166" i="9"/>
  <c r="AB166" i="9"/>
  <c r="AC166" i="9"/>
  <c r="AD166" i="9"/>
  <c r="AE166" i="9"/>
  <c r="AF166" i="9"/>
  <c r="AG166" i="9"/>
  <c r="AH166" i="9"/>
  <c r="AI166" i="9"/>
  <c r="AJ166" i="9"/>
  <c r="AK166" i="9"/>
  <c r="AL166" i="9"/>
  <c r="AM166" i="9"/>
  <c r="AN166" i="9"/>
  <c r="AO166" i="9"/>
  <c r="AP166" i="9"/>
  <c r="AQ166" i="9"/>
  <c r="AR166" i="9"/>
  <c r="AS166" i="9"/>
  <c r="AT166" i="9"/>
  <c r="AU166" i="9"/>
  <c r="E165" i="9"/>
  <c r="F165" i="9" s="1"/>
  <c r="H165" i="9"/>
  <c r="J165" i="9"/>
  <c r="R165" i="9" s="1"/>
  <c r="O165" i="9"/>
  <c r="S165" i="9"/>
  <c r="T165" i="9"/>
  <c r="U165" i="9"/>
  <c r="V165" i="9"/>
  <c r="W165" i="9"/>
  <c r="X165" i="9"/>
  <c r="Y165" i="9"/>
  <c r="Z165" i="9"/>
  <c r="AA165" i="9"/>
  <c r="AB165" i="9"/>
  <c r="AC165" i="9"/>
  <c r="AD165" i="9"/>
  <c r="AE165" i="9"/>
  <c r="AF165" i="9"/>
  <c r="AG165" i="9"/>
  <c r="AH165" i="9"/>
  <c r="AI165" i="9"/>
  <c r="AJ165" i="9"/>
  <c r="AK165" i="9"/>
  <c r="AL165" i="9"/>
  <c r="AM165" i="9"/>
  <c r="AN165" i="9"/>
  <c r="AO165" i="9"/>
  <c r="AP165" i="9"/>
  <c r="AQ165" i="9"/>
  <c r="AR165" i="9"/>
  <c r="AS165" i="9"/>
  <c r="AT165" i="9"/>
  <c r="AU165" i="9"/>
  <c r="E164" i="9"/>
  <c r="F164" i="9" s="1"/>
  <c r="H164" i="9"/>
  <c r="J164" i="9"/>
  <c r="R164" i="9" s="1"/>
  <c r="O164" i="9"/>
  <c r="S164" i="9"/>
  <c r="T164" i="9"/>
  <c r="U164" i="9"/>
  <c r="V164" i="9"/>
  <c r="W164" i="9"/>
  <c r="X164" i="9"/>
  <c r="Y164" i="9"/>
  <c r="Z164" i="9"/>
  <c r="AA164" i="9"/>
  <c r="AB164" i="9"/>
  <c r="AC164" i="9"/>
  <c r="AD164" i="9"/>
  <c r="AE164" i="9"/>
  <c r="AF164" i="9"/>
  <c r="AG164" i="9"/>
  <c r="AH164" i="9"/>
  <c r="AI164" i="9"/>
  <c r="AJ164" i="9"/>
  <c r="AK164" i="9"/>
  <c r="AL164" i="9"/>
  <c r="AM164" i="9"/>
  <c r="AN164" i="9"/>
  <c r="AO164" i="9"/>
  <c r="AP164" i="9"/>
  <c r="AQ164" i="9"/>
  <c r="AR164" i="9"/>
  <c r="AS164" i="9"/>
  <c r="AT164" i="9"/>
  <c r="AU164" i="9"/>
  <c r="E163" i="9"/>
  <c r="F163" i="9" s="1"/>
  <c r="H163" i="9"/>
  <c r="J163" i="9"/>
  <c r="R163" i="9" s="1"/>
  <c r="O163" i="9"/>
  <c r="S163" i="9"/>
  <c r="T163" i="9"/>
  <c r="U163" i="9"/>
  <c r="V163" i="9"/>
  <c r="W163" i="9"/>
  <c r="X163" i="9"/>
  <c r="Y163" i="9"/>
  <c r="Z163" i="9"/>
  <c r="AA163" i="9"/>
  <c r="AB163" i="9"/>
  <c r="AC163" i="9"/>
  <c r="AD163" i="9"/>
  <c r="AE163" i="9"/>
  <c r="AF163" i="9"/>
  <c r="AG163" i="9"/>
  <c r="AH163" i="9"/>
  <c r="AI163" i="9"/>
  <c r="AJ163" i="9"/>
  <c r="AK163" i="9"/>
  <c r="AL163" i="9"/>
  <c r="AM163" i="9"/>
  <c r="AN163" i="9"/>
  <c r="AO163" i="9"/>
  <c r="AP163" i="9"/>
  <c r="AQ163" i="9"/>
  <c r="AR163" i="9"/>
  <c r="AS163" i="9"/>
  <c r="AT163" i="9"/>
  <c r="AU163" i="9"/>
  <c r="E162" i="9"/>
  <c r="F162" i="9" s="1"/>
  <c r="H162" i="9"/>
  <c r="J162" i="9"/>
  <c r="R162" i="9" s="1"/>
  <c r="O162" i="9"/>
  <c r="S162" i="9"/>
  <c r="T162" i="9"/>
  <c r="U162" i="9"/>
  <c r="V162" i="9"/>
  <c r="W162" i="9"/>
  <c r="X162" i="9"/>
  <c r="Y162" i="9"/>
  <c r="Z162" i="9"/>
  <c r="AA162" i="9"/>
  <c r="AB162" i="9"/>
  <c r="AC162" i="9"/>
  <c r="AD162" i="9"/>
  <c r="AE162" i="9"/>
  <c r="AF162" i="9"/>
  <c r="AG162" i="9"/>
  <c r="AH162" i="9"/>
  <c r="AI162" i="9"/>
  <c r="AJ162" i="9"/>
  <c r="AK162" i="9"/>
  <c r="AL162" i="9"/>
  <c r="AM162" i="9"/>
  <c r="AN162" i="9"/>
  <c r="AO162" i="9"/>
  <c r="AP162" i="9"/>
  <c r="AQ162" i="9"/>
  <c r="AR162" i="9"/>
  <c r="AS162" i="9"/>
  <c r="AT162" i="9"/>
  <c r="AU162" i="9"/>
  <c r="E161" i="9"/>
  <c r="F161" i="9" s="1"/>
  <c r="H161" i="9"/>
  <c r="J161" i="9"/>
  <c r="R161" i="9" s="1"/>
  <c r="O161" i="9"/>
  <c r="S161" i="9"/>
  <c r="T161" i="9"/>
  <c r="U161" i="9"/>
  <c r="V161" i="9"/>
  <c r="W161" i="9"/>
  <c r="X161" i="9"/>
  <c r="Y161" i="9"/>
  <c r="Z161" i="9"/>
  <c r="AA161" i="9"/>
  <c r="AB161" i="9"/>
  <c r="AC161" i="9"/>
  <c r="AD161" i="9"/>
  <c r="AE161" i="9"/>
  <c r="AF161" i="9"/>
  <c r="AG161" i="9"/>
  <c r="AH161" i="9"/>
  <c r="AI161" i="9"/>
  <c r="AJ161" i="9"/>
  <c r="AK161" i="9"/>
  <c r="AL161" i="9"/>
  <c r="AM161" i="9"/>
  <c r="AN161" i="9"/>
  <c r="AO161" i="9"/>
  <c r="AP161" i="9"/>
  <c r="AQ161" i="9"/>
  <c r="AR161" i="9"/>
  <c r="AS161" i="9"/>
  <c r="AT161" i="9"/>
  <c r="AU161" i="9"/>
  <c r="K160" i="9"/>
  <c r="O160" i="9"/>
  <c r="AV158" i="9"/>
  <c r="AV7" i="10" s="1"/>
  <c r="AW158" i="9"/>
  <c r="AX158" i="9"/>
  <c r="AY158" i="9"/>
  <c r="O151" i="9"/>
  <c r="S151" i="9"/>
  <c r="T151" i="9"/>
  <c r="U151" i="9"/>
  <c r="V151" i="9"/>
  <c r="W151" i="9"/>
  <c r="X151" i="9"/>
  <c r="Y151" i="9"/>
  <c r="Z151" i="9"/>
  <c r="AA151" i="9"/>
  <c r="AB151" i="9"/>
  <c r="AC151" i="9"/>
  <c r="AD151" i="9"/>
  <c r="AE151" i="9"/>
  <c r="AF151" i="9"/>
  <c r="AG151" i="9"/>
  <c r="AH151" i="9"/>
  <c r="AI151" i="9"/>
  <c r="AJ151" i="9"/>
  <c r="AK151" i="9"/>
  <c r="AL151" i="9"/>
  <c r="AM151" i="9"/>
  <c r="AN151" i="9"/>
  <c r="AO151" i="9"/>
  <c r="AP151" i="9"/>
  <c r="AQ151" i="9"/>
  <c r="AR151" i="9"/>
  <c r="AS151" i="9"/>
  <c r="AT151" i="9"/>
  <c r="AU151" i="9"/>
  <c r="O150" i="9"/>
  <c r="S150" i="9"/>
  <c r="T150" i="9"/>
  <c r="U150" i="9"/>
  <c r="V150" i="9"/>
  <c r="W150" i="9"/>
  <c r="X150" i="9"/>
  <c r="Y150" i="9"/>
  <c r="Z150" i="9"/>
  <c r="AA150" i="9"/>
  <c r="AB150" i="9"/>
  <c r="AC150" i="9"/>
  <c r="AD150" i="9"/>
  <c r="AE150" i="9"/>
  <c r="AF150" i="9"/>
  <c r="AG150" i="9"/>
  <c r="AH150" i="9"/>
  <c r="AI150" i="9"/>
  <c r="AJ150" i="9"/>
  <c r="AK150" i="9"/>
  <c r="AL150" i="9"/>
  <c r="AM150" i="9"/>
  <c r="AN150" i="9"/>
  <c r="AO150" i="9"/>
  <c r="AP150" i="9"/>
  <c r="AQ150" i="9"/>
  <c r="AR150" i="9"/>
  <c r="AS150" i="9"/>
  <c r="AT150" i="9"/>
  <c r="AU150" i="9"/>
  <c r="E149" i="9"/>
  <c r="F149" i="9" s="1"/>
  <c r="H149" i="9"/>
  <c r="J149" i="9"/>
  <c r="R149" i="9" s="1"/>
  <c r="O149" i="9"/>
  <c r="S149" i="9"/>
  <c r="T149" i="9"/>
  <c r="U149" i="9"/>
  <c r="V149" i="9"/>
  <c r="W149" i="9"/>
  <c r="X149" i="9"/>
  <c r="Y149" i="9"/>
  <c r="Z149" i="9"/>
  <c r="AA149" i="9"/>
  <c r="AB149" i="9"/>
  <c r="AC149" i="9"/>
  <c r="AD149" i="9"/>
  <c r="AE149" i="9"/>
  <c r="AF149" i="9"/>
  <c r="AG149" i="9"/>
  <c r="AH149" i="9"/>
  <c r="AI149" i="9"/>
  <c r="AJ149" i="9"/>
  <c r="AK149" i="9"/>
  <c r="AL149" i="9"/>
  <c r="AM149" i="9"/>
  <c r="AN149" i="9"/>
  <c r="AO149" i="9"/>
  <c r="AP149" i="9"/>
  <c r="AQ149" i="9"/>
  <c r="AR149" i="9"/>
  <c r="AS149" i="9"/>
  <c r="AT149" i="9"/>
  <c r="AU149" i="9"/>
  <c r="E148" i="9"/>
  <c r="F148" i="9" s="1"/>
  <c r="H148" i="9"/>
  <c r="J148" i="9"/>
  <c r="R148" i="9" s="1"/>
  <c r="O148" i="9"/>
  <c r="S148" i="9"/>
  <c r="T148" i="9"/>
  <c r="U148" i="9"/>
  <c r="V148" i="9"/>
  <c r="W148" i="9"/>
  <c r="X148" i="9"/>
  <c r="Y148" i="9"/>
  <c r="Z148" i="9"/>
  <c r="AA148" i="9"/>
  <c r="AB148" i="9"/>
  <c r="AC148" i="9"/>
  <c r="AD148" i="9"/>
  <c r="AE148" i="9"/>
  <c r="AF148" i="9"/>
  <c r="AG148" i="9"/>
  <c r="AH148" i="9"/>
  <c r="AI148" i="9"/>
  <c r="AJ148" i="9"/>
  <c r="AK148" i="9"/>
  <c r="AL148" i="9"/>
  <c r="AM148" i="9"/>
  <c r="AN148" i="9"/>
  <c r="AO148" i="9"/>
  <c r="AP148" i="9"/>
  <c r="AQ148" i="9"/>
  <c r="AR148" i="9"/>
  <c r="AS148" i="9"/>
  <c r="AT148" i="9"/>
  <c r="AU148" i="9"/>
  <c r="E147" i="9"/>
  <c r="K147" i="9" s="1"/>
  <c r="H147" i="9"/>
  <c r="J147" i="9"/>
  <c r="R147" i="9" s="1"/>
  <c r="O147" i="9"/>
  <c r="S147" i="9"/>
  <c r="T147" i="9"/>
  <c r="U147" i="9"/>
  <c r="V147" i="9"/>
  <c r="W147" i="9"/>
  <c r="X147" i="9"/>
  <c r="Y147" i="9"/>
  <c r="Z147" i="9"/>
  <c r="AA147" i="9"/>
  <c r="AB147" i="9"/>
  <c r="AC147" i="9"/>
  <c r="AD147" i="9"/>
  <c r="AE147" i="9"/>
  <c r="AF147" i="9"/>
  <c r="AG147" i="9"/>
  <c r="AH147" i="9"/>
  <c r="AI147" i="9"/>
  <c r="AJ147" i="9"/>
  <c r="AK147" i="9"/>
  <c r="AL147" i="9"/>
  <c r="AM147" i="9"/>
  <c r="AN147" i="9"/>
  <c r="AO147" i="9"/>
  <c r="AP147" i="9"/>
  <c r="AQ147" i="9"/>
  <c r="AR147" i="9"/>
  <c r="AS147" i="9"/>
  <c r="AT147" i="9"/>
  <c r="AU147" i="9"/>
  <c r="E146" i="9"/>
  <c r="F146" i="9" s="1"/>
  <c r="H146" i="9"/>
  <c r="J146" i="9"/>
  <c r="R146" i="9" s="1"/>
  <c r="O146" i="9"/>
  <c r="S146" i="9"/>
  <c r="T146" i="9"/>
  <c r="U146" i="9"/>
  <c r="V146" i="9"/>
  <c r="W146" i="9"/>
  <c r="X146" i="9"/>
  <c r="Y146" i="9"/>
  <c r="Z146" i="9"/>
  <c r="AA146" i="9"/>
  <c r="AB146" i="9"/>
  <c r="AC146" i="9"/>
  <c r="AD146" i="9"/>
  <c r="AE146" i="9"/>
  <c r="AF146" i="9"/>
  <c r="AG146" i="9"/>
  <c r="AH146" i="9"/>
  <c r="AI146" i="9"/>
  <c r="AJ146" i="9"/>
  <c r="AK146" i="9"/>
  <c r="AL146" i="9"/>
  <c r="AM146" i="9"/>
  <c r="AN146" i="9"/>
  <c r="AO146" i="9"/>
  <c r="AP146" i="9"/>
  <c r="AQ146" i="9"/>
  <c r="AR146" i="9"/>
  <c r="AS146" i="9"/>
  <c r="AT146" i="9"/>
  <c r="AU146" i="9"/>
  <c r="E145" i="9"/>
  <c r="F145" i="9" s="1"/>
  <c r="H145" i="9"/>
  <c r="J145" i="9"/>
  <c r="R145" i="9" s="1"/>
  <c r="O145" i="9"/>
  <c r="S145" i="9"/>
  <c r="T145" i="9"/>
  <c r="U145" i="9"/>
  <c r="V145" i="9"/>
  <c r="W145" i="9"/>
  <c r="X145" i="9"/>
  <c r="Y145" i="9"/>
  <c r="Z145" i="9"/>
  <c r="AA145" i="9"/>
  <c r="AB145" i="9"/>
  <c r="AC145" i="9"/>
  <c r="AD145" i="9"/>
  <c r="AE145" i="9"/>
  <c r="AF145" i="9"/>
  <c r="AG145" i="9"/>
  <c r="AH145" i="9"/>
  <c r="AI145" i="9"/>
  <c r="AJ145" i="9"/>
  <c r="AK145" i="9"/>
  <c r="AL145" i="9"/>
  <c r="AM145" i="9"/>
  <c r="AN145" i="9"/>
  <c r="AO145" i="9"/>
  <c r="AP145" i="9"/>
  <c r="AQ145" i="9"/>
  <c r="AR145" i="9"/>
  <c r="AS145" i="9"/>
  <c r="AT145" i="9"/>
  <c r="AU145" i="9"/>
  <c r="E144" i="9"/>
  <c r="F144" i="9" s="1"/>
  <c r="H144" i="9"/>
  <c r="J144" i="9"/>
  <c r="R144" i="9" s="1"/>
  <c r="O144" i="9"/>
  <c r="S144" i="9"/>
  <c r="T144" i="9"/>
  <c r="U144" i="9"/>
  <c r="V144" i="9"/>
  <c r="W144" i="9"/>
  <c r="X144" i="9"/>
  <c r="Y144" i="9"/>
  <c r="Z144" i="9"/>
  <c r="AA144" i="9"/>
  <c r="AB144" i="9"/>
  <c r="AC144" i="9"/>
  <c r="AD144" i="9"/>
  <c r="AE144" i="9"/>
  <c r="AF144" i="9"/>
  <c r="AG144" i="9"/>
  <c r="AH144" i="9"/>
  <c r="AI144" i="9"/>
  <c r="AJ144" i="9"/>
  <c r="AK144" i="9"/>
  <c r="AL144" i="9"/>
  <c r="AM144" i="9"/>
  <c r="AN144" i="9"/>
  <c r="AO144" i="9"/>
  <c r="AP144" i="9"/>
  <c r="AQ144" i="9"/>
  <c r="AR144" i="9"/>
  <c r="AS144" i="9"/>
  <c r="AT144" i="9"/>
  <c r="AU144" i="9"/>
  <c r="E143" i="9"/>
  <c r="F143" i="9" s="1"/>
  <c r="H143" i="9"/>
  <c r="J143" i="9"/>
  <c r="R143" i="9" s="1"/>
  <c r="O143" i="9"/>
  <c r="S143" i="9"/>
  <c r="T143" i="9"/>
  <c r="U143" i="9"/>
  <c r="V143" i="9"/>
  <c r="W143" i="9"/>
  <c r="X143" i="9"/>
  <c r="Y143" i="9"/>
  <c r="Z143" i="9"/>
  <c r="AA143" i="9"/>
  <c r="AB143" i="9"/>
  <c r="AC143" i="9"/>
  <c r="AD143" i="9"/>
  <c r="AE143" i="9"/>
  <c r="AF143" i="9"/>
  <c r="AG143" i="9"/>
  <c r="AH143" i="9"/>
  <c r="AI143" i="9"/>
  <c r="AJ143" i="9"/>
  <c r="AK143" i="9"/>
  <c r="AL143" i="9"/>
  <c r="AM143" i="9"/>
  <c r="AN143" i="9"/>
  <c r="AO143" i="9"/>
  <c r="AP143" i="9"/>
  <c r="AQ143" i="9"/>
  <c r="AR143" i="9"/>
  <c r="AS143" i="9"/>
  <c r="AT143" i="9"/>
  <c r="AU143" i="9"/>
  <c r="E142" i="9"/>
  <c r="F142" i="9" s="1"/>
  <c r="H142" i="9"/>
  <c r="J142" i="9"/>
  <c r="R142" i="9" s="1"/>
  <c r="O142" i="9"/>
  <c r="S142" i="9"/>
  <c r="T142" i="9"/>
  <c r="U142" i="9"/>
  <c r="V142" i="9"/>
  <c r="W142" i="9"/>
  <c r="X142" i="9"/>
  <c r="Y142" i="9"/>
  <c r="Z142" i="9"/>
  <c r="AA142" i="9"/>
  <c r="AB142" i="9"/>
  <c r="AC142" i="9"/>
  <c r="AD142" i="9"/>
  <c r="AE142" i="9"/>
  <c r="AF142" i="9"/>
  <c r="AG142" i="9"/>
  <c r="AH142" i="9"/>
  <c r="AI142" i="9"/>
  <c r="AJ142" i="9"/>
  <c r="AK142" i="9"/>
  <c r="AL142" i="9"/>
  <c r="AM142" i="9"/>
  <c r="AN142" i="9"/>
  <c r="AO142" i="9"/>
  <c r="AP142" i="9"/>
  <c r="AQ142" i="9"/>
  <c r="AR142" i="9"/>
  <c r="AS142" i="9"/>
  <c r="AT142" i="9"/>
  <c r="AU142" i="9"/>
  <c r="E141" i="9"/>
  <c r="F141" i="9" s="1"/>
  <c r="H141" i="9"/>
  <c r="J141" i="9"/>
  <c r="R141" i="9" s="1"/>
  <c r="O141" i="9"/>
  <c r="S141" i="9"/>
  <c r="T141" i="9"/>
  <c r="U141" i="9"/>
  <c r="V141" i="9"/>
  <c r="W141" i="9"/>
  <c r="X141" i="9"/>
  <c r="Y141" i="9"/>
  <c r="Z141" i="9"/>
  <c r="AA141" i="9"/>
  <c r="AB141" i="9"/>
  <c r="AC141" i="9"/>
  <c r="AD141" i="9"/>
  <c r="AE141" i="9"/>
  <c r="AF141" i="9"/>
  <c r="AG141" i="9"/>
  <c r="AH141" i="9"/>
  <c r="AI141" i="9"/>
  <c r="AJ141" i="9"/>
  <c r="AK141" i="9"/>
  <c r="AL141" i="9"/>
  <c r="AM141" i="9"/>
  <c r="AN141" i="9"/>
  <c r="AO141" i="9"/>
  <c r="AP141" i="9"/>
  <c r="AQ141" i="9"/>
  <c r="AR141" i="9"/>
  <c r="AS141" i="9"/>
  <c r="AT141" i="9"/>
  <c r="AU141" i="9"/>
  <c r="E140" i="9"/>
  <c r="K140" i="9" s="1"/>
  <c r="H140" i="9"/>
  <c r="J140" i="9"/>
  <c r="R140" i="9" s="1"/>
  <c r="O140" i="9"/>
  <c r="S140" i="9"/>
  <c r="T140" i="9"/>
  <c r="U140" i="9"/>
  <c r="V140" i="9"/>
  <c r="W140" i="9"/>
  <c r="X140" i="9"/>
  <c r="Y140" i="9"/>
  <c r="Z140" i="9"/>
  <c r="AA140" i="9"/>
  <c r="AB140" i="9"/>
  <c r="AC140" i="9"/>
  <c r="AD140" i="9"/>
  <c r="AE140" i="9"/>
  <c r="AF140" i="9"/>
  <c r="AG140" i="9"/>
  <c r="AH140" i="9"/>
  <c r="AI140" i="9"/>
  <c r="AJ140" i="9"/>
  <c r="AK140" i="9"/>
  <c r="AL140" i="9"/>
  <c r="AM140" i="9"/>
  <c r="AN140" i="9"/>
  <c r="AO140" i="9"/>
  <c r="AP140" i="9"/>
  <c r="AQ140" i="9"/>
  <c r="AR140" i="9"/>
  <c r="AS140" i="9"/>
  <c r="AT140" i="9"/>
  <c r="AU140" i="9"/>
  <c r="E139" i="9"/>
  <c r="K139" i="9" s="1"/>
  <c r="H139" i="9"/>
  <c r="J139" i="9"/>
  <c r="R139" i="9" s="1"/>
  <c r="O139" i="9"/>
  <c r="S139" i="9"/>
  <c r="T139" i="9"/>
  <c r="U139" i="9"/>
  <c r="V139" i="9"/>
  <c r="W139" i="9"/>
  <c r="X139" i="9"/>
  <c r="Y139" i="9"/>
  <c r="Z139" i="9"/>
  <c r="AA139" i="9"/>
  <c r="AB139" i="9"/>
  <c r="AC139" i="9"/>
  <c r="AD139" i="9"/>
  <c r="AE139" i="9"/>
  <c r="AF139" i="9"/>
  <c r="AG139" i="9"/>
  <c r="AH139" i="9"/>
  <c r="AI139" i="9"/>
  <c r="AJ139" i="9"/>
  <c r="AK139" i="9"/>
  <c r="AL139" i="9"/>
  <c r="AM139" i="9"/>
  <c r="AN139" i="9"/>
  <c r="AO139" i="9"/>
  <c r="AP139" i="9"/>
  <c r="AQ139" i="9"/>
  <c r="AR139" i="9"/>
  <c r="AS139" i="9"/>
  <c r="AT139" i="9"/>
  <c r="AU139" i="9"/>
  <c r="E138" i="9"/>
  <c r="K138" i="9" s="1"/>
  <c r="H138" i="9"/>
  <c r="J138" i="9"/>
  <c r="R138" i="9" s="1"/>
  <c r="O138" i="9"/>
  <c r="S138" i="9"/>
  <c r="T138" i="9"/>
  <c r="U138" i="9"/>
  <c r="V138" i="9"/>
  <c r="W138" i="9"/>
  <c r="X138" i="9"/>
  <c r="Y138" i="9"/>
  <c r="Z138" i="9"/>
  <c r="AA138" i="9"/>
  <c r="AB138" i="9"/>
  <c r="AC138" i="9"/>
  <c r="AD138" i="9"/>
  <c r="AE138" i="9"/>
  <c r="AF138" i="9"/>
  <c r="AG138" i="9"/>
  <c r="AH138" i="9"/>
  <c r="AI138" i="9"/>
  <c r="AJ138" i="9"/>
  <c r="AK138" i="9"/>
  <c r="AL138" i="9"/>
  <c r="AM138" i="9"/>
  <c r="AN138" i="9"/>
  <c r="AO138" i="9"/>
  <c r="AP138" i="9"/>
  <c r="AQ138" i="9"/>
  <c r="AR138" i="9"/>
  <c r="AS138" i="9"/>
  <c r="AT138" i="9"/>
  <c r="AU138" i="9"/>
  <c r="E137" i="9"/>
  <c r="K137" i="9" s="1"/>
  <c r="H137" i="9"/>
  <c r="J137" i="9"/>
  <c r="R137" i="9" s="1"/>
  <c r="O137" i="9"/>
  <c r="S137" i="9"/>
  <c r="T137" i="9"/>
  <c r="U137" i="9"/>
  <c r="V137" i="9"/>
  <c r="W137" i="9"/>
  <c r="X137" i="9"/>
  <c r="Y137" i="9"/>
  <c r="Z137" i="9"/>
  <c r="AA137" i="9"/>
  <c r="AB137" i="9"/>
  <c r="AC137" i="9"/>
  <c r="AD137" i="9"/>
  <c r="AE137" i="9"/>
  <c r="AF137" i="9"/>
  <c r="AG137" i="9"/>
  <c r="AH137" i="9"/>
  <c r="AI137" i="9"/>
  <c r="AJ137" i="9"/>
  <c r="AK137" i="9"/>
  <c r="AL137" i="9"/>
  <c r="AM137" i="9"/>
  <c r="AN137" i="9"/>
  <c r="AO137" i="9"/>
  <c r="AP137" i="9"/>
  <c r="AQ137" i="9"/>
  <c r="AR137" i="9"/>
  <c r="AS137" i="9"/>
  <c r="AT137" i="9"/>
  <c r="AU137" i="9"/>
  <c r="E136" i="9"/>
  <c r="F136" i="9" s="1"/>
  <c r="H136" i="9"/>
  <c r="J136" i="9"/>
  <c r="R136" i="9" s="1"/>
  <c r="O136" i="9"/>
  <c r="S136" i="9"/>
  <c r="T136" i="9"/>
  <c r="U136" i="9"/>
  <c r="V136" i="9"/>
  <c r="W136" i="9"/>
  <c r="X136" i="9"/>
  <c r="Y136" i="9"/>
  <c r="Z136" i="9"/>
  <c r="AA136" i="9"/>
  <c r="AB136" i="9"/>
  <c r="AC136" i="9"/>
  <c r="AD136" i="9"/>
  <c r="AE136" i="9"/>
  <c r="AF136" i="9"/>
  <c r="AG136" i="9"/>
  <c r="AH136" i="9"/>
  <c r="AI136" i="9"/>
  <c r="AJ136" i="9"/>
  <c r="AK136" i="9"/>
  <c r="AL136" i="9"/>
  <c r="AM136" i="9"/>
  <c r="AN136" i="9"/>
  <c r="AO136" i="9"/>
  <c r="AP136" i="9"/>
  <c r="AQ136" i="9"/>
  <c r="AR136" i="9"/>
  <c r="AS136" i="9"/>
  <c r="AT136" i="9"/>
  <c r="AU136" i="9"/>
  <c r="E135" i="9"/>
  <c r="F135" i="9" s="1"/>
  <c r="H135" i="9"/>
  <c r="J135" i="9"/>
  <c r="R135" i="9" s="1"/>
  <c r="O135" i="9"/>
  <c r="S135" i="9"/>
  <c r="T135" i="9"/>
  <c r="U135" i="9"/>
  <c r="V135" i="9"/>
  <c r="W135" i="9"/>
  <c r="X135" i="9"/>
  <c r="Y135" i="9"/>
  <c r="Z135" i="9"/>
  <c r="AA135" i="9"/>
  <c r="AB135" i="9"/>
  <c r="AC135" i="9"/>
  <c r="AD135" i="9"/>
  <c r="AE135" i="9"/>
  <c r="AF135" i="9"/>
  <c r="AG135" i="9"/>
  <c r="AH135" i="9"/>
  <c r="AI135" i="9"/>
  <c r="AJ135" i="9"/>
  <c r="AK135" i="9"/>
  <c r="AL135" i="9"/>
  <c r="AM135" i="9"/>
  <c r="AN135" i="9"/>
  <c r="AO135" i="9"/>
  <c r="AP135" i="9"/>
  <c r="AQ135" i="9"/>
  <c r="AR135" i="9"/>
  <c r="AS135" i="9"/>
  <c r="AT135" i="9"/>
  <c r="AU135" i="9"/>
  <c r="E134" i="9"/>
  <c r="F134" i="9" s="1"/>
  <c r="H134" i="9"/>
  <c r="J134" i="9"/>
  <c r="R134" i="9" s="1"/>
  <c r="O134" i="9"/>
  <c r="S134" i="9"/>
  <c r="T134" i="9"/>
  <c r="U134" i="9"/>
  <c r="V134" i="9"/>
  <c r="W134" i="9"/>
  <c r="X134" i="9"/>
  <c r="Y134" i="9"/>
  <c r="Z134" i="9"/>
  <c r="AA134" i="9"/>
  <c r="AB134" i="9"/>
  <c r="AC134" i="9"/>
  <c r="AD134" i="9"/>
  <c r="AE134" i="9"/>
  <c r="AF134" i="9"/>
  <c r="AG134" i="9"/>
  <c r="AH134" i="9"/>
  <c r="AI134" i="9"/>
  <c r="AJ134" i="9"/>
  <c r="AK134" i="9"/>
  <c r="AL134" i="9"/>
  <c r="AM134" i="9"/>
  <c r="AN134" i="9"/>
  <c r="AO134" i="9"/>
  <c r="AP134" i="9"/>
  <c r="AQ134" i="9"/>
  <c r="AR134" i="9"/>
  <c r="AS134" i="9"/>
  <c r="AT134" i="9"/>
  <c r="AU134" i="9"/>
  <c r="E133" i="9"/>
  <c r="F133" i="9" s="1"/>
  <c r="H133" i="9"/>
  <c r="J133" i="9"/>
  <c r="R133" i="9" s="1"/>
  <c r="O133" i="9"/>
  <c r="S133" i="9"/>
  <c r="T133" i="9"/>
  <c r="U133" i="9"/>
  <c r="V133" i="9"/>
  <c r="W133" i="9"/>
  <c r="X133" i="9"/>
  <c r="Y133" i="9"/>
  <c r="Z133" i="9"/>
  <c r="AA133" i="9"/>
  <c r="AB133" i="9"/>
  <c r="AC133" i="9"/>
  <c r="AD133" i="9"/>
  <c r="AE133" i="9"/>
  <c r="AF133" i="9"/>
  <c r="AG133" i="9"/>
  <c r="AH133" i="9"/>
  <c r="AI133" i="9"/>
  <c r="AJ133" i="9"/>
  <c r="AK133" i="9"/>
  <c r="AL133" i="9"/>
  <c r="AM133" i="9"/>
  <c r="AN133" i="9"/>
  <c r="AO133" i="9"/>
  <c r="AP133" i="9"/>
  <c r="AQ133" i="9"/>
  <c r="AR133" i="9"/>
  <c r="AS133" i="9"/>
  <c r="AT133" i="9"/>
  <c r="AU133" i="9"/>
  <c r="E132" i="9"/>
  <c r="F132" i="9" s="1"/>
  <c r="H132" i="9"/>
  <c r="J132" i="9"/>
  <c r="R132" i="9" s="1"/>
  <c r="O132" i="9"/>
  <c r="S132" i="9"/>
  <c r="T132" i="9"/>
  <c r="U132" i="9"/>
  <c r="V132" i="9"/>
  <c r="W132" i="9"/>
  <c r="X132" i="9"/>
  <c r="Y132" i="9"/>
  <c r="Z132" i="9"/>
  <c r="AA132" i="9"/>
  <c r="AB132" i="9"/>
  <c r="AC132" i="9"/>
  <c r="AD132" i="9"/>
  <c r="AE132" i="9"/>
  <c r="AF132" i="9"/>
  <c r="AG132" i="9"/>
  <c r="AH132" i="9"/>
  <c r="AI132" i="9"/>
  <c r="AJ132" i="9"/>
  <c r="AK132" i="9"/>
  <c r="AL132" i="9"/>
  <c r="AM132" i="9"/>
  <c r="AN132" i="9"/>
  <c r="AO132" i="9"/>
  <c r="AP132" i="9"/>
  <c r="AQ132" i="9"/>
  <c r="AR132" i="9"/>
  <c r="AS132" i="9"/>
  <c r="AT132" i="9"/>
  <c r="AU132" i="9"/>
  <c r="E131" i="9"/>
  <c r="F131" i="9" s="1"/>
  <c r="H131" i="9"/>
  <c r="J131" i="9"/>
  <c r="R131" i="9" s="1"/>
  <c r="O131" i="9"/>
  <c r="S131" i="9"/>
  <c r="T131" i="9"/>
  <c r="U131" i="9"/>
  <c r="V131" i="9"/>
  <c r="W131" i="9"/>
  <c r="X131" i="9"/>
  <c r="Y131" i="9"/>
  <c r="Z131" i="9"/>
  <c r="AA131" i="9"/>
  <c r="AB131" i="9"/>
  <c r="AC131" i="9"/>
  <c r="AD131" i="9"/>
  <c r="AE131" i="9"/>
  <c r="AF131" i="9"/>
  <c r="AG131" i="9"/>
  <c r="AH131" i="9"/>
  <c r="AI131" i="9"/>
  <c r="AJ131" i="9"/>
  <c r="AK131" i="9"/>
  <c r="AL131" i="9"/>
  <c r="AM131" i="9"/>
  <c r="AN131" i="9"/>
  <c r="AO131" i="9"/>
  <c r="AP131" i="9"/>
  <c r="AQ131" i="9"/>
  <c r="AR131" i="9"/>
  <c r="AS131" i="9"/>
  <c r="AT131" i="9"/>
  <c r="AU131" i="9"/>
  <c r="E130" i="9"/>
  <c r="F130" i="9" s="1"/>
  <c r="H130" i="9"/>
  <c r="J130" i="9"/>
  <c r="R130" i="9" s="1"/>
  <c r="O130" i="9"/>
  <c r="S130" i="9"/>
  <c r="T130" i="9"/>
  <c r="U130" i="9"/>
  <c r="V130" i="9"/>
  <c r="W130" i="9"/>
  <c r="X130" i="9"/>
  <c r="Y130" i="9"/>
  <c r="Z130" i="9"/>
  <c r="AA130" i="9"/>
  <c r="AB130" i="9"/>
  <c r="AC130" i="9"/>
  <c r="AD130" i="9"/>
  <c r="AE130" i="9"/>
  <c r="AF130" i="9"/>
  <c r="AG130" i="9"/>
  <c r="AH130" i="9"/>
  <c r="AI130" i="9"/>
  <c r="AJ130" i="9"/>
  <c r="AK130" i="9"/>
  <c r="AL130" i="9"/>
  <c r="AM130" i="9"/>
  <c r="AN130" i="9"/>
  <c r="AO130" i="9"/>
  <c r="AP130" i="9"/>
  <c r="AQ130" i="9"/>
  <c r="AR130" i="9"/>
  <c r="AS130" i="9"/>
  <c r="AT130" i="9"/>
  <c r="AU130" i="9"/>
  <c r="E129" i="9"/>
  <c r="K129" i="9" s="1"/>
  <c r="H129" i="9"/>
  <c r="J129" i="9"/>
  <c r="R129" i="9" s="1"/>
  <c r="O129" i="9"/>
  <c r="S129" i="9"/>
  <c r="T129" i="9"/>
  <c r="U129" i="9"/>
  <c r="V129" i="9"/>
  <c r="W129" i="9"/>
  <c r="X129" i="9"/>
  <c r="Y129" i="9"/>
  <c r="Z129" i="9"/>
  <c r="AA129" i="9"/>
  <c r="AB129" i="9"/>
  <c r="AC129" i="9"/>
  <c r="AD129" i="9"/>
  <c r="AE129" i="9"/>
  <c r="AF129" i="9"/>
  <c r="AG129" i="9"/>
  <c r="AH129" i="9"/>
  <c r="AI129" i="9"/>
  <c r="AJ129" i="9"/>
  <c r="AK129" i="9"/>
  <c r="AL129" i="9"/>
  <c r="AM129" i="9"/>
  <c r="AN129" i="9"/>
  <c r="AO129" i="9"/>
  <c r="AP129" i="9"/>
  <c r="AQ129" i="9"/>
  <c r="AR129" i="9"/>
  <c r="AS129" i="9"/>
  <c r="AT129" i="9"/>
  <c r="AU129" i="9"/>
  <c r="E128" i="9"/>
  <c r="F128" i="9" s="1"/>
  <c r="H128" i="9"/>
  <c r="J128" i="9"/>
  <c r="R128" i="9" s="1"/>
  <c r="O128" i="9"/>
  <c r="S128" i="9"/>
  <c r="T128" i="9"/>
  <c r="U128" i="9"/>
  <c r="V128" i="9"/>
  <c r="W128" i="9"/>
  <c r="X128" i="9"/>
  <c r="Y128" i="9"/>
  <c r="Z128" i="9"/>
  <c r="AA128" i="9"/>
  <c r="AB128" i="9"/>
  <c r="AC128" i="9"/>
  <c r="AD128" i="9"/>
  <c r="AE128" i="9"/>
  <c r="AF128" i="9"/>
  <c r="AG128" i="9"/>
  <c r="AH128" i="9"/>
  <c r="AI128" i="9"/>
  <c r="AJ128" i="9"/>
  <c r="AK128" i="9"/>
  <c r="AL128" i="9"/>
  <c r="AM128" i="9"/>
  <c r="AN128" i="9"/>
  <c r="AO128" i="9"/>
  <c r="AP128" i="9"/>
  <c r="AQ128" i="9"/>
  <c r="AR128" i="9"/>
  <c r="AS128" i="9"/>
  <c r="AT128" i="9"/>
  <c r="AU128" i="9"/>
  <c r="E127" i="9"/>
  <c r="F127" i="9" s="1"/>
  <c r="H127" i="9"/>
  <c r="J127" i="9"/>
  <c r="R127" i="9" s="1"/>
  <c r="O127" i="9"/>
  <c r="S127" i="9"/>
  <c r="T127" i="9"/>
  <c r="U127" i="9"/>
  <c r="V127" i="9"/>
  <c r="W127" i="9"/>
  <c r="X127" i="9"/>
  <c r="Y127" i="9"/>
  <c r="Z127" i="9"/>
  <c r="AA127" i="9"/>
  <c r="AB127" i="9"/>
  <c r="AC127" i="9"/>
  <c r="AD127" i="9"/>
  <c r="AE127" i="9"/>
  <c r="AF127" i="9"/>
  <c r="AG127" i="9"/>
  <c r="AH127" i="9"/>
  <c r="AI127" i="9"/>
  <c r="AJ127" i="9"/>
  <c r="AK127" i="9"/>
  <c r="AL127" i="9"/>
  <c r="AM127" i="9"/>
  <c r="AN127" i="9"/>
  <c r="AO127" i="9"/>
  <c r="AP127" i="9"/>
  <c r="AQ127" i="9"/>
  <c r="AR127" i="9"/>
  <c r="AS127" i="9"/>
  <c r="AT127" i="9"/>
  <c r="AU127" i="9"/>
  <c r="E126" i="9"/>
  <c r="F126" i="9" s="1"/>
  <c r="H126" i="9"/>
  <c r="J126" i="9"/>
  <c r="R126" i="9" s="1"/>
  <c r="O126" i="9"/>
  <c r="S126" i="9"/>
  <c r="T126" i="9"/>
  <c r="U126" i="9"/>
  <c r="V126" i="9"/>
  <c r="W126" i="9"/>
  <c r="X126" i="9"/>
  <c r="Y126" i="9"/>
  <c r="Z126" i="9"/>
  <c r="AA126" i="9"/>
  <c r="AB126" i="9"/>
  <c r="AC126" i="9"/>
  <c r="AD126" i="9"/>
  <c r="AE126" i="9"/>
  <c r="AF126" i="9"/>
  <c r="AG126" i="9"/>
  <c r="AH126" i="9"/>
  <c r="AI126" i="9"/>
  <c r="AJ126" i="9"/>
  <c r="AK126" i="9"/>
  <c r="AL126" i="9"/>
  <c r="AM126" i="9"/>
  <c r="AN126" i="9"/>
  <c r="AO126" i="9"/>
  <c r="AP126" i="9"/>
  <c r="AQ126" i="9"/>
  <c r="AR126" i="9"/>
  <c r="AS126" i="9"/>
  <c r="AT126" i="9"/>
  <c r="AU126" i="9"/>
  <c r="E125" i="9"/>
  <c r="K125" i="9" s="1"/>
  <c r="H125" i="9"/>
  <c r="J125" i="9"/>
  <c r="R125" i="9" s="1"/>
  <c r="O125" i="9"/>
  <c r="S125" i="9"/>
  <c r="T125" i="9"/>
  <c r="U125" i="9"/>
  <c r="V125" i="9"/>
  <c r="W125" i="9"/>
  <c r="X125" i="9"/>
  <c r="Y125" i="9"/>
  <c r="Z125" i="9"/>
  <c r="AA125" i="9"/>
  <c r="AB125" i="9"/>
  <c r="AC125" i="9"/>
  <c r="AD125" i="9"/>
  <c r="AE125" i="9"/>
  <c r="AF125" i="9"/>
  <c r="AG125" i="9"/>
  <c r="AH125" i="9"/>
  <c r="AI125" i="9"/>
  <c r="AJ125" i="9"/>
  <c r="AK125" i="9"/>
  <c r="AL125" i="9"/>
  <c r="AM125" i="9"/>
  <c r="AN125" i="9"/>
  <c r="AO125" i="9"/>
  <c r="AP125" i="9"/>
  <c r="AQ125" i="9"/>
  <c r="AR125" i="9"/>
  <c r="AS125" i="9"/>
  <c r="AT125" i="9"/>
  <c r="AU125" i="9"/>
  <c r="E124" i="9"/>
  <c r="K124" i="9" s="1"/>
  <c r="H124" i="9"/>
  <c r="J124" i="9"/>
  <c r="R124" i="9" s="1"/>
  <c r="O124" i="9"/>
  <c r="S124" i="9"/>
  <c r="T124" i="9"/>
  <c r="U124" i="9"/>
  <c r="V124" i="9"/>
  <c r="W124" i="9"/>
  <c r="X124" i="9"/>
  <c r="Y124" i="9"/>
  <c r="Z124" i="9"/>
  <c r="AA124" i="9"/>
  <c r="AB124" i="9"/>
  <c r="AC124" i="9"/>
  <c r="AD124" i="9"/>
  <c r="AE124" i="9"/>
  <c r="AF124" i="9"/>
  <c r="AG124" i="9"/>
  <c r="AH124" i="9"/>
  <c r="AI124" i="9"/>
  <c r="AJ124" i="9"/>
  <c r="AK124" i="9"/>
  <c r="AL124" i="9"/>
  <c r="AM124" i="9"/>
  <c r="AN124" i="9"/>
  <c r="AO124" i="9"/>
  <c r="AP124" i="9"/>
  <c r="AQ124" i="9"/>
  <c r="AR124" i="9"/>
  <c r="AS124" i="9"/>
  <c r="AT124" i="9"/>
  <c r="AU124" i="9"/>
  <c r="E123" i="9"/>
  <c r="K123" i="9" s="1"/>
  <c r="H123" i="9"/>
  <c r="J123" i="9"/>
  <c r="R123" i="9" s="1"/>
  <c r="O123" i="9"/>
  <c r="S123" i="9"/>
  <c r="T123" i="9"/>
  <c r="U123" i="9"/>
  <c r="V123" i="9"/>
  <c r="W123" i="9"/>
  <c r="X123" i="9"/>
  <c r="Y123" i="9"/>
  <c r="Z123" i="9"/>
  <c r="AA123" i="9"/>
  <c r="AB123" i="9"/>
  <c r="AC123" i="9"/>
  <c r="AD123" i="9"/>
  <c r="AE123" i="9"/>
  <c r="AF123" i="9"/>
  <c r="AG123" i="9"/>
  <c r="AH123" i="9"/>
  <c r="AI123" i="9"/>
  <c r="AJ123" i="9"/>
  <c r="AK123" i="9"/>
  <c r="AL123" i="9"/>
  <c r="AM123" i="9"/>
  <c r="AN123" i="9"/>
  <c r="AO123" i="9"/>
  <c r="AP123" i="9"/>
  <c r="AQ123" i="9"/>
  <c r="AR123" i="9"/>
  <c r="AS123" i="9"/>
  <c r="AT123" i="9"/>
  <c r="AU123" i="9"/>
  <c r="K122" i="9"/>
  <c r="O122" i="9"/>
  <c r="AV120" i="9"/>
  <c r="AV6" i="10" s="1"/>
  <c r="AW120" i="9"/>
  <c r="AX120" i="9"/>
  <c r="AY120" i="9"/>
  <c r="O119" i="9"/>
  <c r="S119" i="9"/>
  <c r="T119" i="9"/>
  <c r="U119" i="9"/>
  <c r="V119" i="9"/>
  <c r="W119" i="9"/>
  <c r="X119" i="9"/>
  <c r="Y119" i="9"/>
  <c r="Z119" i="9"/>
  <c r="AA119" i="9"/>
  <c r="AB119" i="9"/>
  <c r="AC119" i="9"/>
  <c r="AD119" i="9"/>
  <c r="AE119" i="9"/>
  <c r="AF119" i="9"/>
  <c r="AG119" i="9"/>
  <c r="AH119" i="9"/>
  <c r="AI119" i="9"/>
  <c r="AJ119" i="9"/>
  <c r="AK119" i="9"/>
  <c r="AL119" i="9"/>
  <c r="AM119" i="9"/>
  <c r="AN119" i="9"/>
  <c r="AO119" i="9"/>
  <c r="AP119" i="9"/>
  <c r="AQ119" i="9"/>
  <c r="AR119" i="9"/>
  <c r="AS119" i="9"/>
  <c r="AT119" i="9"/>
  <c r="AU119" i="9"/>
  <c r="O118" i="9"/>
  <c r="S118" i="9"/>
  <c r="T118" i="9"/>
  <c r="U118" i="9"/>
  <c r="V118" i="9"/>
  <c r="W118" i="9"/>
  <c r="X118" i="9"/>
  <c r="Y118" i="9"/>
  <c r="Z118" i="9"/>
  <c r="AA118" i="9"/>
  <c r="AB118" i="9"/>
  <c r="AC118" i="9"/>
  <c r="AD118" i="9"/>
  <c r="AE118" i="9"/>
  <c r="AF118" i="9"/>
  <c r="AG118" i="9"/>
  <c r="AH118" i="9"/>
  <c r="AI118" i="9"/>
  <c r="AJ118" i="9"/>
  <c r="AK118" i="9"/>
  <c r="AL118" i="9"/>
  <c r="AM118" i="9"/>
  <c r="AN118" i="9"/>
  <c r="AO118" i="9"/>
  <c r="AP118" i="9"/>
  <c r="AQ118" i="9"/>
  <c r="AR118" i="9"/>
  <c r="AS118" i="9"/>
  <c r="AT118" i="9"/>
  <c r="AU118" i="9"/>
  <c r="E117" i="9"/>
  <c r="F117" i="9" s="1"/>
  <c r="H117" i="9"/>
  <c r="J117" i="9"/>
  <c r="R117" i="9" s="1"/>
  <c r="O117" i="9"/>
  <c r="S117" i="9"/>
  <c r="T117" i="9"/>
  <c r="U117" i="9"/>
  <c r="V117" i="9"/>
  <c r="W117" i="9"/>
  <c r="X117" i="9"/>
  <c r="Y117" i="9"/>
  <c r="Z117" i="9"/>
  <c r="AA117" i="9"/>
  <c r="AB117" i="9"/>
  <c r="AC117" i="9"/>
  <c r="AD117" i="9"/>
  <c r="AE117" i="9"/>
  <c r="AF117" i="9"/>
  <c r="AG117" i="9"/>
  <c r="AH117" i="9"/>
  <c r="AI117" i="9"/>
  <c r="AJ117" i="9"/>
  <c r="AK117" i="9"/>
  <c r="AL117" i="9"/>
  <c r="AM117" i="9"/>
  <c r="AN117" i="9"/>
  <c r="AO117" i="9"/>
  <c r="AP117" i="9"/>
  <c r="AQ117" i="9"/>
  <c r="AR117" i="9"/>
  <c r="AS117" i="9"/>
  <c r="AT117" i="9"/>
  <c r="AU117" i="9"/>
  <c r="E116" i="9"/>
  <c r="F116" i="9" s="1"/>
  <c r="H116" i="9"/>
  <c r="J116" i="9"/>
  <c r="R116" i="9" s="1"/>
  <c r="O116" i="9"/>
  <c r="S116" i="9"/>
  <c r="T116" i="9"/>
  <c r="U116" i="9"/>
  <c r="V116" i="9"/>
  <c r="W116" i="9"/>
  <c r="X116" i="9"/>
  <c r="Y116" i="9"/>
  <c r="Z116" i="9"/>
  <c r="AA116" i="9"/>
  <c r="AB116" i="9"/>
  <c r="AC116" i="9"/>
  <c r="AD116" i="9"/>
  <c r="AE116" i="9"/>
  <c r="AF116" i="9"/>
  <c r="AG116" i="9"/>
  <c r="AH116" i="9"/>
  <c r="AI116" i="9"/>
  <c r="AJ116" i="9"/>
  <c r="AK116" i="9"/>
  <c r="AL116" i="9"/>
  <c r="AM116" i="9"/>
  <c r="AN116" i="9"/>
  <c r="AO116" i="9"/>
  <c r="AP116" i="9"/>
  <c r="AQ116" i="9"/>
  <c r="AR116" i="9"/>
  <c r="AS116" i="9"/>
  <c r="AT116" i="9"/>
  <c r="AU116" i="9"/>
  <c r="E115" i="9"/>
  <c r="F115" i="9" s="1"/>
  <c r="H115" i="9"/>
  <c r="J115" i="9"/>
  <c r="R115" i="9" s="1"/>
  <c r="O115" i="9"/>
  <c r="S115" i="9"/>
  <c r="T115" i="9"/>
  <c r="U115" i="9"/>
  <c r="V115" i="9"/>
  <c r="W115" i="9"/>
  <c r="X115" i="9"/>
  <c r="Y115" i="9"/>
  <c r="Z115" i="9"/>
  <c r="AA115" i="9"/>
  <c r="AB115" i="9"/>
  <c r="AC115" i="9"/>
  <c r="AD115" i="9"/>
  <c r="AE115" i="9"/>
  <c r="AF115" i="9"/>
  <c r="AG115" i="9"/>
  <c r="AH115" i="9"/>
  <c r="AI115" i="9"/>
  <c r="AJ115" i="9"/>
  <c r="AK115" i="9"/>
  <c r="AL115" i="9"/>
  <c r="AM115" i="9"/>
  <c r="AN115" i="9"/>
  <c r="AO115" i="9"/>
  <c r="AP115" i="9"/>
  <c r="AQ115" i="9"/>
  <c r="AR115" i="9"/>
  <c r="AS115" i="9"/>
  <c r="AT115" i="9"/>
  <c r="AU115" i="9"/>
  <c r="E114" i="9"/>
  <c r="F114" i="9" s="1"/>
  <c r="H114" i="9"/>
  <c r="J114" i="9"/>
  <c r="R114" i="9" s="1"/>
  <c r="O114" i="9"/>
  <c r="S114" i="9"/>
  <c r="T114" i="9"/>
  <c r="U114" i="9"/>
  <c r="V114" i="9"/>
  <c r="W114" i="9"/>
  <c r="X114" i="9"/>
  <c r="Y114" i="9"/>
  <c r="Z114" i="9"/>
  <c r="AA114" i="9"/>
  <c r="AB114" i="9"/>
  <c r="AC114" i="9"/>
  <c r="AD114" i="9"/>
  <c r="AE114" i="9"/>
  <c r="AF114" i="9"/>
  <c r="AG114" i="9"/>
  <c r="AH114" i="9"/>
  <c r="AI114" i="9"/>
  <c r="AJ114" i="9"/>
  <c r="AK114" i="9"/>
  <c r="AL114" i="9"/>
  <c r="AM114" i="9"/>
  <c r="AN114" i="9"/>
  <c r="AO114" i="9"/>
  <c r="AP114" i="9"/>
  <c r="AQ114" i="9"/>
  <c r="AR114" i="9"/>
  <c r="AS114" i="9"/>
  <c r="AT114" i="9"/>
  <c r="AU114" i="9"/>
  <c r="E113" i="9"/>
  <c r="F113" i="9" s="1"/>
  <c r="H113" i="9"/>
  <c r="J113" i="9"/>
  <c r="R113" i="9" s="1"/>
  <c r="O113" i="9"/>
  <c r="S113" i="9"/>
  <c r="T113" i="9"/>
  <c r="U113" i="9"/>
  <c r="V113" i="9"/>
  <c r="W113" i="9"/>
  <c r="X113" i="9"/>
  <c r="Y113" i="9"/>
  <c r="Z113" i="9"/>
  <c r="AA113" i="9"/>
  <c r="AB113" i="9"/>
  <c r="AC113" i="9"/>
  <c r="AD113" i="9"/>
  <c r="AE113" i="9"/>
  <c r="AF113" i="9"/>
  <c r="AG113" i="9"/>
  <c r="AH113" i="9"/>
  <c r="AI113" i="9"/>
  <c r="AJ113" i="9"/>
  <c r="AK113" i="9"/>
  <c r="AL113" i="9"/>
  <c r="AM113" i="9"/>
  <c r="AN113" i="9"/>
  <c r="AO113" i="9"/>
  <c r="AP113" i="9"/>
  <c r="AQ113" i="9"/>
  <c r="AR113" i="9"/>
  <c r="AS113" i="9"/>
  <c r="AT113" i="9"/>
  <c r="AU113" i="9"/>
  <c r="E112" i="9"/>
  <c r="F112" i="9" s="1"/>
  <c r="H112" i="9"/>
  <c r="J112" i="9"/>
  <c r="R112" i="9" s="1"/>
  <c r="O112" i="9"/>
  <c r="S112" i="9"/>
  <c r="T112" i="9"/>
  <c r="U112" i="9"/>
  <c r="V112" i="9"/>
  <c r="W112" i="9"/>
  <c r="X112" i="9"/>
  <c r="Y112" i="9"/>
  <c r="Z112" i="9"/>
  <c r="AA112" i="9"/>
  <c r="AB112" i="9"/>
  <c r="AC112" i="9"/>
  <c r="AD112" i="9"/>
  <c r="AE112" i="9"/>
  <c r="AF112" i="9"/>
  <c r="AG112" i="9"/>
  <c r="AH112" i="9"/>
  <c r="AI112" i="9"/>
  <c r="AJ112" i="9"/>
  <c r="AK112" i="9"/>
  <c r="AL112" i="9"/>
  <c r="AM112" i="9"/>
  <c r="AN112" i="9"/>
  <c r="AO112" i="9"/>
  <c r="AP112" i="9"/>
  <c r="AQ112" i="9"/>
  <c r="AR112" i="9"/>
  <c r="AS112" i="9"/>
  <c r="AT112" i="9"/>
  <c r="AU112" i="9"/>
  <c r="E111" i="9"/>
  <c r="F111" i="9" s="1"/>
  <c r="H111" i="9"/>
  <c r="J111" i="9"/>
  <c r="R111" i="9" s="1"/>
  <c r="O111" i="9"/>
  <c r="S111" i="9"/>
  <c r="T111" i="9"/>
  <c r="U111" i="9"/>
  <c r="V111" i="9"/>
  <c r="W111" i="9"/>
  <c r="X111" i="9"/>
  <c r="Y111" i="9"/>
  <c r="Z111" i="9"/>
  <c r="AA111" i="9"/>
  <c r="AB111" i="9"/>
  <c r="AC111" i="9"/>
  <c r="AD111" i="9"/>
  <c r="AE111" i="9"/>
  <c r="AF111" i="9"/>
  <c r="AG111" i="9"/>
  <c r="AH111" i="9"/>
  <c r="AI111" i="9"/>
  <c r="AJ111" i="9"/>
  <c r="AK111" i="9"/>
  <c r="AL111" i="9"/>
  <c r="AM111" i="9"/>
  <c r="AN111" i="9"/>
  <c r="AO111" i="9"/>
  <c r="AP111" i="9"/>
  <c r="AQ111" i="9"/>
  <c r="AR111" i="9"/>
  <c r="AS111" i="9"/>
  <c r="AT111" i="9"/>
  <c r="AU111" i="9"/>
  <c r="E110" i="9"/>
  <c r="F110" i="9" s="1"/>
  <c r="H110" i="9"/>
  <c r="J110" i="9"/>
  <c r="R110" i="9" s="1"/>
  <c r="O110" i="9"/>
  <c r="S110" i="9"/>
  <c r="T110" i="9"/>
  <c r="U110" i="9"/>
  <c r="V110" i="9"/>
  <c r="W110" i="9"/>
  <c r="X110" i="9"/>
  <c r="Y110" i="9"/>
  <c r="Z110" i="9"/>
  <c r="AA110" i="9"/>
  <c r="AB110" i="9"/>
  <c r="AC110" i="9"/>
  <c r="AD110" i="9"/>
  <c r="AE110" i="9"/>
  <c r="AF110" i="9"/>
  <c r="AG110" i="9"/>
  <c r="AH110" i="9"/>
  <c r="AI110" i="9"/>
  <c r="AJ110" i="9"/>
  <c r="AK110" i="9"/>
  <c r="AL110" i="9"/>
  <c r="AM110" i="9"/>
  <c r="AN110" i="9"/>
  <c r="AO110" i="9"/>
  <c r="AP110" i="9"/>
  <c r="AQ110" i="9"/>
  <c r="AR110" i="9"/>
  <c r="AS110" i="9"/>
  <c r="AT110" i="9"/>
  <c r="AU110" i="9"/>
  <c r="E109" i="9"/>
  <c r="F109" i="9" s="1"/>
  <c r="H109" i="9"/>
  <c r="J109" i="9"/>
  <c r="R109" i="9" s="1"/>
  <c r="O109" i="9"/>
  <c r="S109" i="9"/>
  <c r="T109" i="9"/>
  <c r="U109" i="9"/>
  <c r="V109" i="9"/>
  <c r="W109" i="9"/>
  <c r="X109" i="9"/>
  <c r="Y109" i="9"/>
  <c r="Z109" i="9"/>
  <c r="AA109" i="9"/>
  <c r="AB109" i="9"/>
  <c r="AC109" i="9"/>
  <c r="AD109" i="9"/>
  <c r="AE109" i="9"/>
  <c r="AF109" i="9"/>
  <c r="AG109" i="9"/>
  <c r="AH109" i="9"/>
  <c r="AI109" i="9"/>
  <c r="AJ109" i="9"/>
  <c r="AK109" i="9"/>
  <c r="AL109" i="9"/>
  <c r="AM109" i="9"/>
  <c r="AN109" i="9"/>
  <c r="AO109" i="9"/>
  <c r="AP109" i="9"/>
  <c r="AQ109" i="9"/>
  <c r="AR109" i="9"/>
  <c r="AS109" i="9"/>
  <c r="AT109" i="9"/>
  <c r="AU109" i="9"/>
  <c r="E108" i="9"/>
  <c r="F108" i="9" s="1"/>
  <c r="H108" i="9"/>
  <c r="J108" i="9"/>
  <c r="R108" i="9" s="1"/>
  <c r="O108" i="9"/>
  <c r="S108" i="9"/>
  <c r="T108" i="9"/>
  <c r="U108" i="9"/>
  <c r="V108" i="9"/>
  <c r="W108" i="9"/>
  <c r="X108" i="9"/>
  <c r="Y108" i="9"/>
  <c r="Z108" i="9"/>
  <c r="AA108" i="9"/>
  <c r="AB108" i="9"/>
  <c r="AC108" i="9"/>
  <c r="AD108" i="9"/>
  <c r="AE108" i="9"/>
  <c r="AF108" i="9"/>
  <c r="AG108" i="9"/>
  <c r="AH108" i="9"/>
  <c r="AI108" i="9"/>
  <c r="AJ108" i="9"/>
  <c r="AK108" i="9"/>
  <c r="AL108" i="9"/>
  <c r="AM108" i="9"/>
  <c r="AN108" i="9"/>
  <c r="AO108" i="9"/>
  <c r="AP108" i="9"/>
  <c r="AQ108" i="9"/>
  <c r="AR108" i="9"/>
  <c r="AS108" i="9"/>
  <c r="AT108" i="9"/>
  <c r="AU108" i="9"/>
  <c r="E107" i="9"/>
  <c r="K107" i="9" s="1"/>
  <c r="H107" i="9"/>
  <c r="J107" i="9"/>
  <c r="R107" i="9" s="1"/>
  <c r="O107" i="9"/>
  <c r="S107" i="9"/>
  <c r="T107" i="9"/>
  <c r="U107" i="9"/>
  <c r="V107" i="9"/>
  <c r="W107" i="9"/>
  <c r="X107" i="9"/>
  <c r="Y107" i="9"/>
  <c r="Z107" i="9"/>
  <c r="AA107" i="9"/>
  <c r="AB107" i="9"/>
  <c r="AC107" i="9"/>
  <c r="AD107" i="9"/>
  <c r="AE107" i="9"/>
  <c r="AF107" i="9"/>
  <c r="AG107" i="9"/>
  <c r="AH107" i="9"/>
  <c r="AI107" i="9"/>
  <c r="AJ107" i="9"/>
  <c r="AK107" i="9"/>
  <c r="AL107" i="9"/>
  <c r="AM107" i="9"/>
  <c r="AN107" i="9"/>
  <c r="AO107" i="9"/>
  <c r="AP107" i="9"/>
  <c r="AQ107" i="9"/>
  <c r="AR107" i="9"/>
  <c r="AS107" i="9"/>
  <c r="AT107" i="9"/>
  <c r="AU107" i="9"/>
  <c r="E106" i="9"/>
  <c r="F106" i="9" s="1"/>
  <c r="H106" i="9"/>
  <c r="J106" i="9"/>
  <c r="R106" i="9" s="1"/>
  <c r="O106" i="9"/>
  <c r="S106" i="9"/>
  <c r="T106" i="9"/>
  <c r="U106" i="9"/>
  <c r="V106" i="9"/>
  <c r="W106" i="9"/>
  <c r="X106" i="9"/>
  <c r="Y106" i="9"/>
  <c r="Z106" i="9"/>
  <c r="AA106" i="9"/>
  <c r="AB106" i="9"/>
  <c r="AC106" i="9"/>
  <c r="AD106" i="9"/>
  <c r="AE106" i="9"/>
  <c r="AF106" i="9"/>
  <c r="AG106" i="9"/>
  <c r="AH106" i="9"/>
  <c r="AI106" i="9"/>
  <c r="AJ106" i="9"/>
  <c r="AK106" i="9"/>
  <c r="AL106" i="9"/>
  <c r="AM106" i="9"/>
  <c r="AN106" i="9"/>
  <c r="AO106" i="9"/>
  <c r="AP106" i="9"/>
  <c r="AQ106" i="9"/>
  <c r="AR106" i="9"/>
  <c r="AS106" i="9"/>
  <c r="AT106" i="9"/>
  <c r="AU106" i="9"/>
  <c r="E105" i="9"/>
  <c r="F105" i="9" s="1"/>
  <c r="H105" i="9"/>
  <c r="J105" i="9"/>
  <c r="R105" i="9" s="1"/>
  <c r="O105" i="9"/>
  <c r="S105" i="9"/>
  <c r="T105" i="9"/>
  <c r="U105" i="9"/>
  <c r="V105" i="9"/>
  <c r="W105" i="9"/>
  <c r="X105" i="9"/>
  <c r="Y105" i="9"/>
  <c r="Z105" i="9"/>
  <c r="AA105" i="9"/>
  <c r="AB105" i="9"/>
  <c r="AC105" i="9"/>
  <c r="AD105" i="9"/>
  <c r="AE105" i="9"/>
  <c r="AF105" i="9"/>
  <c r="AG105" i="9"/>
  <c r="AH105" i="9"/>
  <c r="AI105" i="9"/>
  <c r="AJ105" i="9"/>
  <c r="AK105" i="9"/>
  <c r="AL105" i="9"/>
  <c r="AM105" i="9"/>
  <c r="AN105" i="9"/>
  <c r="AO105" i="9"/>
  <c r="AP105" i="9"/>
  <c r="AQ105" i="9"/>
  <c r="AR105" i="9"/>
  <c r="AS105" i="9"/>
  <c r="AT105" i="9"/>
  <c r="AU105" i="9"/>
  <c r="E104" i="9"/>
  <c r="F104" i="9" s="1"/>
  <c r="H104" i="9"/>
  <c r="J104" i="9"/>
  <c r="R104" i="9" s="1"/>
  <c r="O104" i="9"/>
  <c r="S104" i="9"/>
  <c r="T104" i="9"/>
  <c r="U104" i="9"/>
  <c r="V104" i="9"/>
  <c r="W104" i="9"/>
  <c r="X104" i="9"/>
  <c r="Y104" i="9"/>
  <c r="Z104" i="9"/>
  <c r="AA104" i="9"/>
  <c r="AB104" i="9"/>
  <c r="AC104" i="9"/>
  <c r="AD104" i="9"/>
  <c r="AE104" i="9"/>
  <c r="AF104" i="9"/>
  <c r="AG104" i="9"/>
  <c r="AH104" i="9"/>
  <c r="AI104" i="9"/>
  <c r="AJ104" i="9"/>
  <c r="AK104" i="9"/>
  <c r="AL104" i="9"/>
  <c r="AM104" i="9"/>
  <c r="AN104" i="9"/>
  <c r="AO104" i="9"/>
  <c r="AP104" i="9"/>
  <c r="AQ104" i="9"/>
  <c r="AR104" i="9"/>
  <c r="AS104" i="9"/>
  <c r="AT104" i="9"/>
  <c r="AU104" i="9"/>
  <c r="E103" i="9"/>
  <c r="F103" i="9" s="1"/>
  <c r="H103" i="9"/>
  <c r="J103" i="9"/>
  <c r="R103" i="9" s="1"/>
  <c r="O103" i="9"/>
  <c r="S103" i="9"/>
  <c r="T103" i="9"/>
  <c r="U103" i="9"/>
  <c r="V103" i="9"/>
  <c r="W103" i="9"/>
  <c r="X103" i="9"/>
  <c r="Y103" i="9"/>
  <c r="Z103" i="9"/>
  <c r="AA103" i="9"/>
  <c r="AB103" i="9"/>
  <c r="AC103" i="9"/>
  <c r="AD103" i="9"/>
  <c r="AE103" i="9"/>
  <c r="AF103" i="9"/>
  <c r="AG103" i="9"/>
  <c r="AH103" i="9"/>
  <c r="AI103" i="9"/>
  <c r="AJ103" i="9"/>
  <c r="AK103" i="9"/>
  <c r="AL103" i="9"/>
  <c r="AM103" i="9"/>
  <c r="AN103" i="9"/>
  <c r="AO103" i="9"/>
  <c r="AP103" i="9"/>
  <c r="AQ103" i="9"/>
  <c r="AR103" i="9"/>
  <c r="AS103" i="9"/>
  <c r="AT103" i="9"/>
  <c r="AU103" i="9"/>
  <c r="E102" i="9"/>
  <c r="F102" i="9" s="1"/>
  <c r="H102" i="9"/>
  <c r="J102" i="9"/>
  <c r="R102" i="9" s="1"/>
  <c r="O102" i="9"/>
  <c r="S102" i="9"/>
  <c r="T102" i="9"/>
  <c r="U102" i="9"/>
  <c r="V102" i="9"/>
  <c r="W102" i="9"/>
  <c r="X102" i="9"/>
  <c r="Y102" i="9"/>
  <c r="Z102" i="9"/>
  <c r="AA102" i="9"/>
  <c r="AB102" i="9"/>
  <c r="AC102" i="9"/>
  <c r="AD102" i="9"/>
  <c r="AE102" i="9"/>
  <c r="AF102" i="9"/>
  <c r="AG102" i="9"/>
  <c r="AH102" i="9"/>
  <c r="AI102" i="9"/>
  <c r="AJ102" i="9"/>
  <c r="AK102" i="9"/>
  <c r="AL102" i="9"/>
  <c r="AM102" i="9"/>
  <c r="AN102" i="9"/>
  <c r="AO102" i="9"/>
  <c r="AP102" i="9"/>
  <c r="AQ102" i="9"/>
  <c r="AR102" i="9"/>
  <c r="AS102" i="9"/>
  <c r="AT102" i="9"/>
  <c r="AU102" i="9"/>
  <c r="E101" i="9"/>
  <c r="F101" i="9" s="1"/>
  <c r="H101" i="9"/>
  <c r="J101" i="9"/>
  <c r="R101" i="9" s="1"/>
  <c r="O101" i="9"/>
  <c r="S101" i="9"/>
  <c r="T101" i="9"/>
  <c r="U101" i="9"/>
  <c r="V101" i="9"/>
  <c r="W101" i="9"/>
  <c r="X101" i="9"/>
  <c r="Y101" i="9"/>
  <c r="Z101" i="9"/>
  <c r="AA101" i="9"/>
  <c r="AB101" i="9"/>
  <c r="AC101" i="9"/>
  <c r="AD101" i="9"/>
  <c r="AE101" i="9"/>
  <c r="AF101" i="9"/>
  <c r="AG101" i="9"/>
  <c r="AH101" i="9"/>
  <c r="AI101" i="9"/>
  <c r="AJ101" i="9"/>
  <c r="AK101" i="9"/>
  <c r="AL101" i="9"/>
  <c r="AM101" i="9"/>
  <c r="AN101" i="9"/>
  <c r="AO101" i="9"/>
  <c r="AP101" i="9"/>
  <c r="AQ101" i="9"/>
  <c r="AR101" i="9"/>
  <c r="AS101" i="9"/>
  <c r="AT101" i="9"/>
  <c r="AU101" i="9"/>
  <c r="E100" i="9"/>
  <c r="F100" i="9" s="1"/>
  <c r="H100" i="9"/>
  <c r="J100" i="9"/>
  <c r="R100" i="9" s="1"/>
  <c r="O100" i="9"/>
  <c r="S100" i="9"/>
  <c r="T100" i="9"/>
  <c r="U100" i="9"/>
  <c r="V100" i="9"/>
  <c r="W100" i="9"/>
  <c r="X100" i="9"/>
  <c r="Y100" i="9"/>
  <c r="Z100" i="9"/>
  <c r="AA100" i="9"/>
  <c r="AB100" i="9"/>
  <c r="AC100" i="9"/>
  <c r="AD100" i="9"/>
  <c r="AE100" i="9"/>
  <c r="AF100" i="9"/>
  <c r="AG100" i="9"/>
  <c r="AH100" i="9"/>
  <c r="AI100" i="9"/>
  <c r="AJ100" i="9"/>
  <c r="AK100" i="9"/>
  <c r="AL100" i="9"/>
  <c r="AM100" i="9"/>
  <c r="AN100" i="9"/>
  <c r="AO100" i="9"/>
  <c r="AP100" i="9"/>
  <c r="AQ100" i="9"/>
  <c r="AR100" i="9"/>
  <c r="AS100" i="9"/>
  <c r="AT100" i="9"/>
  <c r="AU100" i="9"/>
  <c r="E99" i="9"/>
  <c r="K99" i="9" s="1"/>
  <c r="H99" i="9"/>
  <c r="J99" i="9"/>
  <c r="R99" i="9" s="1"/>
  <c r="O99" i="9"/>
  <c r="S99" i="9"/>
  <c r="T99" i="9"/>
  <c r="U99" i="9"/>
  <c r="V99" i="9"/>
  <c r="W99" i="9"/>
  <c r="X99" i="9"/>
  <c r="Y99" i="9"/>
  <c r="Z99" i="9"/>
  <c r="AA99" i="9"/>
  <c r="AB99" i="9"/>
  <c r="AC99" i="9"/>
  <c r="AD99" i="9"/>
  <c r="AE99" i="9"/>
  <c r="AF99" i="9"/>
  <c r="AG99" i="9"/>
  <c r="AH99" i="9"/>
  <c r="AI99" i="9"/>
  <c r="AJ99" i="9"/>
  <c r="AK99" i="9"/>
  <c r="AL99" i="9"/>
  <c r="AM99" i="9"/>
  <c r="AN99" i="9"/>
  <c r="AO99" i="9"/>
  <c r="AP99" i="9"/>
  <c r="AQ99" i="9"/>
  <c r="AR99" i="9"/>
  <c r="AS99" i="9"/>
  <c r="AT99" i="9"/>
  <c r="AU99" i="9"/>
  <c r="E98" i="9"/>
  <c r="F98" i="9" s="1"/>
  <c r="H98" i="9"/>
  <c r="J98" i="9"/>
  <c r="R98" i="9" s="1"/>
  <c r="O98" i="9"/>
  <c r="S98" i="9"/>
  <c r="T98" i="9"/>
  <c r="U98" i="9"/>
  <c r="V98" i="9"/>
  <c r="W98" i="9"/>
  <c r="X98" i="9"/>
  <c r="Y98" i="9"/>
  <c r="Z98" i="9"/>
  <c r="AA98" i="9"/>
  <c r="AB98" i="9"/>
  <c r="AC98" i="9"/>
  <c r="AD98" i="9"/>
  <c r="AE98" i="9"/>
  <c r="AF98" i="9"/>
  <c r="AG98" i="9"/>
  <c r="AH98" i="9"/>
  <c r="AI98" i="9"/>
  <c r="AJ98" i="9"/>
  <c r="AK98" i="9"/>
  <c r="AL98" i="9"/>
  <c r="AM98" i="9"/>
  <c r="AN98" i="9"/>
  <c r="AO98" i="9"/>
  <c r="AP98" i="9"/>
  <c r="AQ98" i="9"/>
  <c r="AR98" i="9"/>
  <c r="AS98" i="9"/>
  <c r="AT98" i="9"/>
  <c r="AU98" i="9"/>
  <c r="E97" i="9"/>
  <c r="F97" i="9" s="1"/>
  <c r="H97" i="9"/>
  <c r="J97" i="9"/>
  <c r="O97" i="9"/>
  <c r="R97" i="9"/>
  <c r="S97" i="9"/>
  <c r="T97" i="9"/>
  <c r="U97" i="9"/>
  <c r="V97" i="9"/>
  <c r="W97" i="9"/>
  <c r="X97" i="9"/>
  <c r="Y97" i="9"/>
  <c r="Z97" i="9"/>
  <c r="AA97" i="9"/>
  <c r="AB97" i="9"/>
  <c r="AC97" i="9"/>
  <c r="AD97" i="9"/>
  <c r="AE97" i="9"/>
  <c r="AF97" i="9"/>
  <c r="AG97" i="9"/>
  <c r="AH97" i="9"/>
  <c r="AI97" i="9"/>
  <c r="AJ97" i="9"/>
  <c r="AK97" i="9"/>
  <c r="AL97" i="9"/>
  <c r="AM97" i="9"/>
  <c r="AN97" i="9"/>
  <c r="AO97" i="9"/>
  <c r="AP97" i="9"/>
  <c r="AQ97" i="9"/>
  <c r="AR97" i="9"/>
  <c r="AS97" i="9"/>
  <c r="AT97" i="9"/>
  <c r="AU97" i="9"/>
  <c r="E96" i="9"/>
  <c r="K96" i="9" s="1"/>
  <c r="H96" i="9"/>
  <c r="J96" i="9"/>
  <c r="R96" i="9" s="1"/>
  <c r="O96" i="9"/>
  <c r="S96" i="9"/>
  <c r="T96" i="9"/>
  <c r="U96" i="9"/>
  <c r="V96" i="9"/>
  <c r="W96" i="9"/>
  <c r="X96" i="9"/>
  <c r="Y96" i="9"/>
  <c r="Z96" i="9"/>
  <c r="AA96" i="9"/>
  <c r="AB96" i="9"/>
  <c r="AC96" i="9"/>
  <c r="AD96" i="9"/>
  <c r="AE96" i="9"/>
  <c r="AF96" i="9"/>
  <c r="AG96" i="9"/>
  <c r="AH96" i="9"/>
  <c r="AI96" i="9"/>
  <c r="AJ96" i="9"/>
  <c r="AK96" i="9"/>
  <c r="AL96" i="9"/>
  <c r="AM96" i="9"/>
  <c r="AN96" i="9"/>
  <c r="AO96" i="9"/>
  <c r="AP96" i="9"/>
  <c r="AQ96" i="9"/>
  <c r="AR96" i="9"/>
  <c r="AS96" i="9"/>
  <c r="AT96" i="9"/>
  <c r="AU96" i="9"/>
  <c r="E95" i="9"/>
  <c r="F95" i="9" s="1"/>
  <c r="H95" i="9"/>
  <c r="J95" i="9"/>
  <c r="R95" i="9" s="1"/>
  <c r="O95" i="9"/>
  <c r="S95" i="9"/>
  <c r="T95" i="9"/>
  <c r="U95" i="9"/>
  <c r="V95" i="9"/>
  <c r="W95" i="9"/>
  <c r="X95" i="9"/>
  <c r="Y95" i="9"/>
  <c r="Z95" i="9"/>
  <c r="AA95" i="9"/>
  <c r="AB95" i="9"/>
  <c r="AC95" i="9"/>
  <c r="AD95" i="9"/>
  <c r="AE95" i="9"/>
  <c r="AF95" i="9"/>
  <c r="AG95" i="9"/>
  <c r="AH95" i="9"/>
  <c r="AI95" i="9"/>
  <c r="AJ95" i="9"/>
  <c r="AK95" i="9"/>
  <c r="AL95" i="9"/>
  <c r="AM95" i="9"/>
  <c r="AN95" i="9"/>
  <c r="AO95" i="9"/>
  <c r="AP95" i="9"/>
  <c r="AQ95" i="9"/>
  <c r="AR95" i="9"/>
  <c r="AS95" i="9"/>
  <c r="AT95" i="9"/>
  <c r="AU95" i="9"/>
  <c r="E94" i="9"/>
  <c r="K94" i="9" s="1"/>
  <c r="H94" i="9"/>
  <c r="J94" i="9"/>
  <c r="R94" i="9" s="1"/>
  <c r="O94" i="9"/>
  <c r="S94" i="9"/>
  <c r="T94" i="9"/>
  <c r="U94" i="9"/>
  <c r="V94" i="9"/>
  <c r="W94" i="9"/>
  <c r="X94" i="9"/>
  <c r="Y94" i="9"/>
  <c r="Z94" i="9"/>
  <c r="AA94" i="9"/>
  <c r="AB94" i="9"/>
  <c r="AC94" i="9"/>
  <c r="AD94" i="9"/>
  <c r="AE94" i="9"/>
  <c r="AF94" i="9"/>
  <c r="AG94" i="9"/>
  <c r="AH94" i="9"/>
  <c r="AI94" i="9"/>
  <c r="AJ94" i="9"/>
  <c r="AK94" i="9"/>
  <c r="AL94" i="9"/>
  <c r="AM94" i="9"/>
  <c r="AN94" i="9"/>
  <c r="AO94" i="9"/>
  <c r="AP94" i="9"/>
  <c r="AQ94" i="9"/>
  <c r="AR94" i="9"/>
  <c r="AS94" i="9"/>
  <c r="AT94" i="9"/>
  <c r="AU94" i="9"/>
  <c r="E93" i="9"/>
  <c r="K93" i="9" s="1"/>
  <c r="H93" i="9"/>
  <c r="J93" i="9"/>
  <c r="R93" i="9" s="1"/>
  <c r="O93" i="9"/>
  <c r="S93" i="9"/>
  <c r="T93" i="9"/>
  <c r="U93" i="9"/>
  <c r="V93" i="9"/>
  <c r="W93" i="9"/>
  <c r="X93" i="9"/>
  <c r="Y93" i="9"/>
  <c r="Z93" i="9"/>
  <c r="AA93" i="9"/>
  <c r="AB93" i="9"/>
  <c r="AC93" i="9"/>
  <c r="AD93" i="9"/>
  <c r="AE93" i="9"/>
  <c r="AF93" i="9"/>
  <c r="AG93" i="9"/>
  <c r="AH93" i="9"/>
  <c r="AI93" i="9"/>
  <c r="AJ93" i="9"/>
  <c r="AK93" i="9"/>
  <c r="AL93" i="9"/>
  <c r="AM93" i="9"/>
  <c r="AN93" i="9"/>
  <c r="AO93" i="9"/>
  <c r="AP93" i="9"/>
  <c r="AQ93" i="9"/>
  <c r="AR93" i="9"/>
  <c r="AS93" i="9"/>
  <c r="AT93" i="9"/>
  <c r="AU93" i="9"/>
  <c r="E92" i="9"/>
  <c r="K92" i="9" s="1"/>
  <c r="H92" i="9"/>
  <c r="J92" i="9"/>
  <c r="R92" i="9" s="1"/>
  <c r="O92" i="9"/>
  <c r="S92" i="9"/>
  <c r="T92" i="9"/>
  <c r="U92" i="9"/>
  <c r="V92" i="9"/>
  <c r="W92" i="9"/>
  <c r="X92" i="9"/>
  <c r="Y92" i="9"/>
  <c r="Z92" i="9"/>
  <c r="AA92" i="9"/>
  <c r="AB92" i="9"/>
  <c r="AC92" i="9"/>
  <c r="AD92" i="9"/>
  <c r="AE92" i="9"/>
  <c r="AF92" i="9"/>
  <c r="AG92" i="9"/>
  <c r="AH92" i="9"/>
  <c r="AI92" i="9"/>
  <c r="AJ92" i="9"/>
  <c r="AK92" i="9"/>
  <c r="AL92" i="9"/>
  <c r="AM92" i="9"/>
  <c r="AN92" i="9"/>
  <c r="AO92" i="9"/>
  <c r="AP92" i="9"/>
  <c r="AQ92" i="9"/>
  <c r="AR92" i="9"/>
  <c r="AS92" i="9"/>
  <c r="AT92" i="9"/>
  <c r="AU92" i="9"/>
  <c r="E91" i="9"/>
  <c r="K91" i="9" s="1"/>
  <c r="H91" i="9"/>
  <c r="J91" i="9"/>
  <c r="R91" i="9" s="1"/>
  <c r="O91" i="9"/>
  <c r="S91" i="9"/>
  <c r="T91" i="9"/>
  <c r="U91" i="9"/>
  <c r="V91" i="9"/>
  <c r="W91" i="9"/>
  <c r="X91" i="9"/>
  <c r="Y91" i="9"/>
  <c r="Z91" i="9"/>
  <c r="AA91" i="9"/>
  <c r="AB91" i="9"/>
  <c r="AC91" i="9"/>
  <c r="AD91" i="9"/>
  <c r="AE91" i="9"/>
  <c r="AF91" i="9"/>
  <c r="AG91" i="9"/>
  <c r="AH91" i="9"/>
  <c r="AI91" i="9"/>
  <c r="AJ91" i="9"/>
  <c r="AK91" i="9"/>
  <c r="AL91" i="9"/>
  <c r="AM91" i="9"/>
  <c r="AN91" i="9"/>
  <c r="AO91" i="9"/>
  <c r="AP91" i="9"/>
  <c r="AQ91" i="9"/>
  <c r="AR91" i="9"/>
  <c r="AS91" i="9"/>
  <c r="AT91" i="9"/>
  <c r="AU91" i="9"/>
  <c r="E90" i="9"/>
  <c r="F90" i="9" s="1"/>
  <c r="H90" i="9"/>
  <c r="J90" i="9"/>
  <c r="R90" i="9" s="1"/>
  <c r="O90" i="9"/>
  <c r="S90" i="9"/>
  <c r="T90" i="9"/>
  <c r="U90" i="9"/>
  <c r="V90" i="9"/>
  <c r="W90" i="9"/>
  <c r="X90" i="9"/>
  <c r="Y90" i="9"/>
  <c r="Z90" i="9"/>
  <c r="AA90" i="9"/>
  <c r="AB90" i="9"/>
  <c r="AC90" i="9"/>
  <c r="AD90" i="9"/>
  <c r="AE90" i="9"/>
  <c r="AF90" i="9"/>
  <c r="AG90" i="9"/>
  <c r="AH90" i="9"/>
  <c r="AI90" i="9"/>
  <c r="AJ90" i="9"/>
  <c r="AK90" i="9"/>
  <c r="AL90" i="9"/>
  <c r="AM90" i="9"/>
  <c r="AN90" i="9"/>
  <c r="AO90" i="9"/>
  <c r="AP90" i="9"/>
  <c r="AQ90" i="9"/>
  <c r="AR90" i="9"/>
  <c r="AS90" i="9"/>
  <c r="AT90" i="9"/>
  <c r="AU90" i="9"/>
  <c r="E89" i="9"/>
  <c r="F89" i="9" s="1"/>
  <c r="H89" i="9"/>
  <c r="J89" i="9"/>
  <c r="R89" i="9" s="1"/>
  <c r="O89" i="9"/>
  <c r="S89" i="9"/>
  <c r="T89" i="9"/>
  <c r="U89" i="9"/>
  <c r="V89" i="9"/>
  <c r="W89" i="9"/>
  <c r="X89" i="9"/>
  <c r="Y89" i="9"/>
  <c r="Z89" i="9"/>
  <c r="AA89" i="9"/>
  <c r="AB89" i="9"/>
  <c r="AC89" i="9"/>
  <c r="AD89" i="9"/>
  <c r="AE89" i="9"/>
  <c r="AF89" i="9"/>
  <c r="AG89" i="9"/>
  <c r="AH89" i="9"/>
  <c r="AI89" i="9"/>
  <c r="AJ89" i="9"/>
  <c r="AK89" i="9"/>
  <c r="AL89" i="9"/>
  <c r="AM89" i="9"/>
  <c r="AN89" i="9"/>
  <c r="AO89" i="9"/>
  <c r="AP89" i="9"/>
  <c r="AQ89" i="9"/>
  <c r="AR89" i="9"/>
  <c r="AS89" i="9"/>
  <c r="AT89" i="9"/>
  <c r="AU89" i="9"/>
  <c r="E88" i="9"/>
  <c r="F88" i="9" s="1"/>
  <c r="H88" i="9"/>
  <c r="J88" i="9"/>
  <c r="R88" i="9" s="1"/>
  <c r="O88" i="9"/>
  <c r="S88" i="9"/>
  <c r="T88" i="9"/>
  <c r="U88" i="9"/>
  <c r="V88" i="9"/>
  <c r="W88" i="9"/>
  <c r="X88" i="9"/>
  <c r="Y88" i="9"/>
  <c r="Z88" i="9"/>
  <c r="AA88" i="9"/>
  <c r="AB88" i="9"/>
  <c r="AC88" i="9"/>
  <c r="AD88" i="9"/>
  <c r="AE88" i="9"/>
  <c r="AF88" i="9"/>
  <c r="AG88" i="9"/>
  <c r="AH88" i="9"/>
  <c r="AI88" i="9"/>
  <c r="AJ88" i="9"/>
  <c r="AK88" i="9"/>
  <c r="AL88" i="9"/>
  <c r="AM88" i="9"/>
  <c r="AN88" i="9"/>
  <c r="AO88" i="9"/>
  <c r="AP88" i="9"/>
  <c r="AQ88" i="9"/>
  <c r="AR88" i="9"/>
  <c r="AS88" i="9"/>
  <c r="AT88" i="9"/>
  <c r="AU88" i="9"/>
  <c r="E87" i="9"/>
  <c r="F87" i="9" s="1"/>
  <c r="H87" i="9"/>
  <c r="J87" i="9"/>
  <c r="R87" i="9" s="1"/>
  <c r="O87" i="9"/>
  <c r="S87" i="9"/>
  <c r="T87" i="9"/>
  <c r="U87" i="9"/>
  <c r="V87" i="9"/>
  <c r="W87" i="9"/>
  <c r="X87" i="9"/>
  <c r="Y87" i="9"/>
  <c r="Z87" i="9"/>
  <c r="AA87" i="9"/>
  <c r="AB87" i="9"/>
  <c r="AC87" i="9"/>
  <c r="AD87" i="9"/>
  <c r="AE87" i="9"/>
  <c r="AF87" i="9"/>
  <c r="AG87" i="9"/>
  <c r="AH87" i="9"/>
  <c r="AI87" i="9"/>
  <c r="AJ87" i="9"/>
  <c r="AK87" i="9"/>
  <c r="AL87" i="9"/>
  <c r="AM87" i="9"/>
  <c r="AN87" i="9"/>
  <c r="AO87" i="9"/>
  <c r="AP87" i="9"/>
  <c r="AQ87" i="9"/>
  <c r="AR87" i="9"/>
  <c r="AS87" i="9"/>
  <c r="AT87" i="9"/>
  <c r="AU87" i="9"/>
  <c r="E86" i="9"/>
  <c r="K86" i="9" s="1"/>
  <c r="H86" i="9"/>
  <c r="J86" i="9"/>
  <c r="R86" i="9" s="1"/>
  <c r="O86" i="9"/>
  <c r="S86" i="9"/>
  <c r="T86" i="9"/>
  <c r="U86" i="9"/>
  <c r="V86" i="9"/>
  <c r="W86" i="9"/>
  <c r="X86" i="9"/>
  <c r="Y86" i="9"/>
  <c r="Z86" i="9"/>
  <c r="AA86" i="9"/>
  <c r="AB86" i="9"/>
  <c r="AC86" i="9"/>
  <c r="AD86" i="9"/>
  <c r="AE86" i="9"/>
  <c r="AF86" i="9"/>
  <c r="AG86" i="9"/>
  <c r="AH86" i="9"/>
  <c r="AI86" i="9"/>
  <c r="AJ86" i="9"/>
  <c r="AK86" i="9"/>
  <c r="AL86" i="9"/>
  <c r="AM86" i="9"/>
  <c r="AN86" i="9"/>
  <c r="AO86" i="9"/>
  <c r="AP86" i="9"/>
  <c r="AQ86" i="9"/>
  <c r="AR86" i="9"/>
  <c r="AS86" i="9"/>
  <c r="AT86" i="9"/>
  <c r="AU86" i="9"/>
  <c r="E85" i="9"/>
  <c r="F85" i="9" s="1"/>
  <c r="H85" i="9"/>
  <c r="J85" i="9"/>
  <c r="R85" i="9" s="1"/>
  <c r="O85" i="9"/>
  <c r="S85" i="9"/>
  <c r="T85" i="9"/>
  <c r="U85" i="9"/>
  <c r="V85" i="9"/>
  <c r="W85" i="9"/>
  <c r="X85" i="9"/>
  <c r="Y85" i="9"/>
  <c r="Z85" i="9"/>
  <c r="AA85" i="9"/>
  <c r="AB85" i="9"/>
  <c r="AC85" i="9"/>
  <c r="AD85" i="9"/>
  <c r="AE85" i="9"/>
  <c r="AF85" i="9"/>
  <c r="AG85" i="9"/>
  <c r="AH85" i="9"/>
  <c r="AI85" i="9"/>
  <c r="AJ85" i="9"/>
  <c r="AK85" i="9"/>
  <c r="AL85" i="9"/>
  <c r="AM85" i="9"/>
  <c r="AN85" i="9"/>
  <c r="AO85" i="9"/>
  <c r="AP85" i="9"/>
  <c r="AQ85" i="9"/>
  <c r="AR85" i="9"/>
  <c r="AS85" i="9"/>
  <c r="AT85" i="9"/>
  <c r="AU85" i="9"/>
  <c r="E84" i="9"/>
  <c r="F84" i="9" s="1"/>
  <c r="H84" i="9"/>
  <c r="J84" i="9"/>
  <c r="R84" i="9" s="1"/>
  <c r="O84" i="9"/>
  <c r="S84" i="9"/>
  <c r="T84" i="9"/>
  <c r="U84" i="9"/>
  <c r="V84" i="9"/>
  <c r="W84" i="9"/>
  <c r="X84" i="9"/>
  <c r="Y84" i="9"/>
  <c r="Z84" i="9"/>
  <c r="AA84" i="9"/>
  <c r="AB84" i="9"/>
  <c r="AC84" i="9"/>
  <c r="AD84" i="9"/>
  <c r="AE84" i="9"/>
  <c r="AF84" i="9"/>
  <c r="AG84" i="9"/>
  <c r="AH84" i="9"/>
  <c r="AI84" i="9"/>
  <c r="AJ84" i="9"/>
  <c r="AK84" i="9"/>
  <c r="AL84" i="9"/>
  <c r="AM84" i="9"/>
  <c r="AN84" i="9"/>
  <c r="AO84" i="9"/>
  <c r="AP84" i="9"/>
  <c r="AQ84" i="9"/>
  <c r="AR84" i="9"/>
  <c r="AS84" i="9"/>
  <c r="AT84" i="9"/>
  <c r="AU84" i="9"/>
  <c r="E83" i="9"/>
  <c r="K83" i="9" s="1"/>
  <c r="H83" i="9"/>
  <c r="J83" i="9"/>
  <c r="R83" i="9" s="1"/>
  <c r="O83" i="9"/>
  <c r="S83" i="9"/>
  <c r="T83" i="9"/>
  <c r="U83" i="9"/>
  <c r="V83" i="9"/>
  <c r="W83" i="9"/>
  <c r="X83" i="9"/>
  <c r="Y83" i="9"/>
  <c r="Z83" i="9"/>
  <c r="AA83" i="9"/>
  <c r="AB83" i="9"/>
  <c r="AC83" i="9"/>
  <c r="AD83" i="9"/>
  <c r="AE83" i="9"/>
  <c r="AF83" i="9"/>
  <c r="AG83" i="9"/>
  <c r="AH83" i="9"/>
  <c r="AI83" i="9"/>
  <c r="AJ83" i="9"/>
  <c r="AK83" i="9"/>
  <c r="AL83" i="9"/>
  <c r="AM83" i="9"/>
  <c r="AN83" i="9"/>
  <c r="AO83" i="9"/>
  <c r="AP83" i="9"/>
  <c r="AQ83" i="9"/>
  <c r="AR83" i="9"/>
  <c r="AS83" i="9"/>
  <c r="AT83" i="9"/>
  <c r="AU83" i="9"/>
  <c r="K82" i="9"/>
  <c r="O82" i="9"/>
  <c r="AV80" i="9"/>
  <c r="AV5" i="10" s="1"/>
  <c r="AW80" i="9"/>
  <c r="AX80" i="9"/>
  <c r="AY80" i="9"/>
  <c r="O77" i="9"/>
  <c r="S77" i="9"/>
  <c r="T77" i="9"/>
  <c r="U77" i="9"/>
  <c r="V77" i="9"/>
  <c r="W77" i="9"/>
  <c r="X77" i="9"/>
  <c r="Y77" i="9"/>
  <c r="Z77" i="9"/>
  <c r="AA77" i="9"/>
  <c r="AB77" i="9"/>
  <c r="AC77" i="9"/>
  <c r="AD77" i="9"/>
  <c r="AE77" i="9"/>
  <c r="AF77" i="9"/>
  <c r="AG77" i="9"/>
  <c r="AH77" i="9"/>
  <c r="AI77" i="9"/>
  <c r="AJ77" i="9"/>
  <c r="AK77" i="9"/>
  <c r="AL77" i="9"/>
  <c r="AM77" i="9"/>
  <c r="AN77" i="9"/>
  <c r="AO77" i="9"/>
  <c r="AP77" i="9"/>
  <c r="AQ77" i="9"/>
  <c r="AR77" i="9"/>
  <c r="AS77" i="9"/>
  <c r="AT77" i="9"/>
  <c r="AU77" i="9"/>
  <c r="O76" i="9"/>
  <c r="S76" i="9"/>
  <c r="T76" i="9"/>
  <c r="U76" i="9"/>
  <c r="V76" i="9"/>
  <c r="W76" i="9"/>
  <c r="X76" i="9"/>
  <c r="Y76" i="9"/>
  <c r="Z76" i="9"/>
  <c r="AA76" i="9"/>
  <c r="AB76" i="9"/>
  <c r="AC76" i="9"/>
  <c r="AD76" i="9"/>
  <c r="AE76" i="9"/>
  <c r="AF76" i="9"/>
  <c r="AG76" i="9"/>
  <c r="AH76" i="9"/>
  <c r="AI76" i="9"/>
  <c r="AJ76" i="9"/>
  <c r="AK76" i="9"/>
  <c r="AL76" i="9"/>
  <c r="AM76" i="9"/>
  <c r="AN76" i="9"/>
  <c r="AO76" i="9"/>
  <c r="AP76" i="9"/>
  <c r="AQ76" i="9"/>
  <c r="AR76" i="9"/>
  <c r="AS76" i="9"/>
  <c r="AT76" i="9"/>
  <c r="AU76" i="9"/>
  <c r="E75" i="9"/>
  <c r="F75" i="9" s="1"/>
  <c r="H75" i="9"/>
  <c r="J75" i="9"/>
  <c r="R75" i="9" s="1"/>
  <c r="O75" i="9"/>
  <c r="S75" i="9"/>
  <c r="T75" i="9"/>
  <c r="U75" i="9"/>
  <c r="V75" i="9"/>
  <c r="W75" i="9"/>
  <c r="X75" i="9"/>
  <c r="Y75" i="9"/>
  <c r="Z75" i="9"/>
  <c r="AA75" i="9"/>
  <c r="AB75" i="9"/>
  <c r="AC75" i="9"/>
  <c r="AD75" i="9"/>
  <c r="AE75" i="9"/>
  <c r="AF75" i="9"/>
  <c r="AG75" i="9"/>
  <c r="AH75" i="9"/>
  <c r="AI75" i="9"/>
  <c r="AJ75" i="9"/>
  <c r="AK75" i="9"/>
  <c r="AL75" i="9"/>
  <c r="AM75" i="9"/>
  <c r="AN75" i="9"/>
  <c r="AO75" i="9"/>
  <c r="AP75" i="9"/>
  <c r="AQ75" i="9"/>
  <c r="AR75" i="9"/>
  <c r="AS75" i="9"/>
  <c r="AT75" i="9"/>
  <c r="AU75" i="9"/>
  <c r="E74" i="9"/>
  <c r="F74" i="9" s="1"/>
  <c r="H74" i="9"/>
  <c r="J74" i="9"/>
  <c r="R74" i="9" s="1"/>
  <c r="O74" i="9"/>
  <c r="S74" i="9"/>
  <c r="T74" i="9"/>
  <c r="U74" i="9"/>
  <c r="V74" i="9"/>
  <c r="W74" i="9"/>
  <c r="X74" i="9"/>
  <c r="Y74" i="9"/>
  <c r="Z74" i="9"/>
  <c r="AA74" i="9"/>
  <c r="AB74" i="9"/>
  <c r="AC74" i="9"/>
  <c r="AD74" i="9"/>
  <c r="AE74" i="9"/>
  <c r="AF74" i="9"/>
  <c r="AG74" i="9"/>
  <c r="AH74" i="9"/>
  <c r="AI74" i="9"/>
  <c r="AJ74" i="9"/>
  <c r="AK74" i="9"/>
  <c r="AL74" i="9"/>
  <c r="AM74" i="9"/>
  <c r="AN74" i="9"/>
  <c r="AO74" i="9"/>
  <c r="AP74" i="9"/>
  <c r="AQ74" i="9"/>
  <c r="AR74" i="9"/>
  <c r="AS74" i="9"/>
  <c r="AT74" i="9"/>
  <c r="AU74" i="9"/>
  <c r="E73" i="9"/>
  <c r="F73" i="9" s="1"/>
  <c r="H73" i="9"/>
  <c r="J73" i="9"/>
  <c r="R73" i="9" s="1"/>
  <c r="O73" i="9"/>
  <c r="S73" i="9"/>
  <c r="T73" i="9"/>
  <c r="U73" i="9"/>
  <c r="V73" i="9"/>
  <c r="W73" i="9"/>
  <c r="X73" i="9"/>
  <c r="Y73" i="9"/>
  <c r="Z73" i="9"/>
  <c r="AA73" i="9"/>
  <c r="AB73" i="9"/>
  <c r="AC73" i="9"/>
  <c r="AD73" i="9"/>
  <c r="AE73" i="9"/>
  <c r="AF73" i="9"/>
  <c r="AG73" i="9"/>
  <c r="AH73" i="9"/>
  <c r="AI73" i="9"/>
  <c r="AJ73" i="9"/>
  <c r="AK73" i="9"/>
  <c r="AL73" i="9"/>
  <c r="AM73" i="9"/>
  <c r="AN73" i="9"/>
  <c r="AO73" i="9"/>
  <c r="AP73" i="9"/>
  <c r="AQ73" i="9"/>
  <c r="AR73" i="9"/>
  <c r="AS73" i="9"/>
  <c r="AT73" i="9"/>
  <c r="AU73" i="9"/>
  <c r="E72" i="9"/>
  <c r="K72" i="9" s="1"/>
  <c r="H72" i="9"/>
  <c r="J72" i="9"/>
  <c r="R72" i="9" s="1"/>
  <c r="O72" i="9"/>
  <c r="S72" i="9"/>
  <c r="T72" i="9"/>
  <c r="U72" i="9"/>
  <c r="V72" i="9"/>
  <c r="W72" i="9"/>
  <c r="X72" i="9"/>
  <c r="Y72" i="9"/>
  <c r="Z72" i="9"/>
  <c r="AA72" i="9"/>
  <c r="AB72" i="9"/>
  <c r="AC72" i="9"/>
  <c r="AD72" i="9"/>
  <c r="AE72" i="9"/>
  <c r="AF72" i="9"/>
  <c r="AG72" i="9"/>
  <c r="AH72" i="9"/>
  <c r="AI72" i="9"/>
  <c r="AJ72" i="9"/>
  <c r="AK72" i="9"/>
  <c r="AL72" i="9"/>
  <c r="AM72" i="9"/>
  <c r="AN72" i="9"/>
  <c r="AO72" i="9"/>
  <c r="AP72" i="9"/>
  <c r="AQ72" i="9"/>
  <c r="AR72" i="9"/>
  <c r="AS72" i="9"/>
  <c r="AT72" i="9"/>
  <c r="AU72" i="9"/>
  <c r="E71" i="9"/>
  <c r="F71" i="9" s="1"/>
  <c r="H71" i="9"/>
  <c r="J71" i="9"/>
  <c r="R71" i="9" s="1"/>
  <c r="O71" i="9"/>
  <c r="S71" i="9"/>
  <c r="T71" i="9"/>
  <c r="U71" i="9"/>
  <c r="V71" i="9"/>
  <c r="W71" i="9"/>
  <c r="X71" i="9"/>
  <c r="Y71" i="9"/>
  <c r="Z71" i="9"/>
  <c r="AA71" i="9"/>
  <c r="AB71" i="9"/>
  <c r="AC71" i="9"/>
  <c r="AD71" i="9"/>
  <c r="AE71" i="9"/>
  <c r="AF71" i="9"/>
  <c r="AG71" i="9"/>
  <c r="AH71" i="9"/>
  <c r="AI71" i="9"/>
  <c r="AJ71" i="9"/>
  <c r="AK71" i="9"/>
  <c r="AL71" i="9"/>
  <c r="AM71" i="9"/>
  <c r="AN71" i="9"/>
  <c r="AO71" i="9"/>
  <c r="AP71" i="9"/>
  <c r="AQ71" i="9"/>
  <c r="AR71" i="9"/>
  <c r="AS71" i="9"/>
  <c r="AT71" i="9"/>
  <c r="AU71" i="9"/>
  <c r="E70" i="9"/>
  <c r="F70" i="9" s="1"/>
  <c r="H70" i="9"/>
  <c r="J70" i="9"/>
  <c r="R70" i="9" s="1"/>
  <c r="O70" i="9"/>
  <c r="S70" i="9"/>
  <c r="T70" i="9"/>
  <c r="U70" i="9"/>
  <c r="V70" i="9"/>
  <c r="W70" i="9"/>
  <c r="X70" i="9"/>
  <c r="Y70" i="9"/>
  <c r="Z70" i="9"/>
  <c r="AA70" i="9"/>
  <c r="AB70" i="9"/>
  <c r="AC70" i="9"/>
  <c r="AD70" i="9"/>
  <c r="AE70" i="9"/>
  <c r="AF70" i="9"/>
  <c r="AG70" i="9"/>
  <c r="AH70" i="9"/>
  <c r="AI70" i="9"/>
  <c r="AJ70" i="9"/>
  <c r="AK70" i="9"/>
  <c r="AL70" i="9"/>
  <c r="AM70" i="9"/>
  <c r="AN70" i="9"/>
  <c r="AO70" i="9"/>
  <c r="AP70" i="9"/>
  <c r="AQ70" i="9"/>
  <c r="AR70" i="9"/>
  <c r="AS70" i="9"/>
  <c r="AT70" i="9"/>
  <c r="AU70" i="9"/>
  <c r="E69" i="9"/>
  <c r="K69" i="9" s="1"/>
  <c r="H69" i="9"/>
  <c r="J69" i="9"/>
  <c r="R69" i="9" s="1"/>
  <c r="O69" i="9"/>
  <c r="S69" i="9"/>
  <c r="T69" i="9"/>
  <c r="U69" i="9"/>
  <c r="V69" i="9"/>
  <c r="W69" i="9"/>
  <c r="X69" i="9"/>
  <c r="Y69" i="9"/>
  <c r="Z69" i="9"/>
  <c r="AA69" i="9"/>
  <c r="AB69" i="9"/>
  <c r="AC69" i="9"/>
  <c r="AD69" i="9"/>
  <c r="AE69" i="9"/>
  <c r="AF69" i="9"/>
  <c r="AG69" i="9"/>
  <c r="AH69" i="9"/>
  <c r="AI69" i="9"/>
  <c r="AJ69" i="9"/>
  <c r="AK69" i="9"/>
  <c r="AL69" i="9"/>
  <c r="AM69" i="9"/>
  <c r="AN69" i="9"/>
  <c r="AO69" i="9"/>
  <c r="AP69" i="9"/>
  <c r="AQ69" i="9"/>
  <c r="AR69" i="9"/>
  <c r="AS69" i="9"/>
  <c r="AT69" i="9"/>
  <c r="AU69" i="9"/>
  <c r="E68" i="9"/>
  <c r="F68" i="9" s="1"/>
  <c r="H68" i="9"/>
  <c r="J68" i="9"/>
  <c r="R68" i="9" s="1"/>
  <c r="O68" i="9"/>
  <c r="S68" i="9"/>
  <c r="T68" i="9"/>
  <c r="U68" i="9"/>
  <c r="V68" i="9"/>
  <c r="W68" i="9"/>
  <c r="X68" i="9"/>
  <c r="Y68" i="9"/>
  <c r="Z68" i="9"/>
  <c r="AA68" i="9"/>
  <c r="AB68" i="9"/>
  <c r="AC68" i="9"/>
  <c r="AD68" i="9"/>
  <c r="AE68" i="9"/>
  <c r="AF68" i="9"/>
  <c r="AG68" i="9"/>
  <c r="AH68" i="9"/>
  <c r="AI68" i="9"/>
  <c r="AJ68" i="9"/>
  <c r="AK68" i="9"/>
  <c r="AL68" i="9"/>
  <c r="AM68" i="9"/>
  <c r="AN68" i="9"/>
  <c r="AO68" i="9"/>
  <c r="AP68" i="9"/>
  <c r="AQ68" i="9"/>
  <c r="AR68" i="9"/>
  <c r="AS68" i="9"/>
  <c r="AT68" i="9"/>
  <c r="AU68" i="9"/>
  <c r="E67" i="9"/>
  <c r="F67" i="9" s="1"/>
  <c r="H67" i="9"/>
  <c r="J67" i="9"/>
  <c r="R67" i="9" s="1"/>
  <c r="O67" i="9"/>
  <c r="S67" i="9"/>
  <c r="T67" i="9"/>
  <c r="U67" i="9"/>
  <c r="V67" i="9"/>
  <c r="W67" i="9"/>
  <c r="X67" i="9"/>
  <c r="Y67" i="9"/>
  <c r="Z67" i="9"/>
  <c r="AA67" i="9"/>
  <c r="AB67" i="9"/>
  <c r="AC67" i="9"/>
  <c r="AD67" i="9"/>
  <c r="AE67" i="9"/>
  <c r="AF67" i="9"/>
  <c r="AG67" i="9"/>
  <c r="AH67" i="9"/>
  <c r="AI67" i="9"/>
  <c r="AJ67" i="9"/>
  <c r="AK67" i="9"/>
  <c r="AL67" i="9"/>
  <c r="AM67" i="9"/>
  <c r="AN67" i="9"/>
  <c r="AO67" i="9"/>
  <c r="AP67" i="9"/>
  <c r="AQ67" i="9"/>
  <c r="AR67" i="9"/>
  <c r="AS67" i="9"/>
  <c r="AT67" i="9"/>
  <c r="AU67" i="9"/>
  <c r="E66" i="9"/>
  <c r="F66" i="9" s="1"/>
  <c r="H66" i="9"/>
  <c r="J66" i="9"/>
  <c r="R66" i="9" s="1"/>
  <c r="O66" i="9"/>
  <c r="S66" i="9"/>
  <c r="T66" i="9"/>
  <c r="U66" i="9"/>
  <c r="V66" i="9"/>
  <c r="W66" i="9"/>
  <c r="X66" i="9"/>
  <c r="Y66" i="9"/>
  <c r="Z66" i="9"/>
  <c r="AA66" i="9"/>
  <c r="AB66" i="9"/>
  <c r="AC66" i="9"/>
  <c r="AD66" i="9"/>
  <c r="AE66" i="9"/>
  <c r="AF66" i="9"/>
  <c r="AG66" i="9"/>
  <c r="AH66" i="9"/>
  <c r="AI66" i="9"/>
  <c r="AJ66" i="9"/>
  <c r="AK66" i="9"/>
  <c r="AL66" i="9"/>
  <c r="AM66" i="9"/>
  <c r="AN66" i="9"/>
  <c r="AO66" i="9"/>
  <c r="AP66" i="9"/>
  <c r="AQ66" i="9"/>
  <c r="AR66" i="9"/>
  <c r="AS66" i="9"/>
  <c r="AT66" i="9"/>
  <c r="AU66" i="9"/>
  <c r="E65" i="9"/>
  <c r="K65" i="9" s="1"/>
  <c r="H65" i="9"/>
  <c r="J65" i="9"/>
  <c r="R65" i="9" s="1"/>
  <c r="O65" i="9"/>
  <c r="S65" i="9"/>
  <c r="T65" i="9"/>
  <c r="U65" i="9"/>
  <c r="V65" i="9"/>
  <c r="W65" i="9"/>
  <c r="X65" i="9"/>
  <c r="Y65" i="9"/>
  <c r="Z65" i="9"/>
  <c r="AA65" i="9"/>
  <c r="AB65" i="9"/>
  <c r="AC65" i="9"/>
  <c r="AD65" i="9"/>
  <c r="AE65" i="9"/>
  <c r="AF65" i="9"/>
  <c r="AG65" i="9"/>
  <c r="AH65" i="9"/>
  <c r="AI65" i="9"/>
  <c r="AJ65" i="9"/>
  <c r="AK65" i="9"/>
  <c r="AL65" i="9"/>
  <c r="AM65" i="9"/>
  <c r="AN65" i="9"/>
  <c r="AO65" i="9"/>
  <c r="AP65" i="9"/>
  <c r="AQ65" i="9"/>
  <c r="AR65" i="9"/>
  <c r="AS65" i="9"/>
  <c r="AT65" i="9"/>
  <c r="AU65" i="9"/>
  <c r="E64" i="9"/>
  <c r="K64" i="9" s="1"/>
  <c r="H64" i="9"/>
  <c r="J64" i="9"/>
  <c r="R64" i="9" s="1"/>
  <c r="O64" i="9"/>
  <c r="S64" i="9"/>
  <c r="T64" i="9"/>
  <c r="U64" i="9"/>
  <c r="V64" i="9"/>
  <c r="W64" i="9"/>
  <c r="X64" i="9"/>
  <c r="Y64" i="9"/>
  <c r="Z64" i="9"/>
  <c r="AA64" i="9"/>
  <c r="AB64" i="9"/>
  <c r="AC64" i="9"/>
  <c r="AD64" i="9"/>
  <c r="AE64" i="9"/>
  <c r="AF64" i="9"/>
  <c r="AG64" i="9"/>
  <c r="AH64" i="9"/>
  <c r="AI64" i="9"/>
  <c r="AJ64" i="9"/>
  <c r="AK64" i="9"/>
  <c r="AL64" i="9"/>
  <c r="AM64" i="9"/>
  <c r="AN64" i="9"/>
  <c r="AO64" i="9"/>
  <c r="AP64" i="9"/>
  <c r="AQ64" i="9"/>
  <c r="AR64" i="9"/>
  <c r="AS64" i="9"/>
  <c r="AT64" i="9"/>
  <c r="AU64" i="9"/>
  <c r="E63" i="9"/>
  <c r="F63" i="9" s="1"/>
  <c r="H63" i="9"/>
  <c r="J63" i="9"/>
  <c r="R63" i="9" s="1"/>
  <c r="O63" i="9"/>
  <c r="S63" i="9"/>
  <c r="T63" i="9"/>
  <c r="U63" i="9"/>
  <c r="V63" i="9"/>
  <c r="W63" i="9"/>
  <c r="X63" i="9"/>
  <c r="Y63" i="9"/>
  <c r="Z63" i="9"/>
  <c r="AA63" i="9"/>
  <c r="AB63" i="9"/>
  <c r="AC63" i="9"/>
  <c r="AD63" i="9"/>
  <c r="AE63" i="9"/>
  <c r="AF63" i="9"/>
  <c r="AG63" i="9"/>
  <c r="AH63" i="9"/>
  <c r="AI63" i="9"/>
  <c r="AJ63" i="9"/>
  <c r="AK63" i="9"/>
  <c r="AL63" i="9"/>
  <c r="AM63" i="9"/>
  <c r="AN63" i="9"/>
  <c r="AO63" i="9"/>
  <c r="AP63" i="9"/>
  <c r="AQ63" i="9"/>
  <c r="AR63" i="9"/>
  <c r="AS63" i="9"/>
  <c r="AT63" i="9"/>
  <c r="AU63" i="9"/>
  <c r="E62" i="9"/>
  <c r="F62" i="9" s="1"/>
  <c r="H62" i="9"/>
  <c r="J62" i="9"/>
  <c r="R62" i="9" s="1"/>
  <c r="O62" i="9"/>
  <c r="S62" i="9"/>
  <c r="T62" i="9"/>
  <c r="U62" i="9"/>
  <c r="V62" i="9"/>
  <c r="W62" i="9"/>
  <c r="X62" i="9"/>
  <c r="Y62" i="9"/>
  <c r="Z62" i="9"/>
  <c r="AA62" i="9"/>
  <c r="AB62" i="9"/>
  <c r="AC62" i="9"/>
  <c r="AD62" i="9"/>
  <c r="AE62" i="9"/>
  <c r="AF62" i="9"/>
  <c r="AG62" i="9"/>
  <c r="AH62" i="9"/>
  <c r="AI62" i="9"/>
  <c r="AJ62" i="9"/>
  <c r="AK62" i="9"/>
  <c r="AL62" i="9"/>
  <c r="AM62" i="9"/>
  <c r="AN62" i="9"/>
  <c r="AO62" i="9"/>
  <c r="AP62" i="9"/>
  <c r="AQ62" i="9"/>
  <c r="AR62" i="9"/>
  <c r="AS62" i="9"/>
  <c r="AT62" i="9"/>
  <c r="AU62" i="9"/>
  <c r="E61" i="9"/>
  <c r="K61" i="9" s="1"/>
  <c r="H61" i="9"/>
  <c r="J61" i="9"/>
  <c r="R61" i="9" s="1"/>
  <c r="O61" i="9"/>
  <c r="S61" i="9"/>
  <c r="T61" i="9"/>
  <c r="U61" i="9"/>
  <c r="V61" i="9"/>
  <c r="W61" i="9"/>
  <c r="X61" i="9"/>
  <c r="Y61" i="9"/>
  <c r="Z61" i="9"/>
  <c r="AA61" i="9"/>
  <c r="AB61" i="9"/>
  <c r="AC61" i="9"/>
  <c r="AD61" i="9"/>
  <c r="AE61" i="9"/>
  <c r="AF61" i="9"/>
  <c r="AG61" i="9"/>
  <c r="AH61" i="9"/>
  <c r="AI61" i="9"/>
  <c r="AJ61" i="9"/>
  <c r="AK61" i="9"/>
  <c r="AL61" i="9"/>
  <c r="AM61" i="9"/>
  <c r="AN61" i="9"/>
  <c r="AO61" i="9"/>
  <c r="AP61" i="9"/>
  <c r="AQ61" i="9"/>
  <c r="AR61" i="9"/>
  <c r="AS61" i="9"/>
  <c r="AT61" i="9"/>
  <c r="AU61" i="9"/>
  <c r="E60" i="9"/>
  <c r="F60" i="9" s="1"/>
  <c r="H60" i="9"/>
  <c r="J60" i="9"/>
  <c r="R60" i="9" s="1"/>
  <c r="O60" i="9"/>
  <c r="S60" i="9"/>
  <c r="T60" i="9"/>
  <c r="U60" i="9"/>
  <c r="V60" i="9"/>
  <c r="W60" i="9"/>
  <c r="X60" i="9"/>
  <c r="Y60" i="9"/>
  <c r="Z60" i="9"/>
  <c r="AA60" i="9"/>
  <c r="AB60" i="9"/>
  <c r="AC60" i="9"/>
  <c r="AD60" i="9"/>
  <c r="AE60" i="9"/>
  <c r="AF60" i="9"/>
  <c r="AG60" i="9"/>
  <c r="AH60" i="9"/>
  <c r="AI60" i="9"/>
  <c r="AJ60" i="9"/>
  <c r="AK60" i="9"/>
  <c r="AL60" i="9"/>
  <c r="AM60" i="9"/>
  <c r="AN60" i="9"/>
  <c r="AO60" i="9"/>
  <c r="AP60" i="9"/>
  <c r="AQ60" i="9"/>
  <c r="AR60" i="9"/>
  <c r="AS60" i="9"/>
  <c r="AT60" i="9"/>
  <c r="AU60" i="9"/>
  <c r="E59" i="9"/>
  <c r="F59" i="9" s="1"/>
  <c r="H59" i="9"/>
  <c r="J59" i="9"/>
  <c r="R59" i="9" s="1"/>
  <c r="O59" i="9"/>
  <c r="S59" i="9"/>
  <c r="T59" i="9"/>
  <c r="U59" i="9"/>
  <c r="V59" i="9"/>
  <c r="W59" i="9"/>
  <c r="X59" i="9"/>
  <c r="Y59" i="9"/>
  <c r="Z59" i="9"/>
  <c r="AA59" i="9"/>
  <c r="AB59" i="9"/>
  <c r="AC59" i="9"/>
  <c r="AD59" i="9"/>
  <c r="AE59" i="9"/>
  <c r="AF59" i="9"/>
  <c r="AG59" i="9"/>
  <c r="AH59" i="9"/>
  <c r="AI59" i="9"/>
  <c r="AJ59" i="9"/>
  <c r="AK59" i="9"/>
  <c r="AL59" i="9"/>
  <c r="AM59" i="9"/>
  <c r="AN59" i="9"/>
  <c r="AO59" i="9"/>
  <c r="AP59" i="9"/>
  <c r="AQ59" i="9"/>
  <c r="AR59" i="9"/>
  <c r="AS59" i="9"/>
  <c r="AT59" i="9"/>
  <c r="AU59" i="9"/>
  <c r="E58" i="9"/>
  <c r="F58" i="9" s="1"/>
  <c r="H58" i="9"/>
  <c r="J58" i="9"/>
  <c r="R58" i="9" s="1"/>
  <c r="O58" i="9"/>
  <c r="S58" i="9"/>
  <c r="T58" i="9"/>
  <c r="U58" i="9"/>
  <c r="V58" i="9"/>
  <c r="W58" i="9"/>
  <c r="X58" i="9"/>
  <c r="Y58" i="9"/>
  <c r="Z58" i="9"/>
  <c r="AA58" i="9"/>
  <c r="AB58" i="9"/>
  <c r="AC58" i="9"/>
  <c r="AD58" i="9"/>
  <c r="AE58" i="9"/>
  <c r="AF58" i="9"/>
  <c r="AG58" i="9"/>
  <c r="AH58" i="9"/>
  <c r="AI58" i="9"/>
  <c r="AJ58" i="9"/>
  <c r="AK58" i="9"/>
  <c r="AL58" i="9"/>
  <c r="AM58" i="9"/>
  <c r="AN58" i="9"/>
  <c r="AO58" i="9"/>
  <c r="AP58" i="9"/>
  <c r="AQ58" i="9"/>
  <c r="AR58" i="9"/>
  <c r="AS58" i="9"/>
  <c r="AT58" i="9"/>
  <c r="AU58" i="9"/>
  <c r="E57" i="9"/>
  <c r="F57" i="9" s="1"/>
  <c r="H57" i="9"/>
  <c r="J57" i="9"/>
  <c r="R57" i="9" s="1"/>
  <c r="O57" i="9"/>
  <c r="S57" i="9"/>
  <c r="T57" i="9"/>
  <c r="U57" i="9"/>
  <c r="V57" i="9"/>
  <c r="W57" i="9"/>
  <c r="X57" i="9"/>
  <c r="Y57" i="9"/>
  <c r="Z57" i="9"/>
  <c r="AA57" i="9"/>
  <c r="AB57" i="9"/>
  <c r="AC57" i="9"/>
  <c r="AD57" i="9"/>
  <c r="AE57" i="9"/>
  <c r="AF57" i="9"/>
  <c r="AG57" i="9"/>
  <c r="AH57" i="9"/>
  <c r="AI57" i="9"/>
  <c r="AJ57" i="9"/>
  <c r="AK57" i="9"/>
  <c r="AL57" i="9"/>
  <c r="AM57" i="9"/>
  <c r="AN57" i="9"/>
  <c r="AO57" i="9"/>
  <c r="AP57" i="9"/>
  <c r="AQ57" i="9"/>
  <c r="AR57" i="9"/>
  <c r="AS57" i="9"/>
  <c r="AT57" i="9"/>
  <c r="AU57" i="9"/>
  <c r="E56" i="9"/>
  <c r="F56" i="9" s="1"/>
  <c r="H56" i="9"/>
  <c r="J56" i="9"/>
  <c r="R56" i="9" s="1"/>
  <c r="O56" i="9"/>
  <c r="S56" i="9"/>
  <c r="T56" i="9"/>
  <c r="U56" i="9"/>
  <c r="V56" i="9"/>
  <c r="W56" i="9"/>
  <c r="X56" i="9"/>
  <c r="Y56" i="9"/>
  <c r="Z56" i="9"/>
  <c r="AA56" i="9"/>
  <c r="AB56" i="9"/>
  <c r="AC56" i="9"/>
  <c r="AD56" i="9"/>
  <c r="AE56" i="9"/>
  <c r="AF56" i="9"/>
  <c r="AG56" i="9"/>
  <c r="AH56" i="9"/>
  <c r="AI56" i="9"/>
  <c r="AJ56" i="9"/>
  <c r="AK56" i="9"/>
  <c r="AL56" i="9"/>
  <c r="AM56" i="9"/>
  <c r="AN56" i="9"/>
  <c r="AO56" i="9"/>
  <c r="AP56" i="9"/>
  <c r="AQ56" i="9"/>
  <c r="AR56" i="9"/>
  <c r="AS56" i="9"/>
  <c r="AT56" i="9"/>
  <c r="AU56" i="9"/>
  <c r="E55" i="9"/>
  <c r="F55" i="9" s="1"/>
  <c r="H55" i="9"/>
  <c r="J55" i="9"/>
  <c r="R55" i="9" s="1"/>
  <c r="O55" i="9"/>
  <c r="S55" i="9"/>
  <c r="T55" i="9"/>
  <c r="U55" i="9"/>
  <c r="V55" i="9"/>
  <c r="W55" i="9"/>
  <c r="X55" i="9"/>
  <c r="Y55" i="9"/>
  <c r="Z55" i="9"/>
  <c r="AA55" i="9"/>
  <c r="AB55" i="9"/>
  <c r="AC55" i="9"/>
  <c r="AD55" i="9"/>
  <c r="AE55" i="9"/>
  <c r="AF55" i="9"/>
  <c r="AG55" i="9"/>
  <c r="AH55" i="9"/>
  <c r="AI55" i="9"/>
  <c r="AJ55" i="9"/>
  <c r="AK55" i="9"/>
  <c r="AL55" i="9"/>
  <c r="AM55" i="9"/>
  <c r="AN55" i="9"/>
  <c r="AO55" i="9"/>
  <c r="AP55" i="9"/>
  <c r="AQ55" i="9"/>
  <c r="AR55" i="9"/>
  <c r="AS55" i="9"/>
  <c r="AT55" i="9"/>
  <c r="AU55" i="9"/>
  <c r="E54" i="9"/>
  <c r="F54" i="9" s="1"/>
  <c r="H54" i="9"/>
  <c r="J54" i="9"/>
  <c r="R54" i="9" s="1"/>
  <c r="O54" i="9"/>
  <c r="S54" i="9"/>
  <c r="T54" i="9"/>
  <c r="U54" i="9"/>
  <c r="V54" i="9"/>
  <c r="W54" i="9"/>
  <c r="X54" i="9"/>
  <c r="Y54" i="9"/>
  <c r="Z54" i="9"/>
  <c r="AA54" i="9"/>
  <c r="AB54" i="9"/>
  <c r="AC54" i="9"/>
  <c r="AD54" i="9"/>
  <c r="AE54" i="9"/>
  <c r="AF54" i="9"/>
  <c r="AG54" i="9"/>
  <c r="AH54" i="9"/>
  <c r="AI54" i="9"/>
  <c r="AJ54" i="9"/>
  <c r="AK54" i="9"/>
  <c r="AL54" i="9"/>
  <c r="AM54" i="9"/>
  <c r="AN54" i="9"/>
  <c r="AO54" i="9"/>
  <c r="AP54" i="9"/>
  <c r="AQ54" i="9"/>
  <c r="AR54" i="9"/>
  <c r="AS54" i="9"/>
  <c r="AT54" i="9"/>
  <c r="AU54" i="9"/>
  <c r="E53" i="9"/>
  <c r="F53" i="9" s="1"/>
  <c r="H53" i="9"/>
  <c r="J53" i="9"/>
  <c r="R53" i="9" s="1"/>
  <c r="O53" i="9"/>
  <c r="S53" i="9"/>
  <c r="T53" i="9"/>
  <c r="U53" i="9"/>
  <c r="V53" i="9"/>
  <c r="W53" i="9"/>
  <c r="X53" i="9"/>
  <c r="Y53" i="9"/>
  <c r="Z53" i="9"/>
  <c r="AA53" i="9"/>
  <c r="AB53" i="9"/>
  <c r="AC53" i="9"/>
  <c r="AD53" i="9"/>
  <c r="AE53" i="9"/>
  <c r="AF53" i="9"/>
  <c r="AG53" i="9"/>
  <c r="AH53" i="9"/>
  <c r="AI53" i="9"/>
  <c r="AJ53" i="9"/>
  <c r="AK53" i="9"/>
  <c r="AL53" i="9"/>
  <c r="AM53" i="9"/>
  <c r="AN53" i="9"/>
  <c r="AO53" i="9"/>
  <c r="AP53" i="9"/>
  <c r="AQ53" i="9"/>
  <c r="AR53" i="9"/>
  <c r="AS53" i="9"/>
  <c r="AT53" i="9"/>
  <c r="AU53" i="9"/>
  <c r="E52" i="9"/>
  <c r="K52" i="9" s="1"/>
  <c r="H52" i="9"/>
  <c r="J52" i="9"/>
  <c r="R52" i="9" s="1"/>
  <c r="O52" i="9"/>
  <c r="S52" i="9"/>
  <c r="T52" i="9"/>
  <c r="U52" i="9"/>
  <c r="V52" i="9"/>
  <c r="W52" i="9"/>
  <c r="X52" i="9"/>
  <c r="Y52" i="9"/>
  <c r="Z52" i="9"/>
  <c r="AA52" i="9"/>
  <c r="AB52" i="9"/>
  <c r="AC52" i="9"/>
  <c r="AD52" i="9"/>
  <c r="AE52" i="9"/>
  <c r="AF52" i="9"/>
  <c r="AG52" i="9"/>
  <c r="AH52" i="9"/>
  <c r="AI52" i="9"/>
  <c r="AJ52" i="9"/>
  <c r="AK52" i="9"/>
  <c r="AL52" i="9"/>
  <c r="AM52" i="9"/>
  <c r="AN52" i="9"/>
  <c r="AO52" i="9"/>
  <c r="AP52" i="9"/>
  <c r="AQ52" i="9"/>
  <c r="AR52" i="9"/>
  <c r="AS52" i="9"/>
  <c r="AT52" i="9"/>
  <c r="AU52" i="9"/>
  <c r="E51" i="9"/>
  <c r="F51" i="9" s="1"/>
  <c r="H51" i="9"/>
  <c r="J51" i="9"/>
  <c r="R51" i="9" s="1"/>
  <c r="O51" i="9"/>
  <c r="S51" i="9"/>
  <c r="T51" i="9"/>
  <c r="U51" i="9"/>
  <c r="V51" i="9"/>
  <c r="W51" i="9"/>
  <c r="X51" i="9"/>
  <c r="Y51" i="9"/>
  <c r="Z51" i="9"/>
  <c r="AA51" i="9"/>
  <c r="AB51" i="9"/>
  <c r="AC51" i="9"/>
  <c r="AD51" i="9"/>
  <c r="AE51" i="9"/>
  <c r="AF51" i="9"/>
  <c r="AG51" i="9"/>
  <c r="AH51" i="9"/>
  <c r="AI51" i="9"/>
  <c r="AJ51" i="9"/>
  <c r="AK51" i="9"/>
  <c r="AL51" i="9"/>
  <c r="AM51" i="9"/>
  <c r="AN51" i="9"/>
  <c r="AO51" i="9"/>
  <c r="AP51" i="9"/>
  <c r="AQ51" i="9"/>
  <c r="AR51" i="9"/>
  <c r="AS51" i="9"/>
  <c r="AT51" i="9"/>
  <c r="AU51" i="9"/>
  <c r="E50" i="9"/>
  <c r="F50" i="9" s="1"/>
  <c r="H50" i="9"/>
  <c r="J50" i="9"/>
  <c r="R50" i="9" s="1"/>
  <c r="O50" i="9"/>
  <c r="S50" i="9"/>
  <c r="T50" i="9"/>
  <c r="U50" i="9"/>
  <c r="V50" i="9"/>
  <c r="W50" i="9"/>
  <c r="X50" i="9"/>
  <c r="Y50" i="9"/>
  <c r="Z50" i="9"/>
  <c r="AA50" i="9"/>
  <c r="AB50" i="9"/>
  <c r="AC50" i="9"/>
  <c r="AD50" i="9"/>
  <c r="AE50" i="9"/>
  <c r="AF50" i="9"/>
  <c r="AG50" i="9"/>
  <c r="AH50" i="9"/>
  <c r="AI50" i="9"/>
  <c r="AJ50" i="9"/>
  <c r="AK50" i="9"/>
  <c r="AL50" i="9"/>
  <c r="AM50" i="9"/>
  <c r="AN50" i="9"/>
  <c r="AO50" i="9"/>
  <c r="AP50" i="9"/>
  <c r="AQ50" i="9"/>
  <c r="AR50" i="9"/>
  <c r="AS50" i="9"/>
  <c r="AT50" i="9"/>
  <c r="AU50" i="9"/>
  <c r="E49" i="9"/>
  <c r="K49" i="9" s="1"/>
  <c r="H49" i="9"/>
  <c r="J49" i="9"/>
  <c r="R49" i="9" s="1"/>
  <c r="O49" i="9"/>
  <c r="S49" i="9"/>
  <c r="T49" i="9"/>
  <c r="U49" i="9"/>
  <c r="V49" i="9"/>
  <c r="W49" i="9"/>
  <c r="X49" i="9"/>
  <c r="Y49" i="9"/>
  <c r="Z49" i="9"/>
  <c r="AA49" i="9"/>
  <c r="AB49" i="9"/>
  <c r="AC49" i="9"/>
  <c r="AD49" i="9"/>
  <c r="AE49" i="9"/>
  <c r="AF49" i="9"/>
  <c r="AG49" i="9"/>
  <c r="AH49" i="9"/>
  <c r="AI49" i="9"/>
  <c r="AJ49" i="9"/>
  <c r="AK49" i="9"/>
  <c r="AL49" i="9"/>
  <c r="AM49" i="9"/>
  <c r="AN49" i="9"/>
  <c r="AO49" i="9"/>
  <c r="AP49" i="9"/>
  <c r="AQ49" i="9"/>
  <c r="AR49" i="9"/>
  <c r="AS49" i="9"/>
  <c r="AT49" i="9"/>
  <c r="AU49" i="9"/>
  <c r="E48" i="9"/>
  <c r="F48" i="9" s="1"/>
  <c r="H48" i="9"/>
  <c r="J48" i="9"/>
  <c r="R48" i="9" s="1"/>
  <c r="O48" i="9"/>
  <c r="S48" i="9"/>
  <c r="T48" i="9"/>
  <c r="U48" i="9"/>
  <c r="V48" i="9"/>
  <c r="W48" i="9"/>
  <c r="X48" i="9"/>
  <c r="Y48" i="9"/>
  <c r="Z48" i="9"/>
  <c r="AA48" i="9"/>
  <c r="AB48" i="9"/>
  <c r="AC48" i="9"/>
  <c r="AD48" i="9"/>
  <c r="AE48" i="9"/>
  <c r="AF48" i="9"/>
  <c r="AG48" i="9"/>
  <c r="AH48" i="9"/>
  <c r="AI48" i="9"/>
  <c r="AJ48" i="9"/>
  <c r="AK48" i="9"/>
  <c r="AL48" i="9"/>
  <c r="AM48" i="9"/>
  <c r="AN48" i="9"/>
  <c r="AO48" i="9"/>
  <c r="AP48" i="9"/>
  <c r="AQ48" i="9"/>
  <c r="AR48" i="9"/>
  <c r="AS48" i="9"/>
  <c r="AT48" i="9"/>
  <c r="AU48" i="9"/>
  <c r="E47" i="9"/>
  <c r="F47" i="9" s="1"/>
  <c r="H47" i="9"/>
  <c r="J47" i="9"/>
  <c r="R47" i="9" s="1"/>
  <c r="O47" i="9"/>
  <c r="S47" i="9"/>
  <c r="T47" i="9"/>
  <c r="U47" i="9"/>
  <c r="V47" i="9"/>
  <c r="W47" i="9"/>
  <c r="X47" i="9"/>
  <c r="Y47" i="9"/>
  <c r="Z47" i="9"/>
  <c r="AA47" i="9"/>
  <c r="AB47" i="9"/>
  <c r="AC47" i="9"/>
  <c r="AD47" i="9"/>
  <c r="AE47" i="9"/>
  <c r="AF47" i="9"/>
  <c r="AG47" i="9"/>
  <c r="AH47" i="9"/>
  <c r="AI47" i="9"/>
  <c r="AJ47" i="9"/>
  <c r="AK47" i="9"/>
  <c r="AL47" i="9"/>
  <c r="AM47" i="9"/>
  <c r="AN47" i="9"/>
  <c r="AO47" i="9"/>
  <c r="AP47" i="9"/>
  <c r="AQ47" i="9"/>
  <c r="AR47" i="9"/>
  <c r="AS47" i="9"/>
  <c r="AT47" i="9"/>
  <c r="AU47" i="9"/>
  <c r="E46" i="9"/>
  <c r="F46" i="9" s="1"/>
  <c r="H46" i="9"/>
  <c r="J46" i="9"/>
  <c r="R46" i="9" s="1"/>
  <c r="O46" i="9"/>
  <c r="S46" i="9"/>
  <c r="T46" i="9"/>
  <c r="U46" i="9"/>
  <c r="V46" i="9"/>
  <c r="W46" i="9"/>
  <c r="X46" i="9"/>
  <c r="Y46" i="9"/>
  <c r="Z46" i="9"/>
  <c r="AA46" i="9"/>
  <c r="AB46" i="9"/>
  <c r="AC46" i="9"/>
  <c r="AD46" i="9"/>
  <c r="AE46" i="9"/>
  <c r="AF46" i="9"/>
  <c r="AG46" i="9"/>
  <c r="AH46" i="9"/>
  <c r="AI46" i="9"/>
  <c r="AJ46" i="9"/>
  <c r="AK46" i="9"/>
  <c r="AL46" i="9"/>
  <c r="AM46" i="9"/>
  <c r="AN46" i="9"/>
  <c r="AO46" i="9"/>
  <c r="AP46" i="9"/>
  <c r="AQ46" i="9"/>
  <c r="AR46" i="9"/>
  <c r="AS46" i="9"/>
  <c r="AT46" i="9"/>
  <c r="AU46" i="9"/>
  <c r="E45" i="9"/>
  <c r="F45" i="9" s="1"/>
  <c r="H45" i="9"/>
  <c r="J45" i="9"/>
  <c r="R45" i="9" s="1"/>
  <c r="O45" i="9"/>
  <c r="S45" i="9"/>
  <c r="T45" i="9"/>
  <c r="U45" i="9"/>
  <c r="V45" i="9"/>
  <c r="W45" i="9"/>
  <c r="X45" i="9"/>
  <c r="Y45" i="9"/>
  <c r="Z45" i="9"/>
  <c r="AA45" i="9"/>
  <c r="AB45" i="9"/>
  <c r="AC45" i="9"/>
  <c r="AD45" i="9"/>
  <c r="AE45" i="9"/>
  <c r="AF45" i="9"/>
  <c r="AG45" i="9"/>
  <c r="AH45" i="9"/>
  <c r="AI45" i="9"/>
  <c r="AJ45" i="9"/>
  <c r="AK45" i="9"/>
  <c r="AL45" i="9"/>
  <c r="AM45" i="9"/>
  <c r="AN45" i="9"/>
  <c r="AO45" i="9"/>
  <c r="AP45" i="9"/>
  <c r="AQ45" i="9"/>
  <c r="AR45" i="9"/>
  <c r="AS45" i="9"/>
  <c r="AT45" i="9"/>
  <c r="AU45" i="9"/>
  <c r="E44" i="9"/>
  <c r="F44" i="9" s="1"/>
  <c r="H44" i="9"/>
  <c r="J44" i="9"/>
  <c r="R44" i="9" s="1"/>
  <c r="O44" i="9"/>
  <c r="S44" i="9"/>
  <c r="T44" i="9"/>
  <c r="U44" i="9"/>
  <c r="V44" i="9"/>
  <c r="W44" i="9"/>
  <c r="X44" i="9"/>
  <c r="Y44" i="9"/>
  <c r="Z44" i="9"/>
  <c r="AA44" i="9"/>
  <c r="AB44" i="9"/>
  <c r="AC44" i="9"/>
  <c r="AD44" i="9"/>
  <c r="AE44" i="9"/>
  <c r="AF44" i="9"/>
  <c r="AG44" i="9"/>
  <c r="AH44" i="9"/>
  <c r="AI44" i="9"/>
  <c r="AJ44" i="9"/>
  <c r="AK44" i="9"/>
  <c r="AL44" i="9"/>
  <c r="AM44" i="9"/>
  <c r="AN44" i="9"/>
  <c r="AO44" i="9"/>
  <c r="AP44" i="9"/>
  <c r="AQ44" i="9"/>
  <c r="AR44" i="9"/>
  <c r="AS44" i="9"/>
  <c r="AT44" i="9"/>
  <c r="AU44" i="9"/>
  <c r="E43" i="9"/>
  <c r="F43" i="9" s="1"/>
  <c r="H43" i="9"/>
  <c r="J43" i="9"/>
  <c r="R43" i="9" s="1"/>
  <c r="O43" i="9"/>
  <c r="S43" i="9"/>
  <c r="T43" i="9"/>
  <c r="U43" i="9"/>
  <c r="V43" i="9"/>
  <c r="W43" i="9"/>
  <c r="X43" i="9"/>
  <c r="Y43" i="9"/>
  <c r="Z43" i="9"/>
  <c r="AA43" i="9"/>
  <c r="AB43" i="9"/>
  <c r="AC43" i="9"/>
  <c r="AD43" i="9"/>
  <c r="AE43" i="9"/>
  <c r="AF43" i="9"/>
  <c r="AG43" i="9"/>
  <c r="AH43" i="9"/>
  <c r="AI43" i="9"/>
  <c r="AJ43" i="9"/>
  <c r="AK43" i="9"/>
  <c r="AL43" i="9"/>
  <c r="AM43" i="9"/>
  <c r="AN43" i="9"/>
  <c r="AO43" i="9"/>
  <c r="AP43" i="9"/>
  <c r="AQ43" i="9"/>
  <c r="AR43" i="9"/>
  <c r="AS43" i="9"/>
  <c r="AT43" i="9"/>
  <c r="AU43" i="9"/>
  <c r="E42" i="9"/>
  <c r="F42" i="9" s="1"/>
  <c r="H42" i="9"/>
  <c r="J42" i="9"/>
  <c r="R42" i="9" s="1"/>
  <c r="O42" i="9"/>
  <c r="S42" i="9"/>
  <c r="T42" i="9"/>
  <c r="U42" i="9"/>
  <c r="V42" i="9"/>
  <c r="W42" i="9"/>
  <c r="X42" i="9"/>
  <c r="Y42" i="9"/>
  <c r="Z42" i="9"/>
  <c r="AA42" i="9"/>
  <c r="AB42" i="9"/>
  <c r="AC42" i="9"/>
  <c r="AD42" i="9"/>
  <c r="AE42" i="9"/>
  <c r="AF42" i="9"/>
  <c r="AG42" i="9"/>
  <c r="AH42" i="9"/>
  <c r="AI42" i="9"/>
  <c r="AJ42" i="9"/>
  <c r="AK42" i="9"/>
  <c r="AL42" i="9"/>
  <c r="AM42" i="9"/>
  <c r="AN42" i="9"/>
  <c r="AO42" i="9"/>
  <c r="AP42" i="9"/>
  <c r="AQ42" i="9"/>
  <c r="AR42" i="9"/>
  <c r="AS42" i="9"/>
  <c r="AT42" i="9"/>
  <c r="AU42" i="9"/>
  <c r="E41" i="9"/>
  <c r="F41" i="9" s="1"/>
  <c r="H41" i="9"/>
  <c r="J41" i="9"/>
  <c r="R41" i="9" s="1"/>
  <c r="O41" i="9"/>
  <c r="S41" i="9"/>
  <c r="T41" i="9"/>
  <c r="U41" i="9"/>
  <c r="V41" i="9"/>
  <c r="W41" i="9"/>
  <c r="X41" i="9"/>
  <c r="Y41" i="9"/>
  <c r="Z41" i="9"/>
  <c r="AA41" i="9"/>
  <c r="AB41" i="9"/>
  <c r="AC41" i="9"/>
  <c r="AD41" i="9"/>
  <c r="AE41" i="9"/>
  <c r="AF41" i="9"/>
  <c r="AG41" i="9"/>
  <c r="AH41" i="9"/>
  <c r="AI41" i="9"/>
  <c r="AJ41" i="9"/>
  <c r="AK41" i="9"/>
  <c r="AL41" i="9"/>
  <c r="AM41" i="9"/>
  <c r="AN41" i="9"/>
  <c r="AO41" i="9"/>
  <c r="AP41" i="9"/>
  <c r="AQ41" i="9"/>
  <c r="AR41" i="9"/>
  <c r="AS41" i="9"/>
  <c r="AT41" i="9"/>
  <c r="AU41" i="9"/>
  <c r="E40" i="9"/>
  <c r="K40" i="9" s="1"/>
  <c r="H40" i="9"/>
  <c r="J40" i="9"/>
  <c r="R40" i="9" s="1"/>
  <c r="O40" i="9"/>
  <c r="S40" i="9"/>
  <c r="T40" i="9"/>
  <c r="U40" i="9"/>
  <c r="V40" i="9"/>
  <c r="W40" i="9"/>
  <c r="X40" i="9"/>
  <c r="Y40" i="9"/>
  <c r="Z40" i="9"/>
  <c r="AA40" i="9"/>
  <c r="AB40" i="9"/>
  <c r="AC40" i="9"/>
  <c r="AD40" i="9"/>
  <c r="AE40" i="9"/>
  <c r="AF40" i="9"/>
  <c r="AG40" i="9"/>
  <c r="AH40" i="9"/>
  <c r="AI40" i="9"/>
  <c r="AJ40" i="9"/>
  <c r="AK40" i="9"/>
  <c r="AL40" i="9"/>
  <c r="AM40" i="9"/>
  <c r="AN40" i="9"/>
  <c r="AO40" i="9"/>
  <c r="AP40" i="9"/>
  <c r="AQ40" i="9"/>
  <c r="AR40" i="9"/>
  <c r="AS40" i="9"/>
  <c r="AT40" i="9"/>
  <c r="AU40" i="9"/>
  <c r="E39" i="9"/>
  <c r="K39" i="9" s="1"/>
  <c r="H39" i="9"/>
  <c r="J39" i="9"/>
  <c r="R39" i="9" s="1"/>
  <c r="O39" i="9"/>
  <c r="S39" i="9"/>
  <c r="T39" i="9"/>
  <c r="U39" i="9"/>
  <c r="V39" i="9"/>
  <c r="W39" i="9"/>
  <c r="X39" i="9"/>
  <c r="Y39" i="9"/>
  <c r="Z39" i="9"/>
  <c r="AA39" i="9"/>
  <c r="AB39" i="9"/>
  <c r="AC39" i="9"/>
  <c r="AD39" i="9"/>
  <c r="AE39" i="9"/>
  <c r="AF39" i="9"/>
  <c r="AG39" i="9"/>
  <c r="AH39" i="9"/>
  <c r="AI39" i="9"/>
  <c r="AJ39" i="9"/>
  <c r="AK39" i="9"/>
  <c r="AL39" i="9"/>
  <c r="AM39" i="9"/>
  <c r="AN39" i="9"/>
  <c r="AO39" i="9"/>
  <c r="AP39" i="9"/>
  <c r="AQ39" i="9"/>
  <c r="AR39" i="9"/>
  <c r="AS39" i="9"/>
  <c r="AT39" i="9"/>
  <c r="AU39" i="9"/>
  <c r="E38" i="9"/>
  <c r="K38" i="9" s="1"/>
  <c r="H38" i="9"/>
  <c r="J38" i="9"/>
  <c r="R38" i="9" s="1"/>
  <c r="O38" i="9"/>
  <c r="S38" i="9"/>
  <c r="T38" i="9"/>
  <c r="U38" i="9"/>
  <c r="V38" i="9"/>
  <c r="W38" i="9"/>
  <c r="X38" i="9"/>
  <c r="Y38" i="9"/>
  <c r="Z38" i="9"/>
  <c r="AA38" i="9"/>
  <c r="AB38" i="9"/>
  <c r="AC38" i="9"/>
  <c r="AD38" i="9"/>
  <c r="AE38" i="9"/>
  <c r="AF38" i="9"/>
  <c r="AG38" i="9"/>
  <c r="AH38" i="9"/>
  <c r="AI38" i="9"/>
  <c r="AJ38" i="9"/>
  <c r="AK38" i="9"/>
  <c r="AL38" i="9"/>
  <c r="AM38" i="9"/>
  <c r="AN38" i="9"/>
  <c r="AO38" i="9"/>
  <c r="AP38" i="9"/>
  <c r="AQ38" i="9"/>
  <c r="AR38" i="9"/>
  <c r="AS38" i="9"/>
  <c r="AT38" i="9"/>
  <c r="AU38" i="9"/>
  <c r="E37" i="9"/>
  <c r="K37" i="9" s="1"/>
  <c r="H37" i="9"/>
  <c r="J37" i="9"/>
  <c r="R37" i="9" s="1"/>
  <c r="O37" i="9"/>
  <c r="S37" i="9"/>
  <c r="T37" i="9"/>
  <c r="U37" i="9"/>
  <c r="V37" i="9"/>
  <c r="W37" i="9"/>
  <c r="X37" i="9"/>
  <c r="Y37" i="9"/>
  <c r="Z37" i="9"/>
  <c r="AA37" i="9"/>
  <c r="AB37" i="9"/>
  <c r="AC37" i="9"/>
  <c r="AD37" i="9"/>
  <c r="AE37" i="9"/>
  <c r="AF37" i="9"/>
  <c r="AG37" i="9"/>
  <c r="AH37" i="9"/>
  <c r="AI37" i="9"/>
  <c r="AJ37" i="9"/>
  <c r="AK37" i="9"/>
  <c r="AL37" i="9"/>
  <c r="AM37" i="9"/>
  <c r="AN37" i="9"/>
  <c r="AO37" i="9"/>
  <c r="AP37" i="9"/>
  <c r="AQ37" i="9"/>
  <c r="AR37" i="9"/>
  <c r="AS37" i="9"/>
  <c r="AT37" i="9"/>
  <c r="AU37" i="9"/>
  <c r="E36" i="9"/>
  <c r="K36" i="9" s="1"/>
  <c r="H36" i="9"/>
  <c r="J36" i="9"/>
  <c r="R36" i="9" s="1"/>
  <c r="O36" i="9"/>
  <c r="S36" i="9"/>
  <c r="T36" i="9"/>
  <c r="U36" i="9"/>
  <c r="V36" i="9"/>
  <c r="W36" i="9"/>
  <c r="X36" i="9"/>
  <c r="Y36" i="9"/>
  <c r="Z36" i="9"/>
  <c r="AA36" i="9"/>
  <c r="AB36" i="9"/>
  <c r="AC36" i="9"/>
  <c r="AD36" i="9"/>
  <c r="AE36" i="9"/>
  <c r="AF36" i="9"/>
  <c r="AG36" i="9"/>
  <c r="AH36" i="9"/>
  <c r="AI36" i="9"/>
  <c r="AJ36" i="9"/>
  <c r="AK36" i="9"/>
  <c r="AL36" i="9"/>
  <c r="AM36" i="9"/>
  <c r="AN36" i="9"/>
  <c r="AO36" i="9"/>
  <c r="AP36" i="9"/>
  <c r="AQ36" i="9"/>
  <c r="AR36" i="9"/>
  <c r="AS36" i="9"/>
  <c r="AT36" i="9"/>
  <c r="AU36" i="9"/>
  <c r="E35" i="9"/>
  <c r="K35" i="9" s="1"/>
  <c r="H35" i="9"/>
  <c r="J35" i="9"/>
  <c r="R35" i="9" s="1"/>
  <c r="O35" i="9"/>
  <c r="S35" i="9"/>
  <c r="T35" i="9"/>
  <c r="U35" i="9"/>
  <c r="V35" i="9"/>
  <c r="W35" i="9"/>
  <c r="X35" i="9"/>
  <c r="Y35" i="9"/>
  <c r="Z35" i="9"/>
  <c r="AA35" i="9"/>
  <c r="AB35" i="9"/>
  <c r="AC35" i="9"/>
  <c r="AD35" i="9"/>
  <c r="AE35" i="9"/>
  <c r="AF35" i="9"/>
  <c r="AG35" i="9"/>
  <c r="AH35" i="9"/>
  <c r="AI35" i="9"/>
  <c r="AJ35" i="9"/>
  <c r="AK35" i="9"/>
  <c r="AL35" i="9"/>
  <c r="AM35" i="9"/>
  <c r="AN35" i="9"/>
  <c r="AO35" i="9"/>
  <c r="AP35" i="9"/>
  <c r="AQ35" i="9"/>
  <c r="AR35" i="9"/>
  <c r="AS35" i="9"/>
  <c r="AT35" i="9"/>
  <c r="AU35" i="9"/>
  <c r="E34" i="9"/>
  <c r="K34" i="9" s="1"/>
  <c r="H34" i="9"/>
  <c r="J34" i="9"/>
  <c r="R34" i="9" s="1"/>
  <c r="O34" i="9"/>
  <c r="S34" i="9"/>
  <c r="T34" i="9"/>
  <c r="U34" i="9"/>
  <c r="V34" i="9"/>
  <c r="W34" i="9"/>
  <c r="X34" i="9"/>
  <c r="Y34" i="9"/>
  <c r="Z34" i="9"/>
  <c r="AA34" i="9"/>
  <c r="AB34" i="9"/>
  <c r="AC34" i="9"/>
  <c r="AD34" i="9"/>
  <c r="AE34" i="9"/>
  <c r="AF34" i="9"/>
  <c r="AG34" i="9"/>
  <c r="AH34" i="9"/>
  <c r="AI34" i="9"/>
  <c r="AJ34" i="9"/>
  <c r="AK34" i="9"/>
  <c r="AL34" i="9"/>
  <c r="AM34" i="9"/>
  <c r="AN34" i="9"/>
  <c r="AO34" i="9"/>
  <c r="AP34" i="9"/>
  <c r="AQ34" i="9"/>
  <c r="AR34" i="9"/>
  <c r="AS34" i="9"/>
  <c r="AT34" i="9"/>
  <c r="AU34" i="9"/>
  <c r="E33" i="9"/>
  <c r="K33" i="9" s="1"/>
  <c r="H33" i="9"/>
  <c r="J33" i="9"/>
  <c r="O33" i="9"/>
  <c r="S33" i="9"/>
  <c r="T33" i="9"/>
  <c r="U33" i="9"/>
  <c r="V33" i="9"/>
  <c r="W33" i="9"/>
  <c r="X33" i="9"/>
  <c r="Y33" i="9"/>
  <c r="Z33" i="9"/>
  <c r="AA33" i="9"/>
  <c r="AB33" i="9"/>
  <c r="AC33" i="9"/>
  <c r="AD33" i="9"/>
  <c r="AE33" i="9"/>
  <c r="AF33" i="9"/>
  <c r="AG33" i="9"/>
  <c r="AH33" i="9"/>
  <c r="AI33" i="9"/>
  <c r="AJ33" i="9"/>
  <c r="AK33" i="9"/>
  <c r="AL33" i="9"/>
  <c r="AM33" i="9"/>
  <c r="AN33" i="9"/>
  <c r="AO33" i="9"/>
  <c r="AP33" i="9"/>
  <c r="AQ33" i="9"/>
  <c r="AR33" i="9"/>
  <c r="AS33" i="9"/>
  <c r="AT33" i="9"/>
  <c r="AU33" i="9"/>
  <c r="E32" i="9"/>
  <c r="K32" i="9" s="1"/>
  <c r="H32" i="9"/>
  <c r="J32" i="9"/>
  <c r="R32" i="9" s="1"/>
  <c r="O32" i="9"/>
  <c r="S32" i="9"/>
  <c r="T32" i="9"/>
  <c r="U32" i="9"/>
  <c r="V32" i="9"/>
  <c r="W32" i="9"/>
  <c r="X32" i="9"/>
  <c r="Y32" i="9"/>
  <c r="Z32" i="9"/>
  <c r="AA32" i="9"/>
  <c r="AB32" i="9"/>
  <c r="AC32" i="9"/>
  <c r="AD32" i="9"/>
  <c r="AE32" i="9"/>
  <c r="AF32" i="9"/>
  <c r="AG32" i="9"/>
  <c r="AH32" i="9"/>
  <c r="AI32" i="9"/>
  <c r="AJ32" i="9"/>
  <c r="AK32" i="9"/>
  <c r="AL32" i="9"/>
  <c r="AM32" i="9"/>
  <c r="AN32" i="9"/>
  <c r="AO32" i="9"/>
  <c r="AP32" i="9"/>
  <c r="AQ32" i="9"/>
  <c r="AR32" i="9"/>
  <c r="AS32" i="9"/>
  <c r="AT32" i="9"/>
  <c r="AU32" i="9"/>
  <c r="E31" i="9"/>
  <c r="K31" i="9" s="1"/>
  <c r="H31" i="9"/>
  <c r="J31" i="9"/>
  <c r="R31" i="9" s="1"/>
  <c r="O31" i="9"/>
  <c r="S31" i="9"/>
  <c r="T31" i="9"/>
  <c r="U31" i="9"/>
  <c r="V31" i="9"/>
  <c r="W31" i="9"/>
  <c r="X31" i="9"/>
  <c r="Y31" i="9"/>
  <c r="Z31" i="9"/>
  <c r="AA31" i="9"/>
  <c r="AB31" i="9"/>
  <c r="AC31" i="9"/>
  <c r="AD31" i="9"/>
  <c r="AE31" i="9"/>
  <c r="AF31" i="9"/>
  <c r="AG31" i="9"/>
  <c r="AH31" i="9"/>
  <c r="AI31" i="9"/>
  <c r="AJ31" i="9"/>
  <c r="AK31" i="9"/>
  <c r="AL31" i="9"/>
  <c r="AM31" i="9"/>
  <c r="AN31" i="9"/>
  <c r="AO31" i="9"/>
  <c r="AP31" i="9"/>
  <c r="AQ31" i="9"/>
  <c r="AR31" i="9"/>
  <c r="AS31" i="9"/>
  <c r="AT31" i="9"/>
  <c r="AU31" i="9"/>
  <c r="E30" i="9"/>
  <c r="F30" i="9" s="1"/>
  <c r="H30" i="9"/>
  <c r="J30" i="9"/>
  <c r="R30" i="9" s="1"/>
  <c r="O30" i="9"/>
  <c r="S30" i="9"/>
  <c r="T30" i="9"/>
  <c r="U30" i="9"/>
  <c r="V30" i="9"/>
  <c r="W30" i="9"/>
  <c r="X30" i="9"/>
  <c r="Y30" i="9"/>
  <c r="Z30" i="9"/>
  <c r="AA30" i="9"/>
  <c r="AB30" i="9"/>
  <c r="AC30" i="9"/>
  <c r="AD30" i="9"/>
  <c r="AE30" i="9"/>
  <c r="AF30" i="9"/>
  <c r="AG30" i="9"/>
  <c r="AH30" i="9"/>
  <c r="AI30" i="9"/>
  <c r="AJ30" i="9"/>
  <c r="AK30" i="9"/>
  <c r="AL30" i="9"/>
  <c r="AM30" i="9"/>
  <c r="AN30" i="9"/>
  <c r="AO30" i="9"/>
  <c r="AP30" i="9"/>
  <c r="AQ30" i="9"/>
  <c r="AR30" i="9"/>
  <c r="AS30" i="9"/>
  <c r="AT30" i="9"/>
  <c r="AU30" i="9"/>
  <c r="E29" i="9"/>
  <c r="F29" i="9" s="1"/>
  <c r="H29" i="9"/>
  <c r="J29" i="9"/>
  <c r="R29" i="9" s="1"/>
  <c r="O29" i="9"/>
  <c r="S29" i="9"/>
  <c r="T29" i="9"/>
  <c r="U29" i="9"/>
  <c r="V29" i="9"/>
  <c r="W29" i="9"/>
  <c r="X29" i="9"/>
  <c r="Y29" i="9"/>
  <c r="Z29" i="9"/>
  <c r="AA29" i="9"/>
  <c r="AB29" i="9"/>
  <c r="AC29" i="9"/>
  <c r="AD29" i="9"/>
  <c r="AE29" i="9"/>
  <c r="AF29" i="9"/>
  <c r="AG29" i="9"/>
  <c r="AH29" i="9"/>
  <c r="AI29" i="9"/>
  <c r="AJ29" i="9"/>
  <c r="AK29" i="9"/>
  <c r="AL29" i="9"/>
  <c r="AM29" i="9"/>
  <c r="AN29" i="9"/>
  <c r="AO29" i="9"/>
  <c r="AP29" i="9"/>
  <c r="AQ29" i="9"/>
  <c r="AR29" i="9"/>
  <c r="AS29" i="9"/>
  <c r="AT29" i="9"/>
  <c r="AU29" i="9"/>
  <c r="E28" i="9"/>
  <c r="F28" i="9" s="1"/>
  <c r="H28" i="9"/>
  <c r="J28" i="9"/>
  <c r="R28" i="9" s="1"/>
  <c r="O28" i="9"/>
  <c r="S28" i="9"/>
  <c r="T28" i="9"/>
  <c r="U28" i="9"/>
  <c r="V28" i="9"/>
  <c r="W28" i="9"/>
  <c r="X28" i="9"/>
  <c r="Y28" i="9"/>
  <c r="Z28" i="9"/>
  <c r="AA28" i="9"/>
  <c r="AB28" i="9"/>
  <c r="AC28" i="9"/>
  <c r="AD28" i="9"/>
  <c r="AE28" i="9"/>
  <c r="AF28" i="9"/>
  <c r="AG28" i="9"/>
  <c r="AH28" i="9"/>
  <c r="AI28" i="9"/>
  <c r="AJ28" i="9"/>
  <c r="AK28" i="9"/>
  <c r="AL28" i="9"/>
  <c r="AM28" i="9"/>
  <c r="AN28" i="9"/>
  <c r="AO28" i="9"/>
  <c r="AP28" i="9"/>
  <c r="AQ28" i="9"/>
  <c r="AR28" i="9"/>
  <c r="AS28" i="9"/>
  <c r="AT28" i="9"/>
  <c r="AU28" i="9"/>
  <c r="E27" i="9"/>
  <c r="K27" i="9" s="1"/>
  <c r="H27" i="9"/>
  <c r="J27" i="9"/>
  <c r="R27" i="9" s="1"/>
  <c r="O27" i="9"/>
  <c r="S27" i="9"/>
  <c r="T27" i="9"/>
  <c r="U27" i="9"/>
  <c r="V27" i="9"/>
  <c r="W27" i="9"/>
  <c r="X27" i="9"/>
  <c r="Y27" i="9"/>
  <c r="Z27" i="9"/>
  <c r="AA27" i="9"/>
  <c r="AB27" i="9"/>
  <c r="AC27" i="9"/>
  <c r="AD27" i="9"/>
  <c r="AE27" i="9"/>
  <c r="AF27" i="9"/>
  <c r="AG27" i="9"/>
  <c r="AH27" i="9"/>
  <c r="AI27" i="9"/>
  <c r="AJ27" i="9"/>
  <c r="AK27" i="9"/>
  <c r="AL27" i="9"/>
  <c r="AM27" i="9"/>
  <c r="AN27" i="9"/>
  <c r="AO27" i="9"/>
  <c r="AP27" i="9"/>
  <c r="AQ27" i="9"/>
  <c r="AR27" i="9"/>
  <c r="AS27" i="9"/>
  <c r="AT27" i="9"/>
  <c r="AU27" i="9"/>
  <c r="E26" i="9"/>
  <c r="F26" i="9" s="1"/>
  <c r="H26" i="9"/>
  <c r="J26" i="9"/>
  <c r="R26" i="9" s="1"/>
  <c r="O26" i="9"/>
  <c r="S26" i="9"/>
  <c r="T26" i="9"/>
  <c r="U26" i="9"/>
  <c r="V26" i="9"/>
  <c r="W26" i="9"/>
  <c r="X26" i="9"/>
  <c r="Y26" i="9"/>
  <c r="Z26" i="9"/>
  <c r="AA26" i="9"/>
  <c r="AB26" i="9"/>
  <c r="AC26" i="9"/>
  <c r="AD26" i="9"/>
  <c r="AE26" i="9"/>
  <c r="AF26" i="9"/>
  <c r="AG26" i="9"/>
  <c r="AH26" i="9"/>
  <c r="AI26" i="9"/>
  <c r="AJ26" i="9"/>
  <c r="AK26" i="9"/>
  <c r="AL26" i="9"/>
  <c r="AM26" i="9"/>
  <c r="AN26" i="9"/>
  <c r="AO26" i="9"/>
  <c r="AP26" i="9"/>
  <c r="AQ26" i="9"/>
  <c r="AR26" i="9"/>
  <c r="AS26" i="9"/>
  <c r="AT26" i="9"/>
  <c r="AU26" i="9"/>
  <c r="E25" i="9"/>
  <c r="F25" i="9" s="1"/>
  <c r="H25" i="9"/>
  <c r="J25" i="9"/>
  <c r="R25" i="9" s="1"/>
  <c r="O25" i="9"/>
  <c r="S25" i="9"/>
  <c r="T25" i="9"/>
  <c r="U25" i="9"/>
  <c r="V25" i="9"/>
  <c r="W25" i="9"/>
  <c r="X25" i="9"/>
  <c r="Y25" i="9"/>
  <c r="Z25" i="9"/>
  <c r="AA25" i="9"/>
  <c r="AB25" i="9"/>
  <c r="AC25" i="9"/>
  <c r="AD25" i="9"/>
  <c r="AE25" i="9"/>
  <c r="AF25" i="9"/>
  <c r="AG25" i="9"/>
  <c r="AH25" i="9"/>
  <c r="AI25" i="9"/>
  <c r="AJ25" i="9"/>
  <c r="AK25" i="9"/>
  <c r="AL25" i="9"/>
  <c r="AM25" i="9"/>
  <c r="AN25" i="9"/>
  <c r="AO25" i="9"/>
  <c r="AP25" i="9"/>
  <c r="AQ25" i="9"/>
  <c r="AR25" i="9"/>
  <c r="AS25" i="9"/>
  <c r="AT25" i="9"/>
  <c r="AU25" i="9"/>
  <c r="E24" i="9"/>
  <c r="F24" i="9" s="1"/>
  <c r="H24" i="9"/>
  <c r="J24" i="9"/>
  <c r="R24" i="9" s="1"/>
  <c r="O24" i="9"/>
  <c r="S24" i="9"/>
  <c r="T24" i="9"/>
  <c r="U24" i="9"/>
  <c r="V24" i="9"/>
  <c r="W24" i="9"/>
  <c r="X24" i="9"/>
  <c r="Y24" i="9"/>
  <c r="Z24" i="9"/>
  <c r="AA24" i="9"/>
  <c r="AB24" i="9"/>
  <c r="AC24" i="9"/>
  <c r="AD24" i="9"/>
  <c r="AE24" i="9"/>
  <c r="AF24" i="9"/>
  <c r="AG24" i="9"/>
  <c r="AH24" i="9"/>
  <c r="AI24" i="9"/>
  <c r="AJ24" i="9"/>
  <c r="AK24" i="9"/>
  <c r="AL24" i="9"/>
  <c r="AM24" i="9"/>
  <c r="AN24" i="9"/>
  <c r="AO24" i="9"/>
  <c r="AP24" i="9"/>
  <c r="AQ24" i="9"/>
  <c r="AR24" i="9"/>
  <c r="AS24" i="9"/>
  <c r="AT24" i="9"/>
  <c r="AU24" i="9"/>
  <c r="E23" i="9"/>
  <c r="F23" i="9" s="1"/>
  <c r="H23" i="9"/>
  <c r="J23" i="9"/>
  <c r="R23" i="9" s="1"/>
  <c r="O23" i="9"/>
  <c r="S23" i="9"/>
  <c r="T23" i="9"/>
  <c r="U23" i="9"/>
  <c r="V23" i="9"/>
  <c r="W23" i="9"/>
  <c r="X23" i="9"/>
  <c r="Y23" i="9"/>
  <c r="Z23" i="9"/>
  <c r="AA23" i="9"/>
  <c r="AB23" i="9"/>
  <c r="AC23" i="9"/>
  <c r="AD23" i="9"/>
  <c r="AE23" i="9"/>
  <c r="AF23" i="9"/>
  <c r="AG23" i="9"/>
  <c r="AH23" i="9"/>
  <c r="AI23" i="9"/>
  <c r="AJ23" i="9"/>
  <c r="AK23" i="9"/>
  <c r="AL23" i="9"/>
  <c r="AM23" i="9"/>
  <c r="AN23" i="9"/>
  <c r="AO23" i="9"/>
  <c r="AP23" i="9"/>
  <c r="AQ23" i="9"/>
  <c r="AR23" i="9"/>
  <c r="AS23" i="9"/>
  <c r="AT23" i="9"/>
  <c r="AU23" i="9"/>
  <c r="E22" i="9"/>
  <c r="K22" i="9" s="1"/>
  <c r="H22" i="9"/>
  <c r="J22" i="9"/>
  <c r="R22" i="9" s="1"/>
  <c r="O22" i="9"/>
  <c r="S22" i="9"/>
  <c r="T22" i="9"/>
  <c r="U22" i="9"/>
  <c r="V22" i="9"/>
  <c r="W22" i="9"/>
  <c r="X22" i="9"/>
  <c r="Y22" i="9"/>
  <c r="Z22" i="9"/>
  <c r="AA22" i="9"/>
  <c r="AB22" i="9"/>
  <c r="AC22" i="9"/>
  <c r="AD22" i="9"/>
  <c r="AE22" i="9"/>
  <c r="AF22" i="9"/>
  <c r="AG22" i="9"/>
  <c r="AH22" i="9"/>
  <c r="AI22" i="9"/>
  <c r="AJ22" i="9"/>
  <c r="AK22" i="9"/>
  <c r="AL22" i="9"/>
  <c r="AM22" i="9"/>
  <c r="AN22" i="9"/>
  <c r="AO22" i="9"/>
  <c r="AP22" i="9"/>
  <c r="AQ22" i="9"/>
  <c r="AR22" i="9"/>
  <c r="AS22" i="9"/>
  <c r="AT22" i="9"/>
  <c r="AU22" i="9"/>
  <c r="E21" i="9"/>
  <c r="K21" i="9" s="1"/>
  <c r="H21" i="9"/>
  <c r="J21" i="9"/>
  <c r="R21" i="9" s="1"/>
  <c r="O21" i="9"/>
  <c r="S21" i="9"/>
  <c r="T21" i="9"/>
  <c r="U21" i="9"/>
  <c r="V21" i="9"/>
  <c r="W21" i="9"/>
  <c r="X21" i="9"/>
  <c r="Y21" i="9"/>
  <c r="Z21" i="9"/>
  <c r="AA21" i="9"/>
  <c r="AB21" i="9"/>
  <c r="AC21" i="9"/>
  <c r="AD21" i="9"/>
  <c r="AE21" i="9"/>
  <c r="AF21" i="9"/>
  <c r="AG21" i="9"/>
  <c r="AH21" i="9"/>
  <c r="AI21" i="9"/>
  <c r="AJ21" i="9"/>
  <c r="AK21" i="9"/>
  <c r="AL21" i="9"/>
  <c r="AM21" i="9"/>
  <c r="AN21" i="9"/>
  <c r="AO21" i="9"/>
  <c r="AP21" i="9"/>
  <c r="AQ21" i="9"/>
  <c r="AR21" i="9"/>
  <c r="AS21" i="9"/>
  <c r="AT21" i="9"/>
  <c r="AU21" i="9"/>
  <c r="E20" i="9"/>
  <c r="K20" i="9" s="1"/>
  <c r="H20" i="9"/>
  <c r="J20" i="9"/>
  <c r="R20" i="9" s="1"/>
  <c r="O20" i="9"/>
  <c r="S20" i="9"/>
  <c r="T20" i="9"/>
  <c r="U20" i="9"/>
  <c r="V20" i="9"/>
  <c r="W20" i="9"/>
  <c r="X20" i="9"/>
  <c r="Y20" i="9"/>
  <c r="Z20" i="9"/>
  <c r="AA20" i="9"/>
  <c r="AB20" i="9"/>
  <c r="AC20" i="9"/>
  <c r="AD20" i="9"/>
  <c r="AE20" i="9"/>
  <c r="AF20" i="9"/>
  <c r="AG20" i="9"/>
  <c r="AH20" i="9"/>
  <c r="AI20" i="9"/>
  <c r="AJ20" i="9"/>
  <c r="AK20" i="9"/>
  <c r="AL20" i="9"/>
  <c r="AM20" i="9"/>
  <c r="AN20" i="9"/>
  <c r="AO20" i="9"/>
  <c r="AP20" i="9"/>
  <c r="AQ20" i="9"/>
  <c r="AR20" i="9"/>
  <c r="AS20" i="9"/>
  <c r="AT20" i="9"/>
  <c r="AU20" i="9"/>
  <c r="E19" i="9"/>
  <c r="K19" i="9" s="1"/>
  <c r="H19" i="9"/>
  <c r="J19" i="9"/>
  <c r="R19" i="9" s="1"/>
  <c r="O19" i="9"/>
  <c r="S19" i="9"/>
  <c r="T19" i="9"/>
  <c r="U19" i="9"/>
  <c r="V19" i="9"/>
  <c r="W19" i="9"/>
  <c r="X19" i="9"/>
  <c r="Y19" i="9"/>
  <c r="Z19" i="9"/>
  <c r="AA19" i="9"/>
  <c r="AB19" i="9"/>
  <c r="AC19" i="9"/>
  <c r="AD19" i="9"/>
  <c r="AE19" i="9"/>
  <c r="AF19" i="9"/>
  <c r="AG19" i="9"/>
  <c r="AH19" i="9"/>
  <c r="AI19" i="9"/>
  <c r="AJ19" i="9"/>
  <c r="AK19" i="9"/>
  <c r="AL19" i="9"/>
  <c r="AM19" i="9"/>
  <c r="AN19" i="9"/>
  <c r="AO19" i="9"/>
  <c r="AP19" i="9"/>
  <c r="AQ19" i="9"/>
  <c r="AR19" i="9"/>
  <c r="AS19" i="9"/>
  <c r="AT19" i="9"/>
  <c r="AU19" i="9"/>
  <c r="K18" i="9"/>
  <c r="O18" i="9"/>
  <c r="O17" i="9"/>
  <c r="S17" i="9"/>
  <c r="T17" i="9"/>
  <c r="U17" i="9"/>
  <c r="V17" i="9"/>
  <c r="W17" i="9"/>
  <c r="X17" i="9"/>
  <c r="Y17" i="9"/>
  <c r="Z17" i="9"/>
  <c r="AA17" i="9"/>
  <c r="AB17" i="9"/>
  <c r="AC17" i="9"/>
  <c r="AD17" i="9"/>
  <c r="AE17" i="9"/>
  <c r="AF17" i="9"/>
  <c r="AG17" i="9"/>
  <c r="AH17" i="9"/>
  <c r="AI17" i="9"/>
  <c r="AJ17" i="9"/>
  <c r="AK17" i="9"/>
  <c r="AL17" i="9"/>
  <c r="AM17" i="9"/>
  <c r="AN17" i="9"/>
  <c r="AO17" i="9"/>
  <c r="AP17" i="9"/>
  <c r="AQ17" i="9"/>
  <c r="AR17" i="9"/>
  <c r="AS17" i="9"/>
  <c r="AT17" i="9"/>
  <c r="AU17" i="9"/>
  <c r="O16" i="9"/>
  <c r="S16" i="9"/>
  <c r="T16" i="9"/>
  <c r="U16" i="9"/>
  <c r="V16" i="9"/>
  <c r="W16" i="9"/>
  <c r="X16" i="9"/>
  <c r="Y16" i="9"/>
  <c r="Z16" i="9"/>
  <c r="AA16" i="9"/>
  <c r="AB16" i="9"/>
  <c r="AC16" i="9"/>
  <c r="AD16" i="9"/>
  <c r="AE16" i="9"/>
  <c r="AF16" i="9"/>
  <c r="AG16" i="9"/>
  <c r="AH16" i="9"/>
  <c r="AI16" i="9"/>
  <c r="AJ16" i="9"/>
  <c r="AK16" i="9"/>
  <c r="AL16" i="9"/>
  <c r="AM16" i="9"/>
  <c r="AN16" i="9"/>
  <c r="AO16" i="9"/>
  <c r="AP16" i="9"/>
  <c r="AQ16" i="9"/>
  <c r="AR16" i="9"/>
  <c r="AS16" i="9"/>
  <c r="AT16" i="9"/>
  <c r="AU16" i="9"/>
  <c r="O15" i="9"/>
  <c r="S15" i="9"/>
  <c r="T15" i="9"/>
  <c r="U15" i="9"/>
  <c r="V15" i="9"/>
  <c r="W15" i="9"/>
  <c r="X15" i="9"/>
  <c r="Y15" i="9"/>
  <c r="Z15" i="9"/>
  <c r="AA15" i="9"/>
  <c r="AB15" i="9"/>
  <c r="AC15" i="9"/>
  <c r="AD15" i="9"/>
  <c r="AE15" i="9"/>
  <c r="AF15" i="9"/>
  <c r="AG15" i="9"/>
  <c r="AH15" i="9"/>
  <c r="AI15" i="9"/>
  <c r="AJ15" i="9"/>
  <c r="AK15" i="9"/>
  <c r="AL15" i="9"/>
  <c r="AM15" i="9"/>
  <c r="AN15" i="9"/>
  <c r="AO15" i="9"/>
  <c r="AP15" i="9"/>
  <c r="AQ15" i="9"/>
  <c r="AR15" i="9"/>
  <c r="AS15" i="9"/>
  <c r="AT15" i="9"/>
  <c r="AU15" i="9"/>
  <c r="O14" i="9"/>
  <c r="S14" i="9"/>
  <c r="T14" i="9"/>
  <c r="U14" i="9"/>
  <c r="V14" i="9"/>
  <c r="W14" i="9"/>
  <c r="X14" i="9"/>
  <c r="Y14" i="9"/>
  <c r="Z14" i="9"/>
  <c r="AA14" i="9"/>
  <c r="AB14" i="9"/>
  <c r="AC14" i="9"/>
  <c r="AD14" i="9"/>
  <c r="AE14" i="9"/>
  <c r="AF14" i="9"/>
  <c r="AG14" i="9"/>
  <c r="AH14" i="9"/>
  <c r="AI14" i="9"/>
  <c r="AJ14" i="9"/>
  <c r="AK14" i="9"/>
  <c r="AL14" i="9"/>
  <c r="AM14" i="9"/>
  <c r="AN14" i="9"/>
  <c r="AO14" i="9"/>
  <c r="AP14" i="9"/>
  <c r="AQ14" i="9"/>
  <c r="AR14" i="9"/>
  <c r="AS14" i="9"/>
  <c r="AT14" i="9"/>
  <c r="AU14" i="9"/>
  <c r="O13" i="9"/>
  <c r="S13" i="9"/>
  <c r="T13" i="9"/>
  <c r="U13" i="9"/>
  <c r="V13" i="9"/>
  <c r="W13" i="9"/>
  <c r="X13" i="9"/>
  <c r="Y13" i="9"/>
  <c r="Z13" i="9"/>
  <c r="AA13" i="9"/>
  <c r="AB13" i="9"/>
  <c r="AC13" i="9"/>
  <c r="AD13" i="9"/>
  <c r="AE13" i="9"/>
  <c r="AF13" i="9"/>
  <c r="AG13" i="9"/>
  <c r="AH13" i="9"/>
  <c r="AI13" i="9"/>
  <c r="AJ13" i="9"/>
  <c r="AK13" i="9"/>
  <c r="AL13" i="9"/>
  <c r="AM13" i="9"/>
  <c r="AN13" i="9"/>
  <c r="AO13" i="9"/>
  <c r="AP13" i="9"/>
  <c r="AQ13" i="9"/>
  <c r="AR13" i="9"/>
  <c r="AS13" i="9"/>
  <c r="AT13" i="9"/>
  <c r="AU13" i="9"/>
  <c r="O12" i="9"/>
  <c r="S12" i="9"/>
  <c r="T12" i="9"/>
  <c r="U12" i="9"/>
  <c r="V12" i="9"/>
  <c r="W12" i="9"/>
  <c r="X12" i="9"/>
  <c r="Y12" i="9"/>
  <c r="Z12" i="9"/>
  <c r="AA12" i="9"/>
  <c r="AB12" i="9"/>
  <c r="AC12" i="9"/>
  <c r="AD12" i="9"/>
  <c r="AE12" i="9"/>
  <c r="AF12" i="9"/>
  <c r="AG12" i="9"/>
  <c r="AH12" i="9"/>
  <c r="AI12" i="9"/>
  <c r="AJ12" i="9"/>
  <c r="AK12" i="9"/>
  <c r="AL12" i="9"/>
  <c r="AM12" i="9"/>
  <c r="AN12" i="9"/>
  <c r="AO12" i="9"/>
  <c r="AP12" i="9"/>
  <c r="AQ12" i="9"/>
  <c r="AR12" i="9"/>
  <c r="AS12" i="9"/>
  <c r="AT12" i="9"/>
  <c r="AU12" i="9"/>
  <c r="O11" i="9"/>
  <c r="S11" i="9"/>
  <c r="T11" i="9"/>
  <c r="U11" i="9"/>
  <c r="V11" i="9"/>
  <c r="W11" i="9"/>
  <c r="X11" i="9"/>
  <c r="Y11" i="9"/>
  <c r="Z11" i="9"/>
  <c r="AA11" i="9"/>
  <c r="AB11" i="9"/>
  <c r="AC11" i="9"/>
  <c r="AD11" i="9"/>
  <c r="AE11" i="9"/>
  <c r="AF11" i="9"/>
  <c r="AG11" i="9"/>
  <c r="AH11" i="9"/>
  <c r="AI11" i="9"/>
  <c r="AJ11" i="9"/>
  <c r="AK11" i="9"/>
  <c r="AL11" i="9"/>
  <c r="AM11" i="9"/>
  <c r="AN11" i="9"/>
  <c r="AO11" i="9"/>
  <c r="AP11" i="9"/>
  <c r="AQ11" i="9"/>
  <c r="AR11" i="9"/>
  <c r="AS11" i="9"/>
  <c r="AT11" i="9"/>
  <c r="AU11" i="9"/>
  <c r="O10" i="9"/>
  <c r="S10" i="9"/>
  <c r="T10" i="9"/>
  <c r="U10" i="9"/>
  <c r="V10" i="9"/>
  <c r="W10" i="9"/>
  <c r="X10" i="9"/>
  <c r="Y10" i="9"/>
  <c r="Z10" i="9"/>
  <c r="AA10" i="9"/>
  <c r="AB10" i="9"/>
  <c r="AC10" i="9"/>
  <c r="AD10" i="9"/>
  <c r="AE10" i="9"/>
  <c r="AF10" i="9"/>
  <c r="AG10" i="9"/>
  <c r="AH10" i="9"/>
  <c r="AI10" i="9"/>
  <c r="AJ10" i="9"/>
  <c r="AK10" i="9"/>
  <c r="AL10" i="9"/>
  <c r="AM10" i="9"/>
  <c r="AN10" i="9"/>
  <c r="AO10" i="9"/>
  <c r="AP10" i="9"/>
  <c r="AQ10" i="9"/>
  <c r="AR10" i="9"/>
  <c r="AS10" i="9"/>
  <c r="AT10" i="9"/>
  <c r="AU10" i="9"/>
  <c r="E9" i="9"/>
  <c r="K9" i="9" s="1"/>
  <c r="H9" i="9"/>
  <c r="J9" i="9"/>
  <c r="R9" i="9" s="1"/>
  <c r="O9" i="9"/>
  <c r="S9" i="9"/>
  <c r="T9" i="9"/>
  <c r="U9" i="9"/>
  <c r="V9" i="9"/>
  <c r="W9" i="9"/>
  <c r="X9" i="9"/>
  <c r="Y9" i="9"/>
  <c r="Z9" i="9"/>
  <c r="AA9" i="9"/>
  <c r="AB9" i="9"/>
  <c r="AC9" i="9"/>
  <c r="AD9" i="9"/>
  <c r="AE9" i="9"/>
  <c r="AF9" i="9"/>
  <c r="AG9" i="9"/>
  <c r="AH9" i="9"/>
  <c r="AI9" i="9"/>
  <c r="AJ9" i="9"/>
  <c r="AK9" i="9"/>
  <c r="AL9" i="9"/>
  <c r="AM9" i="9"/>
  <c r="AN9" i="9"/>
  <c r="AO9" i="9"/>
  <c r="AP9" i="9"/>
  <c r="AQ9" i="9"/>
  <c r="AR9" i="9"/>
  <c r="AS9" i="9"/>
  <c r="AT9" i="9"/>
  <c r="AU9" i="9"/>
  <c r="E8" i="9"/>
  <c r="F8" i="9" s="1"/>
  <c r="H8" i="9"/>
  <c r="J8" i="9"/>
  <c r="O8" i="9"/>
  <c r="S8" i="9"/>
  <c r="T8" i="9"/>
  <c r="U8" i="9"/>
  <c r="V8" i="9"/>
  <c r="W8" i="9"/>
  <c r="X8" i="9"/>
  <c r="Y8" i="9"/>
  <c r="Z8" i="9"/>
  <c r="AA8" i="9"/>
  <c r="AB8" i="9"/>
  <c r="AC8" i="9"/>
  <c r="AD8" i="9"/>
  <c r="AE8" i="9"/>
  <c r="AF8" i="9"/>
  <c r="AG8" i="9"/>
  <c r="AH8" i="9"/>
  <c r="AI8" i="9"/>
  <c r="AJ8" i="9"/>
  <c r="AK8" i="9"/>
  <c r="AL8" i="9"/>
  <c r="AM8" i="9"/>
  <c r="AN8" i="9"/>
  <c r="AO8" i="9"/>
  <c r="AP8" i="9"/>
  <c r="AQ8" i="9"/>
  <c r="AR8" i="9"/>
  <c r="AS8" i="9"/>
  <c r="AT8" i="9"/>
  <c r="AU8" i="9"/>
  <c r="E7" i="9"/>
  <c r="K7" i="9" s="1"/>
  <c r="H7" i="9"/>
  <c r="J7" i="9"/>
  <c r="R7" i="9" s="1"/>
  <c r="O7" i="9"/>
  <c r="S7" i="9"/>
  <c r="T7" i="9"/>
  <c r="U7" i="9"/>
  <c r="V7" i="9"/>
  <c r="W7" i="9"/>
  <c r="X7" i="9"/>
  <c r="Y7" i="9"/>
  <c r="Z7" i="9"/>
  <c r="AA7" i="9"/>
  <c r="AB7" i="9"/>
  <c r="AC7" i="9"/>
  <c r="AD7" i="9"/>
  <c r="AE7" i="9"/>
  <c r="AF7" i="9"/>
  <c r="AG7" i="9"/>
  <c r="AH7" i="9"/>
  <c r="AI7" i="9"/>
  <c r="AJ7" i="9"/>
  <c r="AK7" i="9"/>
  <c r="AL7" i="9"/>
  <c r="AM7" i="9"/>
  <c r="AN7" i="9"/>
  <c r="AO7" i="9"/>
  <c r="AP7" i="9"/>
  <c r="AQ7" i="9"/>
  <c r="AR7" i="9"/>
  <c r="AS7" i="9"/>
  <c r="AT7" i="9"/>
  <c r="AU7" i="9"/>
  <c r="K6" i="9"/>
  <c r="O6" i="9"/>
  <c r="B103" i="7"/>
  <c r="F102" i="7"/>
  <c r="G102" i="7"/>
  <c r="H102" i="7" s="1"/>
  <c r="J102" i="7"/>
  <c r="F101" i="7"/>
  <c r="G101" i="7"/>
  <c r="H101" i="7" s="1"/>
  <c r="J101" i="7"/>
  <c r="H93" i="7"/>
  <c r="B92" i="7"/>
  <c r="F91" i="7"/>
  <c r="G91" i="7"/>
  <c r="H91" i="7" s="1"/>
  <c r="J91" i="7"/>
  <c r="F90" i="7"/>
  <c r="G90" i="7"/>
  <c r="H90" i="7" s="1"/>
  <c r="J90" i="7"/>
  <c r="B86" i="7"/>
  <c r="F85" i="7"/>
  <c r="G85" i="7"/>
  <c r="H85" i="7" s="1"/>
  <c r="E86" i="7" s="1"/>
  <c r="F86" i="7" s="1"/>
  <c r="L86" i="7" s="1"/>
  <c r="J85" i="7"/>
  <c r="B84" i="7"/>
  <c r="E83" i="7"/>
  <c r="K83" i="7" s="1"/>
  <c r="H83" i="7"/>
  <c r="J83" i="7"/>
  <c r="E82" i="7"/>
  <c r="F82" i="7" s="1"/>
  <c r="H82" i="7"/>
  <c r="J82" i="7"/>
  <c r="B77" i="7"/>
  <c r="F76" i="7"/>
  <c r="G76" i="7"/>
  <c r="H76" i="7" s="1"/>
  <c r="J76" i="7"/>
  <c r="K76" i="7"/>
  <c r="E75" i="7"/>
  <c r="K75" i="7" s="1"/>
  <c r="H75" i="7"/>
  <c r="E77" i="7" s="1"/>
  <c r="F77" i="7" s="1"/>
  <c r="L77" i="7" s="1"/>
  <c r="J75" i="7"/>
  <c r="B71" i="7"/>
  <c r="F70" i="7"/>
  <c r="G70" i="7"/>
  <c r="H70" i="7" s="1"/>
  <c r="J70" i="7"/>
  <c r="J72" i="7" s="1"/>
  <c r="J15" i="8" s="1"/>
  <c r="K15" i="8" s="1"/>
  <c r="I202" i="9" s="1"/>
  <c r="J202" i="9" s="1"/>
  <c r="R202" i="9" s="1"/>
  <c r="E69" i="7"/>
  <c r="F69" i="7" s="1"/>
  <c r="H69" i="7"/>
  <c r="J69" i="7"/>
  <c r="B65" i="7"/>
  <c r="F64" i="7"/>
  <c r="G64" i="7"/>
  <c r="H64" i="7" s="1"/>
  <c r="J64" i="7"/>
  <c r="E63" i="7"/>
  <c r="F63" i="7" s="1"/>
  <c r="H63" i="7"/>
  <c r="J63" i="7"/>
  <c r="F59" i="7"/>
  <c r="G59" i="7"/>
  <c r="K59" i="7" s="1"/>
  <c r="J59" i="7"/>
  <c r="F54" i="7"/>
  <c r="G54" i="7"/>
  <c r="H54" i="7" s="1"/>
  <c r="J54" i="7"/>
  <c r="K54" i="7"/>
  <c r="F53" i="7"/>
  <c r="F55" i="7" s="1"/>
  <c r="F12" i="8" s="1"/>
  <c r="G12" i="8" s="1"/>
  <c r="E151" i="9" s="1"/>
  <c r="F151" i="9" s="1"/>
  <c r="G53" i="7"/>
  <c r="H53" i="7" s="1"/>
  <c r="J53" i="7"/>
  <c r="J55" i="7" s="1"/>
  <c r="J12" i="8" s="1"/>
  <c r="K12" i="8" s="1"/>
  <c r="I151" i="9" s="1"/>
  <c r="J151" i="9" s="1"/>
  <c r="R151" i="9" s="1"/>
  <c r="B49" i="7"/>
  <c r="B48" i="7"/>
  <c r="F47" i="7"/>
  <c r="G47" i="7"/>
  <c r="H47" i="7" s="1"/>
  <c r="J47" i="7"/>
  <c r="F46" i="7"/>
  <c r="G46" i="7"/>
  <c r="K46" i="7" s="1"/>
  <c r="J46" i="7"/>
  <c r="F45" i="7"/>
  <c r="G45" i="7"/>
  <c r="H45" i="7" s="1"/>
  <c r="J45" i="7"/>
  <c r="F44" i="7"/>
  <c r="G44" i="7"/>
  <c r="K44" i="7" s="1"/>
  <c r="J44" i="7"/>
  <c r="F40" i="7"/>
  <c r="F41" i="7" s="1"/>
  <c r="F10" i="8" s="1"/>
  <c r="G10" i="8" s="1"/>
  <c r="E76" i="9" s="1"/>
  <c r="F76" i="9" s="1"/>
  <c r="G40" i="7"/>
  <c r="H40" i="7" s="1"/>
  <c r="J40" i="7"/>
  <c r="F39" i="7"/>
  <c r="G39" i="7"/>
  <c r="H39" i="7" s="1"/>
  <c r="J39" i="7"/>
  <c r="E34" i="7"/>
  <c r="F34" i="7" s="1"/>
  <c r="H34" i="7"/>
  <c r="J34" i="7"/>
  <c r="K34" i="7"/>
  <c r="E29" i="7"/>
  <c r="F29" i="7" s="1"/>
  <c r="H29" i="7"/>
  <c r="J29" i="7"/>
  <c r="E25" i="7"/>
  <c r="K25" i="7" s="1"/>
  <c r="H25" i="7"/>
  <c r="J25" i="7"/>
  <c r="B24" i="7"/>
  <c r="F23" i="7"/>
  <c r="G23" i="7"/>
  <c r="H23" i="7" s="1"/>
  <c r="J23" i="7"/>
  <c r="F22" i="7"/>
  <c r="G22" i="7"/>
  <c r="H22" i="7" s="1"/>
  <c r="E24" i="7" s="1"/>
  <c r="F24" i="7" s="1"/>
  <c r="J22" i="7"/>
  <c r="B18" i="7"/>
  <c r="F17" i="7"/>
  <c r="G17" i="7"/>
  <c r="H17" i="7" s="1"/>
  <c r="J17" i="7"/>
  <c r="F16" i="7"/>
  <c r="G16" i="7"/>
  <c r="H16" i="7" s="1"/>
  <c r="J16" i="7"/>
  <c r="J19" i="7" s="1"/>
  <c r="J6" i="8" s="1"/>
  <c r="K6" i="8" s="1"/>
  <c r="I11" i="9" s="1"/>
  <c r="J11" i="9" s="1"/>
  <c r="R11" i="9" s="1"/>
  <c r="B11" i="7"/>
  <c r="B10" i="7"/>
  <c r="F9" i="7"/>
  <c r="G9" i="7"/>
  <c r="H9" i="7" s="1"/>
  <c r="J9" i="7"/>
  <c r="F8" i="7"/>
  <c r="G8" i="7"/>
  <c r="H8" i="7" s="1"/>
  <c r="J8" i="7"/>
  <c r="F7" i="7"/>
  <c r="G7" i="7"/>
  <c r="H7" i="7" s="1"/>
  <c r="J7" i="7"/>
  <c r="F6" i="7"/>
  <c r="G6" i="7"/>
  <c r="H6" i="7" s="1"/>
  <c r="J6" i="7"/>
  <c r="L86" i="5"/>
  <c r="A86" i="5" s="1"/>
  <c r="A85" i="5"/>
  <c r="A84" i="5"/>
  <c r="A83" i="5"/>
  <c r="A82" i="5"/>
  <c r="A81" i="5"/>
  <c r="A80" i="5"/>
  <c r="L73" i="5"/>
  <c r="A73" i="5" s="1"/>
  <c r="A72" i="5"/>
  <c r="A71" i="5"/>
  <c r="A70" i="5"/>
  <c r="A69" i="5"/>
  <c r="A68" i="5"/>
  <c r="A54" i="5"/>
  <c r="A53" i="5"/>
  <c r="A52" i="5"/>
  <c r="A51" i="5"/>
  <c r="A50" i="5"/>
  <c r="A49" i="5"/>
  <c r="A48" i="5"/>
  <c r="L47" i="5"/>
  <c r="A47" i="5" s="1"/>
  <c r="A46" i="5"/>
  <c r="A45" i="5"/>
  <c r="A44" i="5"/>
  <c r="L43" i="5"/>
  <c r="A43" i="5" s="1"/>
  <c r="A42" i="5"/>
  <c r="A41" i="5"/>
  <c r="A40" i="5"/>
  <c r="A39" i="5"/>
  <c r="A35" i="5"/>
  <c r="O35" i="5"/>
  <c r="N34" i="5"/>
  <c r="A34" i="5" s="1"/>
  <c r="M33" i="5"/>
  <c r="A33" i="5" s="1"/>
  <c r="L32" i="5"/>
  <c r="A32" i="5" s="1"/>
  <c r="A31" i="5"/>
  <c r="A30" i="5"/>
  <c r="A29" i="5"/>
  <c r="A28" i="5"/>
  <c r="A27" i="5"/>
  <c r="N19" i="5"/>
  <c r="C19" i="5" s="1"/>
  <c r="E19" i="5" s="1"/>
  <c r="L13" i="5"/>
  <c r="A13" i="5" s="1"/>
  <c r="A12" i="5"/>
  <c r="A11" i="5"/>
  <c r="A10" i="5"/>
  <c r="A9" i="5"/>
  <c r="A8" i="5"/>
  <c r="F81" i="3"/>
  <c r="J81" i="3"/>
  <c r="K81" i="3"/>
  <c r="F80" i="3"/>
  <c r="G80" i="3"/>
  <c r="H80" i="3" s="1"/>
  <c r="L80" i="3" s="1"/>
  <c r="J80" i="3"/>
  <c r="F79" i="3"/>
  <c r="H79" i="3"/>
  <c r="J79" i="3"/>
  <c r="K79" i="3"/>
  <c r="K78" i="3"/>
  <c r="B77" i="3"/>
  <c r="E76" i="3"/>
  <c r="F76" i="3" s="1"/>
  <c r="H76" i="3"/>
  <c r="H78" i="3" s="1"/>
  <c r="J76" i="3"/>
  <c r="J78" i="3" s="1"/>
  <c r="F75" i="3"/>
  <c r="H75" i="3"/>
  <c r="J75" i="3"/>
  <c r="K75" i="3"/>
  <c r="H74" i="3"/>
  <c r="K74" i="3"/>
  <c r="F73" i="3"/>
  <c r="F74" i="3" s="1"/>
  <c r="H73" i="3"/>
  <c r="I73" i="3"/>
  <c r="J73" i="3" s="1"/>
  <c r="F72" i="3"/>
  <c r="H72" i="3"/>
  <c r="J72" i="3"/>
  <c r="K72" i="3"/>
  <c r="K68" i="3"/>
  <c r="F67" i="3"/>
  <c r="F68" i="3" s="1"/>
  <c r="G67" i="3"/>
  <c r="H67" i="3" s="1"/>
  <c r="J67" i="3"/>
  <c r="J68" i="3" s="1"/>
  <c r="F66" i="3"/>
  <c r="H66" i="3"/>
  <c r="J66" i="3"/>
  <c r="K66" i="3"/>
  <c r="H65" i="3"/>
  <c r="K65" i="3"/>
  <c r="B64" i="3"/>
  <c r="E63" i="3"/>
  <c r="F63" i="3" s="1"/>
  <c r="H63" i="3"/>
  <c r="J63" i="3"/>
  <c r="J65" i="3" s="1"/>
  <c r="F62" i="3"/>
  <c r="H62" i="3"/>
  <c r="J62" i="3"/>
  <c r="K62" i="3"/>
  <c r="K61" i="3"/>
  <c r="F60" i="3"/>
  <c r="F61" i="3" s="1"/>
  <c r="H60" i="3"/>
  <c r="H61" i="3" s="1"/>
  <c r="F59" i="3"/>
  <c r="H59" i="3"/>
  <c r="J59" i="3"/>
  <c r="K59" i="3"/>
  <c r="K55" i="3"/>
  <c r="F54" i="3"/>
  <c r="F55" i="3" s="1"/>
  <c r="G54" i="3"/>
  <c r="H54" i="3" s="1"/>
  <c r="J54" i="3"/>
  <c r="J55" i="3" s="1"/>
  <c r="F53" i="3"/>
  <c r="H53" i="3"/>
  <c r="J53" i="3"/>
  <c r="K53" i="3"/>
  <c r="K52" i="3"/>
  <c r="B51" i="3"/>
  <c r="E50" i="3"/>
  <c r="K50" i="3" s="1"/>
  <c r="H50" i="3"/>
  <c r="H52" i="3" s="1"/>
  <c r="J50" i="3"/>
  <c r="J52" i="3" s="1"/>
  <c r="F49" i="3"/>
  <c r="H49" i="3"/>
  <c r="J49" i="3"/>
  <c r="K49" i="3"/>
  <c r="K48" i="3"/>
  <c r="F47" i="3"/>
  <c r="F48" i="3" s="1"/>
  <c r="H47" i="3"/>
  <c r="H48" i="3" s="1"/>
  <c r="F46" i="3"/>
  <c r="H46" i="3"/>
  <c r="J46" i="3"/>
  <c r="K46" i="3"/>
  <c r="K41" i="3"/>
  <c r="F40" i="3"/>
  <c r="F41" i="3" s="1"/>
  <c r="G40" i="3"/>
  <c r="K40" i="3" s="1"/>
  <c r="J40" i="3"/>
  <c r="J41" i="3" s="1"/>
  <c r="F39" i="3"/>
  <c r="H39" i="3"/>
  <c r="J39" i="3"/>
  <c r="K39" i="3"/>
  <c r="H38" i="3"/>
  <c r="K38" i="3"/>
  <c r="B37" i="3"/>
  <c r="E36" i="3"/>
  <c r="K36" i="3" s="1"/>
  <c r="H36" i="3"/>
  <c r="J36" i="3"/>
  <c r="J38" i="3" s="1"/>
  <c r="F35" i="3"/>
  <c r="H35" i="3"/>
  <c r="J35" i="3"/>
  <c r="K35" i="3"/>
  <c r="K34" i="3"/>
  <c r="F33" i="3"/>
  <c r="F34" i="3" s="1"/>
  <c r="H33" i="3"/>
  <c r="H34" i="3" s="1"/>
  <c r="F32" i="3"/>
  <c r="H32" i="3"/>
  <c r="J32" i="3"/>
  <c r="K32" i="3"/>
  <c r="K28" i="3"/>
  <c r="F27" i="3"/>
  <c r="F28" i="3" s="1"/>
  <c r="G27" i="3"/>
  <c r="H27" i="3" s="1"/>
  <c r="H28" i="3" s="1"/>
  <c r="J27" i="3"/>
  <c r="J28" i="3" s="1"/>
  <c r="F26" i="3"/>
  <c r="H26" i="3"/>
  <c r="J26" i="3"/>
  <c r="K26" i="3"/>
  <c r="K25" i="3"/>
  <c r="B24" i="3"/>
  <c r="E23" i="3"/>
  <c r="F23" i="3" s="1"/>
  <c r="H23" i="3"/>
  <c r="H25" i="3" s="1"/>
  <c r="J23" i="3"/>
  <c r="J25" i="3" s="1"/>
  <c r="F22" i="3"/>
  <c r="H22" i="3"/>
  <c r="J22" i="3"/>
  <c r="K22" i="3"/>
  <c r="K21" i="3"/>
  <c r="F20" i="3"/>
  <c r="F21" i="3" s="1"/>
  <c r="H20" i="3"/>
  <c r="H21" i="3" s="1"/>
  <c r="F19" i="3"/>
  <c r="H19" i="3"/>
  <c r="J19" i="3"/>
  <c r="K19" i="3"/>
  <c r="F15" i="3"/>
  <c r="K15" i="3"/>
  <c r="F14" i="3"/>
  <c r="G14" i="3"/>
  <c r="H14" i="3" s="1"/>
  <c r="H15" i="3" s="1"/>
  <c r="J14" i="3"/>
  <c r="J15" i="3" s="1"/>
  <c r="F13" i="3"/>
  <c r="H13" i="3"/>
  <c r="J13" i="3"/>
  <c r="K13" i="3"/>
  <c r="K12" i="3"/>
  <c r="B11" i="3"/>
  <c r="E10" i="3"/>
  <c r="F10" i="3" s="1"/>
  <c r="H10" i="3"/>
  <c r="H12" i="3" s="1"/>
  <c r="J10" i="3"/>
  <c r="J12" i="3" s="1"/>
  <c r="F9" i="3"/>
  <c r="H9" i="3"/>
  <c r="J9" i="3"/>
  <c r="K9" i="3"/>
  <c r="F8" i="3"/>
  <c r="K8" i="3"/>
  <c r="F7" i="3"/>
  <c r="H7" i="3"/>
  <c r="F6" i="3"/>
  <c r="H6" i="3"/>
  <c r="J6" i="3"/>
  <c r="K6" i="3"/>
  <c r="N161" i="2"/>
  <c r="I60" i="3" s="1"/>
  <c r="K60" i="3" s="1"/>
  <c r="N160" i="2"/>
  <c r="I47" i="3" s="1"/>
  <c r="N159" i="2"/>
  <c r="I33" i="3" s="1"/>
  <c r="J33" i="3" s="1"/>
  <c r="N158" i="2"/>
  <c r="I7" i="3" s="1"/>
  <c r="N157" i="2"/>
  <c r="I20" i="3" s="1"/>
  <c r="J20" i="3" s="1"/>
  <c r="N156" i="2"/>
  <c r="E18" i="7" l="1"/>
  <c r="F18" i="7" s="1"/>
  <c r="K45" i="7"/>
  <c r="L117" i="9"/>
  <c r="L200" i="9"/>
  <c r="L142" i="9"/>
  <c r="AQ215" i="9"/>
  <c r="AQ9" i="10" s="1"/>
  <c r="AE215" i="9"/>
  <c r="AE9" i="10" s="1"/>
  <c r="S215" i="9"/>
  <c r="S9" i="10" s="1"/>
  <c r="J87" i="7"/>
  <c r="J17" i="8" s="1"/>
  <c r="K17" i="8" s="1"/>
  <c r="I204" i="9" s="1"/>
  <c r="J204" i="9" s="1"/>
  <c r="R204" i="9" s="1"/>
  <c r="J93" i="7"/>
  <c r="J18" i="8" s="1"/>
  <c r="K18" i="8" s="1"/>
  <c r="I96" i="7" s="1"/>
  <c r="J96" i="7" s="1"/>
  <c r="J97" i="7" s="1"/>
  <c r="J19" i="8" s="1"/>
  <c r="K19" i="8" s="1"/>
  <c r="L29" i="7"/>
  <c r="K63" i="7"/>
  <c r="L22" i="7"/>
  <c r="E10" i="7"/>
  <c r="F10" i="7" s="1"/>
  <c r="L69" i="7"/>
  <c r="J66" i="7"/>
  <c r="J14" i="8" s="1"/>
  <c r="K14" i="8" s="1"/>
  <c r="I201" i="9" s="1"/>
  <c r="J201" i="9" s="1"/>
  <c r="H87" i="7"/>
  <c r="H17" i="8" s="1"/>
  <c r="I17" i="8" s="1"/>
  <c r="G204" i="9" s="1"/>
  <c r="H204" i="9" s="1"/>
  <c r="E92" i="7"/>
  <c r="F92" i="7" s="1"/>
  <c r="L92" i="7" s="1"/>
  <c r="L34" i="7"/>
  <c r="J50" i="7"/>
  <c r="J11" i="8" s="1"/>
  <c r="K11" i="8" s="1"/>
  <c r="I150" i="9" s="1"/>
  <c r="J150" i="9" s="1"/>
  <c r="J122" i="9" s="1"/>
  <c r="J41" i="7"/>
  <c r="J10" i="8" s="1"/>
  <c r="K10" i="8" s="1"/>
  <c r="I76" i="9" s="1"/>
  <c r="J76" i="9" s="1"/>
  <c r="R76" i="9" s="1"/>
  <c r="L63" i="7"/>
  <c r="J78" i="7"/>
  <c r="J16" i="8" s="1"/>
  <c r="K16" i="8" s="1"/>
  <c r="I203" i="9" s="1"/>
  <c r="J203" i="9" s="1"/>
  <c r="R203" i="9" s="1"/>
  <c r="L17" i="7"/>
  <c r="F25" i="7"/>
  <c r="L25" i="7" s="1"/>
  <c r="K40" i="7"/>
  <c r="H19" i="7"/>
  <c r="H6" i="8" s="1"/>
  <c r="I6" i="8" s="1"/>
  <c r="G11" i="9" s="1"/>
  <c r="H11" i="9" s="1"/>
  <c r="J26" i="7"/>
  <c r="J7" i="8" s="1"/>
  <c r="K7" i="8" s="1"/>
  <c r="I12" i="9" s="1"/>
  <c r="J12" i="9" s="1"/>
  <c r="R12" i="9" s="1"/>
  <c r="H78" i="7"/>
  <c r="H16" i="8" s="1"/>
  <c r="I16" i="8" s="1"/>
  <c r="G203" i="9" s="1"/>
  <c r="H203" i="9" s="1"/>
  <c r="B33" i="5"/>
  <c r="L55" i="5"/>
  <c r="C34" i="5"/>
  <c r="D35" i="5"/>
  <c r="L53" i="3"/>
  <c r="L19" i="3"/>
  <c r="K111" i="9"/>
  <c r="F140" i="9"/>
  <c r="L140" i="9" s="1"/>
  <c r="L70" i="9"/>
  <c r="L57" i="9"/>
  <c r="F139" i="9"/>
  <c r="L139" i="9" s="1"/>
  <c r="L134" i="9"/>
  <c r="F138" i="9"/>
  <c r="L138" i="9" s="1"/>
  <c r="L110" i="9"/>
  <c r="K142" i="9"/>
  <c r="L175" i="9"/>
  <c r="L98" i="9"/>
  <c r="L102" i="9"/>
  <c r="L54" i="9"/>
  <c r="K132" i="9"/>
  <c r="K189" i="9"/>
  <c r="L44" i="9"/>
  <c r="L56" i="9"/>
  <c r="F72" i="9"/>
  <c r="L72" i="9" s="1"/>
  <c r="K98" i="9"/>
  <c r="K161" i="9"/>
  <c r="L166" i="9"/>
  <c r="L187" i="9"/>
  <c r="L165" i="9"/>
  <c r="L141" i="9"/>
  <c r="F192" i="9"/>
  <c r="L192" i="9" s="1"/>
  <c r="L89" i="9"/>
  <c r="F27" i="9"/>
  <c r="L27" i="9" s="1"/>
  <c r="K179" i="9"/>
  <c r="F91" i="9"/>
  <c r="L91" i="9" s="1"/>
  <c r="K43" i="9"/>
  <c r="K163" i="9"/>
  <c r="L30" i="9"/>
  <c r="L95" i="9"/>
  <c r="L133" i="9"/>
  <c r="K24" i="9"/>
  <c r="F173" i="9"/>
  <c r="L173" i="9" s="1"/>
  <c r="L88" i="9"/>
  <c r="L100" i="9"/>
  <c r="K114" i="9"/>
  <c r="Y158" i="9"/>
  <c r="Y7" i="10" s="1"/>
  <c r="L132" i="9"/>
  <c r="L145" i="9"/>
  <c r="L164" i="9"/>
  <c r="L180" i="9"/>
  <c r="L26" i="9"/>
  <c r="K45" i="9"/>
  <c r="F61" i="9"/>
  <c r="L61" i="9" s="1"/>
  <c r="F92" i="9"/>
  <c r="L92" i="9" s="1"/>
  <c r="L50" i="9"/>
  <c r="K59" i="9"/>
  <c r="L71" i="9"/>
  <c r="L87" i="9"/>
  <c r="L144" i="9"/>
  <c r="L149" i="9"/>
  <c r="L127" i="9"/>
  <c r="W120" i="9"/>
  <c r="W6" i="10" s="1"/>
  <c r="AP215" i="9"/>
  <c r="AP9" i="10" s="1"/>
  <c r="L45" i="9"/>
  <c r="F86" i="9"/>
  <c r="L86" i="9" s="1"/>
  <c r="L97" i="9"/>
  <c r="L143" i="9"/>
  <c r="AN196" i="9"/>
  <c r="AN8" i="10" s="1"/>
  <c r="AB196" i="9"/>
  <c r="AB8" i="10" s="1"/>
  <c r="F172" i="9"/>
  <c r="L172" i="9" s="1"/>
  <c r="AS215" i="9"/>
  <c r="AS9" i="10" s="1"/>
  <c r="AG215" i="9"/>
  <c r="AG9" i="10" s="1"/>
  <c r="U215" i="9"/>
  <c r="U9" i="10" s="1"/>
  <c r="L41" i="9"/>
  <c r="L62" i="9"/>
  <c r="L136" i="9"/>
  <c r="L29" i="9"/>
  <c r="K75" i="9"/>
  <c r="K95" i="9"/>
  <c r="F125" i="9"/>
  <c r="L125" i="9" s="1"/>
  <c r="K141" i="9"/>
  <c r="K106" i="9"/>
  <c r="K146" i="9"/>
  <c r="L23" i="9"/>
  <c r="F33" i="9"/>
  <c r="L33" i="9" s="1"/>
  <c r="K63" i="9"/>
  <c r="F64" i="9"/>
  <c r="L64" i="9" s="1"/>
  <c r="F69" i="9"/>
  <c r="L69" i="9" s="1"/>
  <c r="K84" i="9"/>
  <c r="F124" i="9"/>
  <c r="L124" i="9" s="1"/>
  <c r="K100" i="9"/>
  <c r="AO215" i="9"/>
  <c r="AO9" i="10" s="1"/>
  <c r="AC215" i="9"/>
  <c r="AC9" i="10" s="1"/>
  <c r="L109" i="9"/>
  <c r="F32" i="9"/>
  <c r="L32" i="9" s="1"/>
  <c r="L43" i="9"/>
  <c r="K51" i="9"/>
  <c r="K62" i="9"/>
  <c r="K67" i="9"/>
  <c r="K73" i="9"/>
  <c r="K104" i="9"/>
  <c r="L106" i="9"/>
  <c r="L111" i="9"/>
  <c r="L116" i="9"/>
  <c r="AM158" i="9"/>
  <c r="AM7" i="10" s="1"/>
  <c r="AA158" i="9"/>
  <c r="AA7" i="10" s="1"/>
  <c r="F123" i="9"/>
  <c r="L123" i="9" s="1"/>
  <c r="L128" i="9"/>
  <c r="K185" i="9"/>
  <c r="K190" i="9"/>
  <c r="AV23" i="10"/>
  <c r="F38" i="9"/>
  <c r="L38" i="9" s="1"/>
  <c r="F39" i="9"/>
  <c r="L39" i="9" s="1"/>
  <c r="F40" i="9"/>
  <c r="L40" i="9" s="1"/>
  <c r="L47" i="9"/>
  <c r="L68" i="9"/>
  <c r="L75" i="9"/>
  <c r="AK120" i="9"/>
  <c r="AK6" i="10" s="1"/>
  <c r="L115" i="9"/>
  <c r="AL158" i="9"/>
  <c r="AL7" i="10" s="1"/>
  <c r="Z158" i="9"/>
  <c r="Z7" i="10" s="1"/>
  <c r="L131" i="9"/>
  <c r="F147" i="9"/>
  <c r="L147" i="9" s="1"/>
  <c r="L163" i="9"/>
  <c r="F169" i="9"/>
  <c r="L169" i="9" s="1"/>
  <c r="F170" i="9"/>
  <c r="L170" i="9" s="1"/>
  <c r="F171" i="9"/>
  <c r="L171" i="9" s="1"/>
  <c r="L179" i="9"/>
  <c r="L186" i="9"/>
  <c r="L168" i="9"/>
  <c r="Y196" i="9"/>
  <c r="Y8" i="10" s="1"/>
  <c r="L101" i="9"/>
  <c r="F19" i="9"/>
  <c r="L25" i="9"/>
  <c r="L46" i="9"/>
  <c r="L67" i="9"/>
  <c r="L74" i="9"/>
  <c r="L84" i="9"/>
  <c r="F99" i="9"/>
  <c r="L99" i="9" s="1"/>
  <c r="F107" i="9"/>
  <c r="L107" i="9" s="1"/>
  <c r="L114" i="9"/>
  <c r="L130" i="9"/>
  <c r="L135" i="9"/>
  <c r="L146" i="9"/>
  <c r="AK196" i="9"/>
  <c r="AK8" i="10" s="1"/>
  <c r="L167" i="9"/>
  <c r="F177" i="9"/>
  <c r="L177" i="9" s="1"/>
  <c r="L185" i="9"/>
  <c r="L191" i="9"/>
  <c r="L108" i="9"/>
  <c r="W80" i="9"/>
  <c r="W5" i="10" s="1"/>
  <c r="L58" i="9"/>
  <c r="L66" i="9"/>
  <c r="AM120" i="9"/>
  <c r="AM6" i="10" s="1"/>
  <c r="AA120" i="9"/>
  <c r="AA6" i="10" s="1"/>
  <c r="AO120" i="9"/>
  <c r="AO6" i="10" s="1"/>
  <c r="AC120" i="9"/>
  <c r="AC6" i="10" s="1"/>
  <c r="K89" i="9"/>
  <c r="L113" i="9"/>
  <c r="F129" i="9"/>
  <c r="L129" i="9" s="1"/>
  <c r="L184" i="9"/>
  <c r="L8" i="9"/>
  <c r="K50" i="9"/>
  <c r="L73" i="9"/>
  <c r="K88" i="9"/>
  <c r="L90" i="9"/>
  <c r="AT158" i="9"/>
  <c r="AT7" i="10" s="1"/>
  <c r="AH158" i="9"/>
  <c r="AH7" i="10" s="1"/>
  <c r="AU196" i="9"/>
  <c r="AU8" i="10" s="1"/>
  <c r="AI196" i="9"/>
  <c r="AI8" i="10" s="1"/>
  <c r="V196" i="9"/>
  <c r="V8" i="10" s="1"/>
  <c r="K199" i="9"/>
  <c r="Y215" i="9"/>
  <c r="Y9" i="10" s="1"/>
  <c r="L53" i="9"/>
  <c r="L85" i="9"/>
  <c r="L24" i="9"/>
  <c r="L51" i="9"/>
  <c r="F65" i="9"/>
  <c r="L65" i="9" s="1"/>
  <c r="L105" i="9"/>
  <c r="L112" i="9"/>
  <c r="AS158" i="9"/>
  <c r="AS7" i="10" s="1"/>
  <c r="AG158" i="9"/>
  <c r="AG7" i="10" s="1"/>
  <c r="U158" i="9"/>
  <c r="U7" i="10" s="1"/>
  <c r="K143" i="9"/>
  <c r="AT196" i="9"/>
  <c r="AT8" i="10" s="1"/>
  <c r="AH196" i="9"/>
  <c r="AH8" i="10" s="1"/>
  <c r="L176" i="9"/>
  <c r="L183" i="9"/>
  <c r="L189" i="9"/>
  <c r="L190" i="9"/>
  <c r="AD215" i="9"/>
  <c r="AD9" i="10" s="1"/>
  <c r="L60" i="9"/>
  <c r="AN80" i="9"/>
  <c r="AN5" i="10" s="1"/>
  <c r="AB80" i="9"/>
  <c r="AB5" i="10" s="1"/>
  <c r="AJ120" i="9"/>
  <c r="AJ6" i="10" s="1"/>
  <c r="X120" i="9"/>
  <c r="X6" i="10" s="1"/>
  <c r="F96" i="9"/>
  <c r="L96" i="9" s="1"/>
  <c r="AR158" i="9"/>
  <c r="AR7" i="10" s="1"/>
  <c r="AF158" i="9"/>
  <c r="AF7" i="10" s="1"/>
  <c r="T158" i="9"/>
  <c r="T7" i="10" s="1"/>
  <c r="AS196" i="9"/>
  <c r="AS8" i="10" s="1"/>
  <c r="AG196" i="9"/>
  <c r="AG8" i="10" s="1"/>
  <c r="U196" i="9"/>
  <c r="U8" i="10" s="1"/>
  <c r="L188" i="9"/>
  <c r="AL215" i="9"/>
  <c r="AL9" i="10" s="1"/>
  <c r="Z215" i="9"/>
  <c r="Z9" i="10" s="1"/>
  <c r="W215" i="9"/>
  <c r="W9" i="10" s="1"/>
  <c r="L162" i="9"/>
  <c r="L104" i="9"/>
  <c r="L182" i="9"/>
  <c r="V215" i="9"/>
  <c r="V9" i="10" s="1"/>
  <c r="AK158" i="9"/>
  <c r="AK7" i="10" s="1"/>
  <c r="F22" i="9"/>
  <c r="L22" i="9" s="1"/>
  <c r="L28" i="9"/>
  <c r="F34" i="9"/>
  <c r="L34" i="9" s="1"/>
  <c r="F49" i="9"/>
  <c r="L49" i="9" s="1"/>
  <c r="K54" i="9"/>
  <c r="AT120" i="9"/>
  <c r="AT6" i="10" s="1"/>
  <c r="AH120" i="9"/>
  <c r="AH6" i="10" s="1"/>
  <c r="AQ120" i="9"/>
  <c r="AQ6" i="10" s="1"/>
  <c r="AE120" i="9"/>
  <c r="AE6" i="10" s="1"/>
  <c r="S120" i="9"/>
  <c r="S6" i="10" s="1"/>
  <c r="K102" i="9"/>
  <c r="L103" i="9"/>
  <c r="AP158" i="9"/>
  <c r="AP7" i="10" s="1"/>
  <c r="AD158" i="9"/>
  <c r="AD7" i="10" s="1"/>
  <c r="AQ196" i="9"/>
  <c r="AQ8" i="10" s="1"/>
  <c r="AE196" i="9"/>
  <c r="AE8" i="10" s="1"/>
  <c r="S196" i="9"/>
  <c r="S8" i="10" s="1"/>
  <c r="F174" i="9"/>
  <c r="L174" i="9" s="1"/>
  <c r="K180" i="9"/>
  <c r="F181" i="9"/>
  <c r="L181" i="9" s="1"/>
  <c r="AJ215" i="9"/>
  <c r="AJ9" i="10" s="1"/>
  <c r="X215" i="9"/>
  <c r="X9" i="10" s="1"/>
  <c r="L42" i="9"/>
  <c r="L55" i="9"/>
  <c r="L63" i="9"/>
  <c r="K68" i="9"/>
  <c r="AU120" i="9"/>
  <c r="AU6" i="10" s="1"/>
  <c r="AI120" i="9"/>
  <c r="AI6" i="10" s="1"/>
  <c r="AO158" i="9"/>
  <c r="AO7" i="10" s="1"/>
  <c r="AC158" i="9"/>
  <c r="AC7" i="10" s="1"/>
  <c r="K131" i="9"/>
  <c r="F137" i="9"/>
  <c r="L137" i="9" s="1"/>
  <c r="W158" i="9"/>
  <c r="W7" i="10" s="1"/>
  <c r="AP196" i="9"/>
  <c r="AP8" i="10" s="1"/>
  <c r="AD196" i="9"/>
  <c r="AD8" i="10" s="1"/>
  <c r="L48" i="9"/>
  <c r="AR120" i="9"/>
  <c r="AR6" i="10" s="1"/>
  <c r="AF120" i="9"/>
  <c r="AF6" i="10" s="1"/>
  <c r="T120" i="9"/>
  <c r="T6" i="10" s="1"/>
  <c r="K85" i="9"/>
  <c r="K101" i="9"/>
  <c r="L148" i="9"/>
  <c r="V158" i="9"/>
  <c r="V7" i="10" s="1"/>
  <c r="K162" i="9"/>
  <c r="K168" i="9"/>
  <c r="AT215" i="9"/>
  <c r="AT9" i="10" s="1"/>
  <c r="AH215" i="9"/>
  <c r="AH9" i="10" s="1"/>
  <c r="E65" i="7"/>
  <c r="F65" i="7" s="1"/>
  <c r="L65" i="7" s="1"/>
  <c r="H66" i="7"/>
  <c r="H14" i="8" s="1"/>
  <c r="I14" i="8" s="1"/>
  <c r="G201" i="9" s="1"/>
  <c r="H201" i="9" s="1"/>
  <c r="AU215" i="9"/>
  <c r="AU9" i="10" s="1"/>
  <c r="AI215" i="9"/>
  <c r="AI9" i="10" s="1"/>
  <c r="L23" i="7"/>
  <c r="AQ158" i="9"/>
  <c r="AQ7" i="10" s="1"/>
  <c r="AE158" i="9"/>
  <c r="AE7" i="10" s="1"/>
  <c r="S158" i="9"/>
  <c r="S7" i="10" s="1"/>
  <c r="L54" i="7"/>
  <c r="K64" i="7"/>
  <c r="AS120" i="9"/>
  <c r="AS6" i="10" s="1"/>
  <c r="AG120" i="9"/>
  <c r="AG6" i="10" s="1"/>
  <c r="U120" i="9"/>
  <c r="U6" i="10" s="1"/>
  <c r="AL80" i="9"/>
  <c r="AL5" i="10" s="1"/>
  <c r="Z80" i="9"/>
  <c r="Z5" i="10" s="1"/>
  <c r="AL196" i="9"/>
  <c r="AL8" i="10" s="1"/>
  <c r="Z196" i="9"/>
  <c r="Z8" i="10" s="1"/>
  <c r="AR215" i="9"/>
  <c r="AR9" i="10" s="1"/>
  <c r="AF215" i="9"/>
  <c r="AF9" i="10" s="1"/>
  <c r="T215" i="9"/>
  <c r="T9" i="10" s="1"/>
  <c r="AN158" i="9"/>
  <c r="AN7" i="10" s="1"/>
  <c r="AB158" i="9"/>
  <c r="AB7" i="10" s="1"/>
  <c r="W196" i="9"/>
  <c r="W8" i="10" s="1"/>
  <c r="K53" i="7"/>
  <c r="H59" i="7"/>
  <c r="L64" i="7"/>
  <c r="Y120" i="9"/>
  <c r="Y6" i="10" s="1"/>
  <c r="E103" i="7"/>
  <c r="F103" i="7" s="1"/>
  <c r="L103" i="7" s="1"/>
  <c r="AN215" i="9"/>
  <c r="AN9" i="10" s="1"/>
  <c r="AB215" i="9"/>
  <c r="AB9" i="10" s="1"/>
  <c r="H55" i="7"/>
  <c r="H12" i="8" s="1"/>
  <c r="I12" i="8" s="1"/>
  <c r="Y80" i="9"/>
  <c r="Y5" i="10" s="1"/>
  <c r="AJ158" i="9"/>
  <c r="AJ7" i="10" s="1"/>
  <c r="X158" i="9"/>
  <c r="X7" i="10" s="1"/>
  <c r="AM215" i="9"/>
  <c r="AM9" i="10" s="1"/>
  <c r="AA215" i="9"/>
  <c r="AA9" i="10" s="1"/>
  <c r="E11" i="7"/>
  <c r="F11" i="7" s="1"/>
  <c r="L11" i="7" s="1"/>
  <c r="H41" i="7"/>
  <c r="H10" i="8" s="1"/>
  <c r="I10" i="8" s="1"/>
  <c r="G76" i="9" s="1"/>
  <c r="H76" i="9" s="1"/>
  <c r="L76" i="9" s="1"/>
  <c r="H46" i="7"/>
  <c r="L46" i="7" s="1"/>
  <c r="AL120" i="9"/>
  <c r="AL6" i="10" s="1"/>
  <c r="Z120" i="9"/>
  <c r="Z6" i="10" s="1"/>
  <c r="V120" i="9"/>
  <c r="V6" i="10" s="1"/>
  <c r="AU158" i="9"/>
  <c r="AU7" i="10" s="1"/>
  <c r="AI158" i="9"/>
  <c r="AI7" i="10" s="1"/>
  <c r="AR196" i="9"/>
  <c r="AR8" i="10" s="1"/>
  <c r="AF196" i="9"/>
  <c r="AF8" i="10" s="1"/>
  <c r="T196" i="9"/>
  <c r="T8" i="10" s="1"/>
  <c r="AK215" i="9"/>
  <c r="AK9" i="10" s="1"/>
  <c r="V80" i="9"/>
  <c r="V5" i="10" s="1"/>
  <c r="L10" i="3"/>
  <c r="L22" i="3"/>
  <c r="L26" i="3"/>
  <c r="L79" i="3"/>
  <c r="H16" i="3"/>
  <c r="H5" i="4" s="1"/>
  <c r="I5" i="4" s="1"/>
  <c r="G58" i="7" s="1"/>
  <c r="H58" i="7" s="1"/>
  <c r="AK80" i="9"/>
  <c r="AK5" i="10" s="1"/>
  <c r="K23" i="3"/>
  <c r="L63" i="3"/>
  <c r="AJ80" i="9"/>
  <c r="AJ5" i="10" s="1"/>
  <c r="X80" i="9"/>
  <c r="X5" i="10" s="1"/>
  <c r="AJ196" i="9"/>
  <c r="AJ8" i="10" s="1"/>
  <c r="X196" i="9"/>
  <c r="X8" i="10" s="1"/>
  <c r="H8" i="3"/>
  <c r="L59" i="3"/>
  <c r="L72" i="3"/>
  <c r="AR80" i="9"/>
  <c r="AR5" i="10" s="1"/>
  <c r="AF80" i="9"/>
  <c r="AF5" i="10" s="1"/>
  <c r="T80" i="9"/>
  <c r="T5" i="10" s="1"/>
  <c r="L13" i="3"/>
  <c r="K54" i="3"/>
  <c r="K14" i="3"/>
  <c r="AP80" i="9"/>
  <c r="AP5" i="10" s="1"/>
  <c r="AD80" i="9"/>
  <c r="AD5" i="10" s="1"/>
  <c r="H56" i="3"/>
  <c r="H8" i="4" s="1"/>
  <c r="I8" i="4" s="1"/>
  <c r="N79" i="5" s="1"/>
  <c r="C88" i="5" s="1"/>
  <c r="AO196" i="9"/>
  <c r="AO8" i="10" s="1"/>
  <c r="AC196" i="9"/>
  <c r="AC8" i="10" s="1"/>
  <c r="L32" i="3"/>
  <c r="J82" i="3"/>
  <c r="J10" i="4" s="1"/>
  <c r="K10" i="4" s="1"/>
  <c r="I104" i="7" s="1"/>
  <c r="J104" i="7" s="1"/>
  <c r="J105" i="7" s="1"/>
  <c r="J20" i="8" s="1"/>
  <c r="K20" i="8" s="1"/>
  <c r="O103" i="5" s="1"/>
  <c r="O106" i="5" s="1"/>
  <c r="A106" i="5" s="1"/>
  <c r="AM196" i="9"/>
  <c r="AM8" i="10" s="1"/>
  <c r="AA196" i="9"/>
  <c r="AA8" i="10" s="1"/>
  <c r="F36" i="3"/>
  <c r="L36" i="3" s="1"/>
  <c r="L62" i="3"/>
  <c r="L66" i="3"/>
  <c r="L76" i="3"/>
  <c r="AP120" i="9"/>
  <c r="AP6" i="10" s="1"/>
  <c r="AD120" i="9"/>
  <c r="AD6" i="10" s="1"/>
  <c r="AT80" i="9"/>
  <c r="AT5" i="10" s="1"/>
  <c r="AH80" i="9"/>
  <c r="AH5" i="10" s="1"/>
  <c r="L9" i="3"/>
  <c r="AS80" i="9"/>
  <c r="AS5" i="10" s="1"/>
  <c r="AG80" i="9"/>
  <c r="AG5" i="10" s="1"/>
  <c r="U80" i="9"/>
  <c r="U5" i="10" s="1"/>
  <c r="AN120" i="9"/>
  <c r="AN6" i="10" s="1"/>
  <c r="AB120" i="9"/>
  <c r="AB6" i="10" s="1"/>
  <c r="L49" i="3"/>
  <c r="E64" i="3"/>
  <c r="K64" i="3" s="1"/>
  <c r="AQ80" i="9"/>
  <c r="AQ5" i="10" s="1"/>
  <c r="AE80" i="9"/>
  <c r="AE5" i="10" s="1"/>
  <c r="S80" i="9"/>
  <c r="S5" i="10" s="1"/>
  <c r="L6" i="3"/>
  <c r="AO80" i="9"/>
  <c r="AO5" i="10" s="1"/>
  <c r="AC80" i="9"/>
  <c r="AC5" i="10" s="1"/>
  <c r="L46" i="3"/>
  <c r="L75" i="3"/>
  <c r="AM80" i="9"/>
  <c r="AM5" i="10" s="1"/>
  <c r="AA80" i="9"/>
  <c r="AA5" i="10" s="1"/>
  <c r="L35" i="3"/>
  <c r="L39" i="3"/>
  <c r="K76" i="3"/>
  <c r="AU80" i="9"/>
  <c r="AU5" i="10" s="1"/>
  <c r="AI80" i="9"/>
  <c r="AI5" i="10" s="1"/>
  <c r="J42" i="3"/>
  <c r="J7" i="4" s="1"/>
  <c r="K7" i="4" s="1"/>
  <c r="O38" i="5" s="1"/>
  <c r="J34" i="3"/>
  <c r="L34" i="3" s="1"/>
  <c r="L24" i="7"/>
  <c r="F26" i="7"/>
  <c r="J7" i="3"/>
  <c r="L7" i="3" s="1"/>
  <c r="K7" i="3"/>
  <c r="H68" i="3"/>
  <c r="L68" i="3" s="1"/>
  <c r="H69" i="3"/>
  <c r="H9" i="4" s="1"/>
  <c r="I9" i="4" s="1"/>
  <c r="G12" i="7" s="1"/>
  <c r="H12" i="7" s="1"/>
  <c r="H13" i="7" s="1"/>
  <c r="H5" i="8" s="1"/>
  <c r="L10" i="7"/>
  <c r="L23" i="3"/>
  <c r="E24" i="3"/>
  <c r="K24" i="3" s="1"/>
  <c r="K47" i="3"/>
  <c r="J47" i="3"/>
  <c r="L47" i="3" s="1"/>
  <c r="L82" i="7"/>
  <c r="E84" i="7"/>
  <c r="F84" i="7" s="1"/>
  <c r="L84" i="7" s="1"/>
  <c r="L12" i="8"/>
  <c r="L18" i="7"/>
  <c r="F19" i="7"/>
  <c r="L20" i="3"/>
  <c r="J29" i="3"/>
  <c r="J6" i="4" s="1"/>
  <c r="K6" i="4" s="1"/>
  <c r="J21" i="3"/>
  <c r="L21" i="3" s="1"/>
  <c r="E71" i="7"/>
  <c r="H72" i="7"/>
  <c r="H15" i="8" s="1"/>
  <c r="I15" i="8" s="1"/>
  <c r="G202" i="9" s="1"/>
  <c r="H202" i="9" s="1"/>
  <c r="E11" i="3"/>
  <c r="F11" i="3" s="1"/>
  <c r="L11" i="3" s="1"/>
  <c r="L14" i="3"/>
  <c r="H29" i="3"/>
  <c r="H6" i="4" s="1"/>
  <c r="J74" i="3"/>
  <c r="L74" i="3" s="1"/>
  <c r="L40" i="7"/>
  <c r="L53" i="7"/>
  <c r="F83" i="7"/>
  <c r="L83" i="7" s="1"/>
  <c r="K200" i="9"/>
  <c r="H81" i="3"/>
  <c r="L81" i="3" s="1"/>
  <c r="F35" i="9"/>
  <c r="L35" i="9" s="1"/>
  <c r="F36" i="9"/>
  <c r="L36" i="9" s="1"/>
  <c r="F37" i="9"/>
  <c r="L37" i="9" s="1"/>
  <c r="F93" i="9"/>
  <c r="L93" i="9" s="1"/>
  <c r="K70" i="7"/>
  <c r="K91" i="7"/>
  <c r="K8" i="9"/>
  <c r="K167" i="9"/>
  <c r="K184" i="9"/>
  <c r="L15" i="3"/>
  <c r="L54" i="3"/>
  <c r="K67" i="3"/>
  <c r="H82" i="3"/>
  <c r="H10" i="4" s="1"/>
  <c r="I10" i="4" s="1"/>
  <c r="G104" i="7" s="1"/>
  <c r="H104" i="7" s="1"/>
  <c r="H105" i="7" s="1"/>
  <c r="H20" i="8" s="1"/>
  <c r="I20" i="8" s="1"/>
  <c r="N103" i="5" s="1"/>
  <c r="K22" i="7"/>
  <c r="L59" i="7"/>
  <c r="K82" i="7"/>
  <c r="K102" i="7"/>
  <c r="K30" i="9"/>
  <c r="K53" i="9"/>
  <c r="K70" i="9"/>
  <c r="K87" i="9"/>
  <c r="K117" i="9"/>
  <c r="K136" i="9"/>
  <c r="K183" i="9"/>
  <c r="K191" i="9"/>
  <c r="K47" i="7"/>
  <c r="F75" i="7"/>
  <c r="F9" i="9"/>
  <c r="L9" i="9" s="1"/>
  <c r="K29" i="9"/>
  <c r="F31" i="9"/>
  <c r="L31" i="9" s="1"/>
  <c r="K44" i="9"/>
  <c r="K60" i="9"/>
  <c r="K116" i="9"/>
  <c r="K182" i="9"/>
  <c r="K33" i="3"/>
  <c r="A19" i="5"/>
  <c r="H26" i="7"/>
  <c r="H7" i="8" s="1"/>
  <c r="I7" i="8" s="1"/>
  <c r="H55" i="3"/>
  <c r="L55" i="3" s="1"/>
  <c r="C20" i="5"/>
  <c r="E20" i="5" s="1"/>
  <c r="L70" i="7"/>
  <c r="F7" i="9"/>
  <c r="K42" i="9"/>
  <c r="F52" i="9"/>
  <c r="L52" i="9" s="1"/>
  <c r="L59" i="9"/>
  <c r="K188" i="9"/>
  <c r="L67" i="3"/>
  <c r="L47" i="7"/>
  <c r="F83" i="9"/>
  <c r="K105" i="9"/>
  <c r="K176" i="9"/>
  <c r="F178" i="9"/>
  <c r="L178" i="9" s="1"/>
  <c r="L28" i="3"/>
  <c r="L33" i="3"/>
  <c r="L73" i="3"/>
  <c r="H18" i="8"/>
  <c r="I18" i="8" s="1"/>
  <c r="G96" i="7" s="1"/>
  <c r="H96" i="7" s="1"/>
  <c r="H97" i="7" s="1"/>
  <c r="H19" i="8" s="1"/>
  <c r="F21" i="9"/>
  <c r="L21" i="9" s="1"/>
  <c r="E77" i="3"/>
  <c r="K77" i="3" s="1"/>
  <c r="L45" i="7"/>
  <c r="F66" i="7"/>
  <c r="F93" i="7"/>
  <c r="F18" i="8" s="1"/>
  <c r="G18" i="8" s="1"/>
  <c r="F20" i="9"/>
  <c r="K48" i="9"/>
  <c r="F94" i="9"/>
  <c r="L94" i="9" s="1"/>
  <c r="K103" i="9"/>
  <c r="K112" i="9"/>
  <c r="K133" i="9"/>
  <c r="J198" i="9"/>
  <c r="R201" i="9"/>
  <c r="R215" i="9" s="1"/>
  <c r="R9" i="10" s="1"/>
  <c r="L199" i="9"/>
  <c r="K187" i="9"/>
  <c r="K186" i="9"/>
  <c r="K175" i="9"/>
  <c r="K166" i="9"/>
  <c r="K165" i="9"/>
  <c r="K164" i="9"/>
  <c r="L161" i="9"/>
  <c r="K149" i="9"/>
  <c r="K148" i="9"/>
  <c r="K145" i="9"/>
  <c r="K144" i="9"/>
  <c r="K135" i="9"/>
  <c r="K134" i="9"/>
  <c r="K130" i="9"/>
  <c r="K128" i="9"/>
  <c r="K127" i="9"/>
  <c r="L126" i="9"/>
  <c r="K126" i="9"/>
  <c r="K115" i="9"/>
  <c r="K113" i="9"/>
  <c r="K110" i="9"/>
  <c r="K109" i="9"/>
  <c r="K108" i="9"/>
  <c r="K97" i="9"/>
  <c r="K90" i="9"/>
  <c r="K74" i="9"/>
  <c r="K71" i="9"/>
  <c r="K66" i="9"/>
  <c r="K58" i="9"/>
  <c r="K57" i="9"/>
  <c r="K56" i="9"/>
  <c r="K55" i="9"/>
  <c r="K47" i="9"/>
  <c r="K46" i="9"/>
  <c r="K41" i="9"/>
  <c r="R33" i="9"/>
  <c r="K28" i="9"/>
  <c r="K26" i="9"/>
  <c r="K25" i="9"/>
  <c r="K23" i="9"/>
  <c r="R8" i="9"/>
  <c r="I35" i="7"/>
  <c r="J35" i="7" s="1"/>
  <c r="J36" i="7" s="1"/>
  <c r="J9" i="8" s="1"/>
  <c r="K9" i="8" s="1"/>
  <c r="I14" i="9" s="1"/>
  <c r="J14" i="9" s="1"/>
  <c r="R14" i="9" s="1"/>
  <c r="I30" i="7"/>
  <c r="J30" i="7" s="1"/>
  <c r="J31" i="7" s="1"/>
  <c r="J8" i="8" s="1"/>
  <c r="K8" i="8" s="1"/>
  <c r="I13" i="9" s="1"/>
  <c r="J13" i="9" s="1"/>
  <c r="R13" i="9" s="1"/>
  <c r="M10" i="8"/>
  <c r="K103" i="7"/>
  <c r="L102" i="7"/>
  <c r="L101" i="7"/>
  <c r="K101" i="7"/>
  <c r="K92" i="7"/>
  <c r="L91" i="7"/>
  <c r="L90" i="7"/>
  <c r="K90" i="7"/>
  <c r="K86" i="7"/>
  <c r="L85" i="7"/>
  <c r="K85" i="7"/>
  <c r="K77" i="7"/>
  <c r="L76" i="7"/>
  <c r="K69" i="7"/>
  <c r="H44" i="7"/>
  <c r="L39" i="7"/>
  <c r="K39" i="7"/>
  <c r="K29" i="7"/>
  <c r="K24" i="7"/>
  <c r="K23" i="7"/>
  <c r="K18" i="7"/>
  <c r="K17" i="7"/>
  <c r="L16" i="7"/>
  <c r="K16" i="7"/>
  <c r="K10" i="7"/>
  <c r="L9" i="7"/>
  <c r="K9" i="7"/>
  <c r="L8" i="7"/>
  <c r="K8" i="7"/>
  <c r="L7" i="7"/>
  <c r="K7" i="7"/>
  <c r="L6" i="7"/>
  <c r="K6" i="7"/>
  <c r="K80" i="3"/>
  <c r="K73" i="3"/>
  <c r="K63" i="3"/>
  <c r="J60" i="3"/>
  <c r="F50" i="3"/>
  <c r="H40" i="3"/>
  <c r="L27" i="3"/>
  <c r="K27" i="3"/>
  <c r="K20" i="3"/>
  <c r="F12" i="3"/>
  <c r="L12" i="3" s="1"/>
  <c r="K10" i="3"/>
  <c r="M18" i="8" l="1"/>
  <c r="L19" i="9"/>
  <c r="L18" i="8"/>
  <c r="L41" i="7"/>
  <c r="J215" i="9"/>
  <c r="I9" i="10" s="1"/>
  <c r="J9" i="10" s="1"/>
  <c r="H60" i="7"/>
  <c r="H13" i="8" s="1"/>
  <c r="I13" i="8" s="1"/>
  <c r="G193" i="9" s="1"/>
  <c r="H193" i="9" s="1"/>
  <c r="E96" i="7"/>
  <c r="F96" i="7" s="1"/>
  <c r="F97" i="7" s="1"/>
  <c r="I77" i="9"/>
  <c r="J77" i="9" s="1"/>
  <c r="R77" i="9" s="1"/>
  <c r="I194" i="9"/>
  <c r="J194" i="9" s="1"/>
  <c r="R194" i="9" s="1"/>
  <c r="I118" i="9"/>
  <c r="J118" i="9" s="1"/>
  <c r="R118" i="9" s="1"/>
  <c r="G151" i="9"/>
  <c r="H151" i="9" s="1"/>
  <c r="L151" i="9" s="1"/>
  <c r="M12" i="8"/>
  <c r="K65" i="7"/>
  <c r="L10" i="8"/>
  <c r="L55" i="7"/>
  <c r="E35" i="5"/>
  <c r="D36" i="5"/>
  <c r="C36" i="5"/>
  <c r="E34" i="5"/>
  <c r="A55" i="5"/>
  <c r="L56" i="5"/>
  <c r="B36" i="5"/>
  <c r="E36" i="5" s="1"/>
  <c r="E33" i="5"/>
  <c r="F24" i="3"/>
  <c r="F29" i="3" s="1"/>
  <c r="L29" i="3" s="1"/>
  <c r="E37" i="3"/>
  <c r="F37" i="3" s="1"/>
  <c r="L37" i="3" s="1"/>
  <c r="D106" i="5"/>
  <c r="E106" i="5" s="1"/>
  <c r="F64" i="3"/>
  <c r="F69" i="3" s="1"/>
  <c r="H215" i="9"/>
  <c r="G9" i="10" s="1"/>
  <c r="H9" i="10" s="1"/>
  <c r="U23" i="10"/>
  <c r="W23" i="10"/>
  <c r="Z23" i="10"/>
  <c r="S23" i="10"/>
  <c r="AT23" i="10"/>
  <c r="AI23" i="10"/>
  <c r="AE23" i="10"/>
  <c r="E25" i="11" s="1"/>
  <c r="I25" i="11" s="1"/>
  <c r="AO23" i="10"/>
  <c r="AH23" i="10"/>
  <c r="Y23" i="10"/>
  <c r="AP23" i="10"/>
  <c r="T23" i="10"/>
  <c r="E7" i="11" s="1"/>
  <c r="I7" i="11" s="1"/>
  <c r="AA23" i="10"/>
  <c r="V23" i="10"/>
  <c r="AD23" i="10"/>
  <c r="AN23" i="10"/>
  <c r="K76" i="9"/>
  <c r="AG23" i="10"/>
  <c r="AM23" i="10"/>
  <c r="AF23" i="10"/>
  <c r="AB23" i="10"/>
  <c r="AR23" i="10"/>
  <c r="AC23" i="10"/>
  <c r="AS23" i="10"/>
  <c r="H198" i="9"/>
  <c r="AK23" i="10"/>
  <c r="AU23" i="10"/>
  <c r="AL23" i="10"/>
  <c r="AQ23" i="10"/>
  <c r="R150" i="9"/>
  <c r="R158" i="9" s="1"/>
  <c r="R7" i="10" s="1"/>
  <c r="J158" i="9"/>
  <c r="I7" i="10" s="1"/>
  <c r="J7" i="10" s="1"/>
  <c r="K11" i="7"/>
  <c r="N88" i="5"/>
  <c r="A88" i="5" s="1"/>
  <c r="X23" i="10"/>
  <c r="E30" i="11" s="1"/>
  <c r="I30" i="11" s="1"/>
  <c r="AJ23" i="10"/>
  <c r="F77" i="3"/>
  <c r="F82" i="3" s="1"/>
  <c r="L82" i="3" s="1"/>
  <c r="N105" i="5"/>
  <c r="A105" i="5" s="1"/>
  <c r="C105" i="5"/>
  <c r="F6" i="4"/>
  <c r="G6" i="4" s="1"/>
  <c r="F9" i="4"/>
  <c r="O67" i="5"/>
  <c r="O7" i="5"/>
  <c r="L66" i="7"/>
  <c r="F14" i="8"/>
  <c r="L50" i="3"/>
  <c r="E51" i="3"/>
  <c r="K84" i="7"/>
  <c r="I19" i="8"/>
  <c r="F16" i="3"/>
  <c r="L75" i="7"/>
  <c r="F78" i="7"/>
  <c r="F87" i="7"/>
  <c r="K11" i="3"/>
  <c r="L60" i="3"/>
  <c r="J61" i="3"/>
  <c r="L61" i="3" s="1"/>
  <c r="J69" i="3"/>
  <c r="J9" i="4" s="1"/>
  <c r="K9" i="4" s="1"/>
  <c r="I12" i="7" s="1"/>
  <c r="J12" i="7" s="1"/>
  <c r="J13" i="7" s="1"/>
  <c r="J5" i="8" s="1"/>
  <c r="K5" i="8" s="1"/>
  <c r="I10" i="9" s="1"/>
  <c r="J10" i="9" s="1"/>
  <c r="L93" i="7"/>
  <c r="G12" i="9"/>
  <c r="H12" i="9" s="1"/>
  <c r="L20" i="9"/>
  <c r="I6" i="4"/>
  <c r="J56" i="3"/>
  <c r="J8" i="4" s="1"/>
  <c r="K8" i="4" s="1"/>
  <c r="O79" i="5" s="1"/>
  <c r="J48" i="3"/>
  <c r="L48" i="3" s="1"/>
  <c r="L26" i="7"/>
  <c r="F7" i="8"/>
  <c r="L19" i="7"/>
  <c r="F6" i="8"/>
  <c r="L44" i="7"/>
  <c r="E48" i="7"/>
  <c r="H50" i="7"/>
  <c r="H11" i="8" s="1"/>
  <c r="E49" i="7"/>
  <c r="L7" i="9"/>
  <c r="I5" i="8"/>
  <c r="G10" i="9" s="1"/>
  <c r="H10" i="9" s="1"/>
  <c r="E88" i="5"/>
  <c r="C90" i="5"/>
  <c r="L97" i="7"/>
  <c r="F19" i="8"/>
  <c r="G19" i="8" s="1"/>
  <c r="F71" i="7"/>
  <c r="K71" i="7"/>
  <c r="O60" i="5"/>
  <c r="A60" i="5" s="1"/>
  <c r="L40" i="3"/>
  <c r="H42" i="3"/>
  <c r="H7" i="4" s="1"/>
  <c r="I7" i="4" s="1"/>
  <c r="N38" i="5" s="1"/>
  <c r="H41" i="3"/>
  <c r="L41" i="3" s="1"/>
  <c r="L83" i="9"/>
  <c r="J8" i="3"/>
  <c r="L8" i="3" s="1"/>
  <c r="J16" i="3"/>
  <c r="J5" i="4" s="1"/>
  <c r="K5" i="4" s="1"/>
  <c r="I58" i="7" s="1"/>
  <c r="J58" i="7" s="1"/>
  <c r="J60" i="7" s="1"/>
  <c r="J13" i="8" s="1"/>
  <c r="K13" i="8" s="1"/>
  <c r="I193" i="9" s="1"/>
  <c r="J193" i="9" s="1"/>
  <c r="K96" i="7"/>
  <c r="L96" i="7"/>
  <c r="L64" i="3"/>
  <c r="F65" i="3"/>
  <c r="L65" i="3" s="1"/>
  <c r="F25" i="3"/>
  <c r="L25" i="3" s="1"/>
  <c r="J18" i="9" l="1"/>
  <c r="L19" i="8"/>
  <c r="K151" i="9"/>
  <c r="A56" i="5"/>
  <c r="L57" i="5"/>
  <c r="D108" i="5"/>
  <c r="J8" i="6" s="1"/>
  <c r="K8" i="6" s="1"/>
  <c r="I119" i="9" s="1"/>
  <c r="J119" i="9" s="1"/>
  <c r="J120" i="9" s="1"/>
  <c r="I6" i="10" s="1"/>
  <c r="J6" i="10" s="1"/>
  <c r="K37" i="3"/>
  <c r="F42" i="3"/>
  <c r="F7" i="4" s="1"/>
  <c r="L7" i="4" s="1"/>
  <c r="L24" i="3"/>
  <c r="F38" i="3"/>
  <c r="L38" i="3" s="1"/>
  <c r="D107" i="5"/>
  <c r="L69" i="3"/>
  <c r="F78" i="3"/>
  <c r="L78" i="3" s="1"/>
  <c r="F10" i="4"/>
  <c r="L10" i="4" s="1"/>
  <c r="L77" i="3"/>
  <c r="E35" i="7"/>
  <c r="E30" i="7"/>
  <c r="M19" i="8"/>
  <c r="F16" i="8"/>
  <c r="L78" i="7"/>
  <c r="G30" i="7"/>
  <c r="H30" i="7" s="1"/>
  <c r="H31" i="7" s="1"/>
  <c r="H8" i="8" s="1"/>
  <c r="I8" i="8" s="1"/>
  <c r="G13" i="9" s="1"/>
  <c r="H13" i="9" s="1"/>
  <c r="G35" i="7"/>
  <c r="H35" i="7" s="1"/>
  <c r="H36" i="7" s="1"/>
  <c r="H9" i="8" s="1"/>
  <c r="I9" i="8" s="1"/>
  <c r="L9" i="4"/>
  <c r="G9" i="4"/>
  <c r="R193" i="9"/>
  <c r="R196" i="9" s="1"/>
  <c r="R8" i="10" s="1"/>
  <c r="J196" i="9"/>
  <c r="I8" i="10" s="1"/>
  <c r="J8" i="10" s="1"/>
  <c r="J160" i="9"/>
  <c r="F48" i="7"/>
  <c r="K48" i="7"/>
  <c r="L87" i="7"/>
  <c r="F17" i="8"/>
  <c r="L6" i="8"/>
  <c r="G6" i="8"/>
  <c r="D16" i="5"/>
  <c r="O16" i="5"/>
  <c r="A16" i="5" s="1"/>
  <c r="L16" i="3"/>
  <c r="F5" i="4"/>
  <c r="O76" i="5"/>
  <c r="A76" i="5" s="1"/>
  <c r="D76" i="5"/>
  <c r="C59" i="5"/>
  <c r="N59" i="5"/>
  <c r="A59" i="5" s="1"/>
  <c r="G7" i="8"/>
  <c r="L7" i="8"/>
  <c r="R10" i="9"/>
  <c r="M67" i="5"/>
  <c r="M7" i="5"/>
  <c r="M6" i="4"/>
  <c r="D89" i="5"/>
  <c r="O89" i="5"/>
  <c r="A89" i="5" s="1"/>
  <c r="F51" i="3"/>
  <c r="K51" i="3"/>
  <c r="F49" i="7"/>
  <c r="L49" i="7" s="1"/>
  <c r="K49" i="7"/>
  <c r="N7" i="5"/>
  <c r="N67" i="5"/>
  <c r="L71" i="7"/>
  <c r="F72" i="7"/>
  <c r="I11" i="8"/>
  <c r="L6" i="4"/>
  <c r="E105" i="5"/>
  <c r="C107" i="5"/>
  <c r="C108" i="5"/>
  <c r="H8" i="6" s="1"/>
  <c r="I8" i="6" s="1"/>
  <c r="G119" i="9" s="1"/>
  <c r="H119" i="9" s="1"/>
  <c r="L14" i="8"/>
  <c r="G14" i="8"/>
  <c r="A57" i="5" l="1"/>
  <c r="D60" i="5"/>
  <c r="G7" i="4"/>
  <c r="M7" i="4" s="1"/>
  <c r="L42" i="3"/>
  <c r="J82" i="9"/>
  <c r="R119" i="9"/>
  <c r="R120" i="9" s="1"/>
  <c r="R6" i="10" s="1"/>
  <c r="G10" i="4"/>
  <c r="F15" i="8"/>
  <c r="L72" i="7"/>
  <c r="E16" i="5"/>
  <c r="D21" i="5"/>
  <c r="J5" i="6" s="1"/>
  <c r="K5" i="6" s="1"/>
  <c r="I15" i="9" s="1"/>
  <c r="J15" i="9" s="1"/>
  <c r="D17" i="5"/>
  <c r="E12" i="7"/>
  <c r="M9" i="4"/>
  <c r="E12" i="9"/>
  <c r="M7" i="8"/>
  <c r="C15" i="5"/>
  <c r="N15" i="5"/>
  <c r="A15" i="5" s="1"/>
  <c r="E11" i="9"/>
  <c r="M6" i="8"/>
  <c r="E76" i="5"/>
  <c r="D77" i="5"/>
  <c r="D91" i="5"/>
  <c r="J7" i="6" s="1"/>
  <c r="K7" i="6" s="1"/>
  <c r="I17" i="9" s="1"/>
  <c r="J17" i="9" s="1"/>
  <c r="R17" i="9" s="1"/>
  <c r="L51" i="3"/>
  <c r="F56" i="3"/>
  <c r="F52" i="3"/>
  <c r="L52" i="3" s="1"/>
  <c r="G77" i="9"/>
  <c r="H77" i="9" s="1"/>
  <c r="H18" i="9" s="1"/>
  <c r="G118" i="9"/>
  <c r="H118" i="9" s="1"/>
  <c r="G150" i="9"/>
  <c r="G194" i="9"/>
  <c r="H194" i="9" s="1"/>
  <c r="G14" i="9"/>
  <c r="H14" i="9" s="1"/>
  <c r="G17" i="8"/>
  <c r="L17" i="8"/>
  <c r="C75" i="5"/>
  <c r="N75" i="5"/>
  <c r="A75" i="5" s="1"/>
  <c r="E59" i="5"/>
  <c r="C61" i="5"/>
  <c r="C62" i="5"/>
  <c r="H6" i="6" s="1"/>
  <c r="I6" i="6" s="1"/>
  <c r="G16" i="9" s="1"/>
  <c r="H16" i="9" s="1"/>
  <c r="L48" i="7"/>
  <c r="F50" i="7"/>
  <c r="E201" i="9"/>
  <c r="M14" i="8"/>
  <c r="L16" i="8"/>
  <c r="G16" i="8"/>
  <c r="L5" i="4"/>
  <c r="G5" i="4"/>
  <c r="E104" i="7"/>
  <c r="M10" i="4"/>
  <c r="B14" i="5"/>
  <c r="M14" i="5"/>
  <c r="A14" i="5" s="1"/>
  <c r="F30" i="7"/>
  <c r="K30" i="7"/>
  <c r="E89" i="5"/>
  <c r="D90" i="5"/>
  <c r="B74" i="5"/>
  <c r="M74" i="5"/>
  <c r="A74" i="5" s="1"/>
  <c r="F35" i="7"/>
  <c r="K35" i="7"/>
  <c r="D62" i="5" l="1"/>
  <c r="J6" i="6" s="1"/>
  <c r="K6" i="6" s="1"/>
  <c r="I16" i="9" s="1"/>
  <c r="J16" i="9" s="1"/>
  <c r="R16" i="9" s="1"/>
  <c r="E60" i="5"/>
  <c r="D61" i="5"/>
  <c r="M38" i="5"/>
  <c r="M58" i="5" s="1"/>
  <c r="A58" i="5" s="1"/>
  <c r="F36" i="7"/>
  <c r="L35" i="7"/>
  <c r="C77" i="5"/>
  <c r="E75" i="5"/>
  <c r="C91" i="5"/>
  <c r="H7" i="6" s="1"/>
  <c r="I7" i="6" s="1"/>
  <c r="G17" i="9" s="1"/>
  <c r="H17" i="9" s="1"/>
  <c r="H120" i="9"/>
  <c r="G6" i="10" s="1"/>
  <c r="H6" i="10" s="1"/>
  <c r="H82" i="9"/>
  <c r="L56" i="3"/>
  <c r="F8" i="4"/>
  <c r="H150" i="9"/>
  <c r="C21" i="5"/>
  <c r="H5" i="6" s="1"/>
  <c r="I5" i="6" s="1"/>
  <c r="G15" i="9" s="1"/>
  <c r="H15" i="9" s="1"/>
  <c r="E15" i="5"/>
  <c r="C17" i="5"/>
  <c r="E14" i="5"/>
  <c r="B21" i="5"/>
  <c r="B17" i="5"/>
  <c r="F12" i="9"/>
  <c r="L12" i="9" s="1"/>
  <c r="K12" i="9"/>
  <c r="K104" i="7"/>
  <c r="F104" i="7"/>
  <c r="R15" i="9"/>
  <c r="E74" i="5"/>
  <c r="B77" i="5"/>
  <c r="M17" i="8"/>
  <c r="E204" i="9"/>
  <c r="E203" i="9"/>
  <c r="M16" i="8"/>
  <c r="F201" i="9"/>
  <c r="K201" i="9"/>
  <c r="F11" i="9"/>
  <c r="L11" i="9" s="1"/>
  <c r="K11" i="9"/>
  <c r="F31" i="7"/>
  <c r="L30" i="7"/>
  <c r="L50" i="7"/>
  <c r="F11" i="8"/>
  <c r="H160" i="9"/>
  <c r="H196" i="9"/>
  <c r="G8" i="10" s="1"/>
  <c r="H8" i="10" s="1"/>
  <c r="G15" i="8"/>
  <c r="L15" i="8"/>
  <c r="E58" i="7"/>
  <c r="M5" i="4"/>
  <c r="F12" i="7"/>
  <c r="K12" i="7"/>
  <c r="R80" i="9" l="1"/>
  <c r="R5" i="10" s="1"/>
  <c r="R23" i="10" s="1"/>
  <c r="J6" i="9"/>
  <c r="H80" i="9"/>
  <c r="G5" i="10" s="1"/>
  <c r="H5" i="10" s="1"/>
  <c r="J80" i="9"/>
  <c r="I5" i="10" s="1"/>
  <c r="J5" i="10" s="1"/>
  <c r="J23" i="10" s="1"/>
  <c r="E12" i="11" s="1"/>
  <c r="B58" i="5"/>
  <c r="B61" i="5" s="1"/>
  <c r="E61" i="5" s="1"/>
  <c r="E77" i="5"/>
  <c r="E17" i="5"/>
  <c r="F58" i="7"/>
  <c r="K58" i="7"/>
  <c r="H158" i="9"/>
  <c r="G7" i="10" s="1"/>
  <c r="H7" i="10" s="1"/>
  <c r="H122" i="9"/>
  <c r="G11" i="8"/>
  <c r="L11" i="8"/>
  <c r="H6" i="9"/>
  <c r="B62" i="5"/>
  <c r="E202" i="9"/>
  <c r="M15" i="8"/>
  <c r="L201" i="9"/>
  <c r="L104" i="7"/>
  <c r="F105" i="7"/>
  <c r="G8" i="4"/>
  <c r="L8" i="4"/>
  <c r="F203" i="9"/>
  <c r="L203" i="9" s="1"/>
  <c r="K203" i="9"/>
  <c r="F204" i="9"/>
  <c r="L204" i="9" s="1"/>
  <c r="K204" i="9"/>
  <c r="E21" i="5"/>
  <c r="F5" i="6"/>
  <c r="L31" i="7"/>
  <c r="F8" i="8"/>
  <c r="F13" i="7"/>
  <c r="L12" i="7"/>
  <c r="F9" i="8"/>
  <c r="L36" i="7"/>
  <c r="H23" i="10" l="1"/>
  <c r="E9" i="11" s="1"/>
  <c r="E17" i="11" s="1"/>
  <c r="E58" i="5"/>
  <c r="L13" i="7"/>
  <c r="F5" i="8"/>
  <c r="F202" i="9"/>
  <c r="K202" i="9"/>
  <c r="F60" i="7"/>
  <c r="L58" i="7"/>
  <c r="E62" i="5"/>
  <c r="F6" i="6"/>
  <c r="L105" i="7"/>
  <c r="F20" i="8"/>
  <c r="E77" i="9"/>
  <c r="E150" i="9"/>
  <c r="E118" i="9"/>
  <c r="E194" i="9"/>
  <c r="M11" i="8"/>
  <c r="L8" i="8"/>
  <c r="G8" i="8"/>
  <c r="G9" i="8"/>
  <c r="L9" i="8"/>
  <c r="G5" i="6"/>
  <c r="L5" i="6"/>
  <c r="I12" i="11"/>
  <c r="M79" i="5"/>
  <c r="M8" i="4"/>
  <c r="I9" i="11" l="1"/>
  <c r="E18" i="11"/>
  <c r="I18" i="11" s="1"/>
  <c r="E10" i="11"/>
  <c r="I10" i="11" s="1"/>
  <c r="F194" i="9"/>
  <c r="L194" i="9" s="1"/>
  <c r="K194" i="9"/>
  <c r="I17" i="11"/>
  <c r="E19" i="11"/>
  <c r="I19" i="11" s="1"/>
  <c r="B87" i="5"/>
  <c r="M87" i="5"/>
  <c r="A87" i="5" s="1"/>
  <c r="E15" i="9"/>
  <c r="M5" i="6"/>
  <c r="L6" i="6"/>
  <c r="G6" i="6"/>
  <c r="E14" i="9"/>
  <c r="M9" i="8"/>
  <c r="M8" i="8"/>
  <c r="E13" i="9"/>
  <c r="L60" i="7"/>
  <c r="F13" i="8"/>
  <c r="G5" i="8"/>
  <c r="L5" i="8"/>
  <c r="F118" i="9"/>
  <c r="K118" i="9"/>
  <c r="L202" i="9"/>
  <c r="F198" i="9"/>
  <c r="L198" i="9" s="1"/>
  <c r="F215" i="9"/>
  <c r="F150" i="9"/>
  <c r="K150" i="9"/>
  <c r="K77" i="9"/>
  <c r="F77" i="9"/>
  <c r="F18" i="9" s="1"/>
  <c r="G20" i="8"/>
  <c r="L20" i="8"/>
  <c r="E11" i="11" l="1"/>
  <c r="E14" i="11" s="1"/>
  <c r="I14" i="11" s="1"/>
  <c r="G13" i="8"/>
  <c r="L13" i="8"/>
  <c r="L77" i="9"/>
  <c r="L18" i="9"/>
  <c r="F13" i="9"/>
  <c r="L13" i="9" s="1"/>
  <c r="K13" i="9"/>
  <c r="F158" i="9"/>
  <c r="L150" i="9"/>
  <c r="F122" i="9"/>
  <c r="L122" i="9" s="1"/>
  <c r="M6" i="6"/>
  <c r="E16" i="9"/>
  <c r="L215" i="9"/>
  <c r="E9" i="10"/>
  <c r="F14" i="9"/>
  <c r="L14" i="9" s="1"/>
  <c r="K14" i="9"/>
  <c r="M20" i="8"/>
  <c r="M103" i="5"/>
  <c r="L118" i="9"/>
  <c r="K15" i="9"/>
  <c r="F15" i="9"/>
  <c r="L15" i="9" s="1"/>
  <c r="M5" i="8"/>
  <c r="E10" i="9"/>
  <c r="E87" i="5"/>
  <c r="B90" i="5"/>
  <c r="E90" i="5" s="1"/>
  <c r="B91" i="5"/>
  <c r="E15" i="11" l="1"/>
  <c r="I15" i="11" s="1"/>
  <c r="E16" i="11"/>
  <c r="I16" i="11" s="1"/>
  <c r="E13" i="11"/>
  <c r="I13" i="11" s="1"/>
  <c r="I11" i="11"/>
  <c r="F16" i="9"/>
  <c r="L16" i="9" s="1"/>
  <c r="K16" i="9"/>
  <c r="L158" i="9"/>
  <c r="E7" i="10"/>
  <c r="E91" i="5"/>
  <c r="F7" i="6"/>
  <c r="M104" i="5"/>
  <c r="A104" i="5" s="1"/>
  <c r="B104" i="5"/>
  <c r="K10" i="9"/>
  <c r="F10" i="9"/>
  <c r="F9" i="10"/>
  <c r="L9" i="10" s="1"/>
  <c r="K9" i="10"/>
  <c r="E193" i="9"/>
  <c r="M13" i="8"/>
  <c r="L10" i="9" l="1"/>
  <c r="G7" i="6"/>
  <c r="L7" i="6"/>
  <c r="F7" i="10"/>
  <c r="L7" i="10" s="1"/>
  <c r="K7" i="10"/>
  <c r="B107" i="5"/>
  <c r="E107" i="5" s="1"/>
  <c r="E104" i="5"/>
  <c r="B108" i="5"/>
  <c r="F193" i="9"/>
  <c r="K193" i="9"/>
  <c r="F160" i="9" l="1"/>
  <c r="L160" i="9" s="1"/>
  <c r="L193" i="9"/>
  <c r="F196" i="9"/>
  <c r="M7" i="6"/>
  <c r="E17" i="9"/>
  <c r="F8" i="6"/>
  <c r="E108" i="5"/>
  <c r="L8" i="6" l="1"/>
  <c r="G8" i="6"/>
  <c r="L196" i="9"/>
  <c r="E8" i="10"/>
  <c r="K17" i="9"/>
  <c r="F17" i="9"/>
  <c r="F8" i="10" l="1"/>
  <c r="L8" i="10" s="1"/>
  <c r="K8" i="10"/>
  <c r="M8" i="6"/>
  <c r="E119" i="9"/>
  <c r="L17" i="9"/>
  <c r="F6" i="9"/>
  <c r="L6" i="9" s="1"/>
  <c r="F80" i="9"/>
  <c r="E5" i="10" l="1"/>
  <c r="L80" i="9"/>
  <c r="F119" i="9"/>
  <c r="K119" i="9"/>
  <c r="L119" i="9" l="1"/>
  <c r="F82" i="9"/>
  <c r="L82" i="9" s="1"/>
  <c r="F120" i="9"/>
  <c r="F5" i="10"/>
  <c r="K5" i="10"/>
  <c r="L5" i="10" l="1"/>
  <c r="L120" i="9"/>
  <c r="E6" i="10"/>
  <c r="F6" i="10" l="1"/>
  <c r="K6" i="10"/>
  <c r="L6" i="10" l="1"/>
  <c r="F23" i="10"/>
  <c r="L23" i="10" l="1"/>
  <c r="E5" i="11"/>
  <c r="E6" i="11" l="1"/>
  <c r="I6" i="11" s="1"/>
  <c r="I5" i="11"/>
  <c r="E8" i="11" l="1"/>
  <c r="I8" i="11" s="1"/>
  <c r="E20" i="11" l="1"/>
  <c r="I20" i="11" s="1"/>
  <c r="E22" i="11"/>
  <c r="I22" i="11" s="1"/>
  <c r="E24" i="11"/>
  <c r="I24" i="11" s="1"/>
  <c r="E23" i="11"/>
  <c r="I23" i="11" s="1"/>
  <c r="E21" i="11"/>
  <c r="I21" i="11" s="1"/>
  <c r="E26" i="11" l="1"/>
  <c r="E28" i="11" s="1"/>
  <c r="I28" i="11" s="1"/>
  <c r="I26" i="11" l="1"/>
  <c r="I29" i="11" s="1"/>
  <c r="E27" i="11"/>
  <c r="I27" i="11" s="1"/>
  <c r="I31" i="11" l="1"/>
  <c r="I32" i="11" s="1"/>
  <c r="I33" i="11" s="1"/>
  <c r="E33" i="11" s="1"/>
  <c r="E32" i="11" l="1"/>
  <c r="E31" i="11" s="1"/>
  <c r="E29" i="11" s="1"/>
</calcChain>
</file>

<file path=xl/sharedStrings.xml><?xml version="1.0" encoding="utf-8"?>
<sst xmlns="http://schemas.openxmlformats.org/spreadsheetml/2006/main" count="2570" uniqueCount="821">
  <si>
    <t>단 가 대 비 표</t>
  </si>
  <si>
    <t>공사명 : 당진시 스마트팜 온실 신축공사</t>
  </si>
  <si>
    <t>품     명</t>
  </si>
  <si>
    <t>규     격</t>
  </si>
  <si>
    <t>단위</t>
  </si>
  <si>
    <t>물가자료</t>
  </si>
  <si>
    <t>물가정보</t>
  </si>
  <si>
    <t>거래가격</t>
  </si>
  <si>
    <t>유통물가</t>
  </si>
  <si>
    <t>가격정보</t>
  </si>
  <si>
    <t>조사단가</t>
  </si>
  <si>
    <t>적용단가</t>
  </si>
  <si>
    <t>비 고</t>
  </si>
  <si>
    <t>Page</t>
  </si>
  <si>
    <t>단   가</t>
  </si>
  <si>
    <t>구분</t>
  </si>
  <si>
    <t>+자크램프</t>
  </si>
  <si>
    <t>75*75</t>
  </si>
  <si>
    <t>개</t>
  </si>
  <si>
    <t>1중 물받이 철판</t>
  </si>
  <si>
    <t>0.8*600*85</t>
  </si>
  <si>
    <t>롤</t>
  </si>
  <si>
    <t>1중 쌍봉</t>
  </si>
  <si>
    <t>75*32</t>
  </si>
  <si>
    <t>1중 직조 -마구리-편</t>
  </si>
  <si>
    <t>0.25*6m*85M</t>
  </si>
  <si>
    <t>1중 직조비닐 -측면-편</t>
  </si>
  <si>
    <t>0.25*4m*84m</t>
  </si>
  <si>
    <t>1중 po코팅비닐 -마구리-편</t>
  </si>
  <si>
    <t>0.15*350*85m</t>
  </si>
  <si>
    <t>1중 po코팅비닐 -천창-접</t>
  </si>
  <si>
    <t>0.15*400*85m</t>
  </si>
  <si>
    <t>1중물받이패드0.8</t>
  </si>
  <si>
    <t>0.8*6</t>
  </si>
  <si>
    <t>1중치마 측,전후하단</t>
  </si>
  <si>
    <t>0.1*90*90</t>
  </si>
  <si>
    <t>2중방풍인발</t>
  </si>
  <si>
    <t>31.8mm*1.7</t>
  </si>
  <si>
    <t>M</t>
  </si>
  <si>
    <t>26</t>
  </si>
  <si>
    <t>73</t>
  </si>
  <si>
    <t>2중방풍파이프</t>
  </si>
  <si>
    <t>2P미늘</t>
  </si>
  <si>
    <t>20*13</t>
  </si>
  <si>
    <t>가로대파이프</t>
  </si>
  <si>
    <t>25.4mm*1.5</t>
  </si>
  <si>
    <t>21</t>
  </si>
  <si>
    <t>가이드로라</t>
  </si>
  <si>
    <t>32</t>
  </si>
  <si>
    <t>개폐기  -전선,설치비포함</t>
  </si>
  <si>
    <t>설치비포함  2.5sq</t>
  </si>
  <si>
    <t>식</t>
  </si>
  <si>
    <t>설치비포함 1.5sq</t>
  </si>
  <si>
    <t>개폐파이프</t>
  </si>
  <si>
    <t>31.8mm*1.5</t>
  </si>
  <si>
    <t>개폐파이프-측면, 전후</t>
  </si>
  <si>
    <t>경유</t>
  </si>
  <si>
    <t>경유, 저유황</t>
  </si>
  <si>
    <t>L</t>
  </si>
  <si>
    <t>하권32</t>
  </si>
  <si>
    <t>1451</t>
  </si>
  <si>
    <t>1189</t>
  </si>
  <si>
    <t>고밀도PE수도관</t>
  </si>
  <si>
    <t>PE80, 40A</t>
  </si>
  <si>
    <t>773</t>
  </si>
  <si>
    <t>578</t>
  </si>
  <si>
    <t>고정구(구형)</t>
  </si>
  <si>
    <t>조</t>
  </si>
  <si>
    <t>공급펌프</t>
  </si>
  <si>
    <t>950</t>
  </si>
  <si>
    <t>대</t>
  </si>
  <si>
    <t>공업용휘발유</t>
  </si>
  <si>
    <t>공업용휘발유, 무연</t>
  </si>
  <si>
    <t>1438</t>
  </si>
  <si>
    <t>교반기</t>
  </si>
  <si>
    <t>스크류</t>
  </si>
  <si>
    <t>기둥보</t>
  </si>
  <si>
    <t>일반구조용각형강관, 각형강관, 75×75×2.3t</t>
  </si>
  <si>
    <t>m</t>
  </si>
  <si>
    <t>25</t>
  </si>
  <si>
    <t>22</t>
  </si>
  <si>
    <t>70</t>
  </si>
  <si>
    <t>34</t>
  </si>
  <si>
    <t>흑관, SRT 275</t>
  </si>
  <si>
    <t>기둥브레이싱</t>
  </si>
  <si>
    <t>기둥파이프</t>
  </si>
  <si>
    <t>까치발-중방대</t>
  </si>
  <si>
    <t>75*1M</t>
  </si>
  <si>
    <t>내부방풍 po코팅비닐 -측면-접</t>
  </si>
  <si>
    <t>0.1*300*84m</t>
  </si>
  <si>
    <t>내부외벽크램프</t>
  </si>
  <si>
    <t>내재해조리개 -십자형</t>
  </si>
  <si>
    <t>25*32</t>
  </si>
  <si>
    <t>다겹방풍포켓</t>
  </si>
  <si>
    <t>2*70m</t>
  </si>
  <si>
    <t>다겹보온부직포(마구리) ,방풍</t>
  </si>
  <si>
    <t>5*65m</t>
  </si>
  <si>
    <t>다겹보온부직포(방풍모서리 )</t>
  </si>
  <si>
    <t>6*10</t>
  </si>
  <si>
    <t>다겹보온부직포(천창수평)-끈</t>
  </si>
  <si>
    <t>6온스  //  4*85m // 18롤</t>
  </si>
  <si>
    <t>다겹보온부직포(측창)센터</t>
  </si>
  <si>
    <t>6온스  //  5*85m</t>
  </si>
  <si>
    <t>다겹보온부직포(치마 )</t>
  </si>
  <si>
    <t>1*85m</t>
  </si>
  <si>
    <t>드럼 1.5M간격</t>
  </si>
  <si>
    <t>48Φ 2줄 *55개</t>
  </si>
  <si>
    <t>라인밸브</t>
  </si>
  <si>
    <t>13</t>
  </si>
  <si>
    <t>레미콘</t>
  </si>
  <si>
    <t>레미콘, 보령, 25-21-15</t>
  </si>
  <si>
    <t>㎥</t>
  </si>
  <si>
    <t>로라 활자고리</t>
  </si>
  <si>
    <t>32Φ</t>
  </si>
  <si>
    <t>마구리</t>
  </si>
  <si>
    <t>마구리기둥</t>
  </si>
  <si>
    <t>모터설치</t>
  </si>
  <si>
    <t>콘트롤박스제외</t>
  </si>
  <si>
    <t>물탱크(FRP)</t>
  </si>
  <si>
    <t>원통형, 보온, 5ton</t>
  </si>
  <si>
    <t>883</t>
  </si>
  <si>
    <t>881</t>
  </si>
  <si>
    <t>886</t>
  </si>
  <si>
    <t>673</t>
  </si>
  <si>
    <t>미늘엘보</t>
  </si>
  <si>
    <t>바닥고정핀</t>
  </si>
  <si>
    <t>박스</t>
  </si>
  <si>
    <t>바닥다짐로라</t>
  </si>
  <si>
    <t>1톤진동</t>
  </si>
  <si>
    <t>바닥지(UV)wellding</t>
  </si>
  <si>
    <t>S&amp;H   7.7*80m</t>
  </si>
  <si>
    <t>받침선50간격</t>
  </si>
  <si>
    <t>낙하산줄4mm</t>
  </si>
  <si>
    <t>밸브소켓</t>
  </si>
  <si>
    <t>40</t>
  </si>
  <si>
    <t>비닐캡타이어원형코드</t>
  </si>
  <si>
    <t>VCTF 2심 1.5㎟</t>
  </si>
  <si>
    <t>1080</t>
  </si>
  <si>
    <t>1167</t>
  </si>
  <si>
    <t>1001</t>
  </si>
  <si>
    <t>843</t>
  </si>
  <si>
    <t>VCTF 3심 0.75㎟</t>
  </si>
  <si>
    <t>VCTF 3심 1.5㎟</t>
  </si>
  <si>
    <t>사이기둥 3줄보강</t>
  </si>
  <si>
    <t>사이드로라</t>
  </si>
  <si>
    <t>1판 4개 *18판</t>
  </si>
  <si>
    <t>상부치마 10골</t>
  </si>
  <si>
    <t>0.15*50*85M</t>
  </si>
  <si>
    <t>새들고정구</t>
  </si>
  <si>
    <t>새들-고정받침선,커튼고정</t>
  </si>
  <si>
    <t>25Φ</t>
  </si>
  <si>
    <t>서까래 1중 60간격</t>
  </si>
  <si>
    <t>서까래 1중 60간격-방풍연결</t>
  </si>
  <si>
    <t>수도관</t>
  </si>
  <si>
    <t>40*6</t>
  </si>
  <si>
    <t>본</t>
  </si>
  <si>
    <t>수도용경질폴리염화비닐관</t>
  </si>
  <si>
    <t>수도용경질폴리염화비닐관, Φ65mm, 직관</t>
  </si>
  <si>
    <t>754</t>
  </si>
  <si>
    <t>720</t>
  </si>
  <si>
    <t>793</t>
  </si>
  <si>
    <t>554</t>
  </si>
  <si>
    <t>VP PN 16</t>
  </si>
  <si>
    <t>수도용PVC이음관</t>
  </si>
  <si>
    <t>90°엘보, D65</t>
  </si>
  <si>
    <t>755</t>
  </si>
  <si>
    <t>721</t>
  </si>
  <si>
    <t>794</t>
  </si>
  <si>
    <t>스프링</t>
  </si>
  <si>
    <t>2m</t>
  </si>
  <si>
    <t>알미늄 차공막 (천창수평)-끈</t>
  </si>
  <si>
    <t>85%  //  4*85m //18롤</t>
  </si>
  <si>
    <t>액비통</t>
  </si>
  <si>
    <t>1톤사각</t>
  </si>
  <si>
    <t>양액기</t>
  </si>
  <si>
    <t>스마트유량제어</t>
  </si>
  <si>
    <t>여과기</t>
  </si>
  <si>
    <t>50</t>
  </si>
  <si>
    <t>연결핀</t>
  </si>
  <si>
    <t>비계안정장치, 이음철물, 연결핀</t>
  </si>
  <si>
    <t>106</t>
  </si>
  <si>
    <t>166</t>
  </si>
  <si>
    <t>82</t>
  </si>
  <si>
    <t>연질호스</t>
  </si>
  <si>
    <t>13*100</t>
  </si>
  <si>
    <t>예인선1.5m간격</t>
  </si>
  <si>
    <t>예인크립</t>
  </si>
  <si>
    <t>다겹용(대자) 110개*9동</t>
  </si>
  <si>
    <t>와이어크립</t>
  </si>
  <si>
    <t>용접철망</t>
  </si>
  <si>
    <t>용접철망, 와이어메시, #10-50×50</t>
  </si>
  <si>
    <t>㎡</t>
  </si>
  <si>
    <t>56</t>
  </si>
  <si>
    <t>유니온볼밸브</t>
  </si>
  <si>
    <t>유동휀</t>
  </si>
  <si>
    <t>SGA400</t>
  </si>
  <si>
    <t>유베드</t>
  </si>
  <si>
    <t>22*22</t>
  </si>
  <si>
    <t>세트</t>
  </si>
  <si>
    <t>인장기</t>
  </si>
  <si>
    <t>일반조리개</t>
  </si>
  <si>
    <t>32*25</t>
  </si>
  <si>
    <t>재배지(합지)</t>
  </si>
  <si>
    <t>0.6*100</t>
  </si>
  <si>
    <t>전동개페기</t>
  </si>
  <si>
    <t>81064</t>
  </si>
  <si>
    <t>전동개폐 가이드로라</t>
  </si>
  <si>
    <t>25mm</t>
  </si>
  <si>
    <t>전동개폐기</t>
  </si>
  <si>
    <t>4m-비닐용</t>
  </si>
  <si>
    <t>전동개폐기부속</t>
  </si>
  <si>
    <t>전선및 설치비포함</t>
  </si>
  <si>
    <t>전동개폐모터 수평</t>
  </si>
  <si>
    <t>2마력</t>
  </si>
  <si>
    <t>전자밸브</t>
  </si>
  <si>
    <t>점적호스</t>
  </si>
  <si>
    <t>10*1000</t>
  </si>
  <si>
    <t>제어케이블</t>
  </si>
  <si>
    <t>제어케이블, 0.6/1kV, TFR-CVV, 4C×6㎟</t>
  </si>
  <si>
    <t>1076</t>
  </si>
  <si>
    <t>995</t>
  </si>
  <si>
    <t>834</t>
  </si>
  <si>
    <t>F-CVV</t>
  </si>
  <si>
    <t>조임식엘보</t>
  </si>
  <si>
    <t>조임식정티</t>
  </si>
  <si>
    <t>주기둥 3m 간격</t>
  </si>
  <si>
    <t>중방 3m간격</t>
  </si>
  <si>
    <t>중방외받침</t>
  </si>
  <si>
    <t>중형새들</t>
  </si>
  <si>
    <t>40*20</t>
  </si>
  <si>
    <t>지오</t>
  </si>
  <si>
    <t>1T*1M*90M</t>
  </si>
  <si>
    <t>천창대각선 1중</t>
  </si>
  <si>
    <t>철근콘크리트용봉강</t>
  </si>
  <si>
    <t>철근콘크리트용봉강, 이형봉강(SD300), D10</t>
  </si>
  <si>
    <t>Kg</t>
  </si>
  <si>
    <t>2</t>
  </si>
  <si>
    <t>49</t>
  </si>
  <si>
    <t>17(2209)</t>
  </si>
  <si>
    <t>철선</t>
  </si>
  <si>
    <t>철선, 어닐링, Φ0.9mm</t>
  </si>
  <si>
    <t>kg</t>
  </si>
  <si>
    <t>27</t>
  </si>
  <si>
    <t>84</t>
  </si>
  <si>
    <t>42</t>
  </si>
  <si>
    <t>축베어링파이프</t>
  </si>
  <si>
    <t>48.1mm*2.3</t>
  </si>
  <si>
    <t>원형백관</t>
  </si>
  <si>
    <t>축수베어링 1.5M</t>
  </si>
  <si>
    <t>48Φ 2줄 55개</t>
  </si>
  <si>
    <t>축파이프외</t>
  </si>
  <si>
    <t>출입문</t>
  </si>
  <si>
    <t>1.5*2.5</t>
  </si>
  <si>
    <t>출입문 손잡이</t>
  </si>
  <si>
    <t>ㄷ자</t>
  </si>
  <si>
    <t>출입문로라</t>
  </si>
  <si>
    <t>베어링</t>
  </si>
  <si>
    <t>치마고정</t>
  </si>
  <si>
    <t>커튼로라-수직로라</t>
  </si>
  <si>
    <t>중</t>
  </si>
  <si>
    <t>커튼로라-수평로라</t>
  </si>
  <si>
    <t>대  55개*4식</t>
  </si>
  <si>
    <t>커튼지지파이프</t>
  </si>
  <si>
    <t>컨트럴박스</t>
  </si>
  <si>
    <t>동당제어온도는1구역</t>
  </si>
  <si>
    <t>코팅와이어</t>
  </si>
  <si>
    <t>4Φ</t>
  </si>
  <si>
    <t>퇴수구</t>
  </si>
  <si>
    <t>25*25</t>
  </si>
  <si>
    <t>퇴수지(B&amp;C)</t>
  </si>
  <si>
    <t>0.75*80m</t>
  </si>
  <si>
    <t>티고정구</t>
  </si>
  <si>
    <t>패드비닐</t>
  </si>
  <si>
    <t>200m</t>
  </si>
  <si>
    <t>포스맥패드 0.8-가로</t>
  </si>
  <si>
    <t>포스맥패드 0.8-마구리</t>
  </si>
  <si>
    <t>포스맥패드 0.8-상부</t>
  </si>
  <si>
    <t>하우스크립</t>
  </si>
  <si>
    <t>하우스클립</t>
  </si>
  <si>
    <t>22*22*2P</t>
  </si>
  <si>
    <t>하이덴 고정강선</t>
  </si>
  <si>
    <t>32강선</t>
  </si>
  <si>
    <t>하이덴 물받이</t>
  </si>
  <si>
    <t>1t*25cm*85m</t>
  </si>
  <si>
    <t>한끈</t>
  </si>
  <si>
    <t>낙하산끈</t>
  </si>
  <si>
    <t>횡대파이프</t>
  </si>
  <si>
    <t>22.2mm*1.5</t>
  </si>
  <si>
    <t>t고정구</t>
  </si>
  <si>
    <t>T크램프-내재해형</t>
  </si>
  <si>
    <t>THP일반관</t>
  </si>
  <si>
    <t>Φ300mm</t>
  </si>
  <si>
    <t>837(2304)</t>
  </si>
  <si>
    <t>741</t>
  </si>
  <si>
    <t>792(2108)</t>
  </si>
  <si>
    <t>588(2306)</t>
  </si>
  <si>
    <t>Φ500mm</t>
  </si>
  <si>
    <t>U볼트</t>
  </si>
  <si>
    <t>U볼트, M16×80mm</t>
  </si>
  <si>
    <t>46(2501)</t>
  </si>
  <si>
    <t>uv망끈 1.2M간격</t>
  </si>
  <si>
    <t>uv방풍망</t>
  </si>
  <si>
    <t>1.5*100m</t>
  </si>
  <si>
    <t>uv방풍모기장-상부</t>
  </si>
  <si>
    <t>2*100M</t>
  </si>
  <si>
    <t>uv방풍모기장-측면</t>
  </si>
  <si>
    <t>건설기계운전사</t>
  </si>
  <si>
    <t>일반공사 직종</t>
  </si>
  <si>
    <t>인</t>
  </si>
  <si>
    <t>건설기계운전기사</t>
  </si>
  <si>
    <t>내장공</t>
  </si>
  <si>
    <t>보통인부</t>
  </si>
  <si>
    <t>용접공</t>
  </si>
  <si>
    <t>용접공(일반)</t>
  </si>
  <si>
    <t>일반기계운전사</t>
  </si>
  <si>
    <t>운전사(기계)</t>
  </si>
  <si>
    <t>저압케이블전공</t>
  </si>
  <si>
    <t>철공</t>
  </si>
  <si>
    <t>철근공</t>
  </si>
  <si>
    <t>콘크리트공</t>
  </si>
  <si>
    <t>통신케이블공</t>
  </si>
  <si>
    <t>특별인부</t>
  </si>
  <si>
    <t>형틀목공</t>
  </si>
  <si>
    <t>굴착기(유압식백호우)</t>
  </si>
  <si>
    <t>0.4 ㎥</t>
  </si>
  <si>
    <t>공통8-5-1(0201)</t>
  </si>
  <si>
    <t>0.7 ㎥</t>
  </si>
  <si>
    <t>굴착기(타이어)</t>
  </si>
  <si>
    <t>0.6 ㎥</t>
  </si>
  <si>
    <t>공통8-5-1(0211)</t>
  </si>
  <si>
    <t>덤프트럭</t>
  </si>
  <si>
    <t>15 ton</t>
  </si>
  <si>
    <t>공통8-5-1(0602)</t>
  </si>
  <si>
    <t>래머</t>
  </si>
  <si>
    <t>80 kg</t>
  </si>
  <si>
    <t>공통8-5-2(1630)</t>
  </si>
  <si>
    <t>콘크리트 펌프차</t>
  </si>
  <si>
    <t>32 m (80~95 ㎥/hr)</t>
  </si>
  <si>
    <t>공통8-5-5(4504)</t>
  </si>
  <si>
    <t>중    기    경    비</t>
  </si>
  <si>
    <t>품          명</t>
  </si>
  <si>
    <t>규          격</t>
  </si>
  <si>
    <t>수  량</t>
  </si>
  <si>
    <t>재   료   비</t>
  </si>
  <si>
    <t>노   무   비</t>
  </si>
  <si>
    <t>경        비</t>
  </si>
  <si>
    <t>합        계</t>
  </si>
  <si>
    <t>비  고</t>
  </si>
  <si>
    <t>단  가</t>
  </si>
  <si>
    <t>금   액</t>
  </si>
  <si>
    <t>손료요율</t>
  </si>
  <si>
    <t>손료구분</t>
  </si>
  <si>
    <t>적용구분</t>
  </si>
  <si>
    <t>합계구분</t>
  </si>
  <si>
    <t>품목구분</t>
  </si>
  <si>
    <t>조달코드</t>
  </si>
  <si>
    <t>[중기  1호] - [굴착기(타이어)  0.6㎥  HR]</t>
  </si>
  <si>
    <t>공통8-4-1,8-3-1(0211)</t>
  </si>
  <si>
    <t>[경  비]</t>
  </si>
  <si>
    <t/>
  </si>
  <si>
    <t>03</t>
  </si>
  <si>
    <t>기계경비</t>
  </si>
  <si>
    <t>소  계</t>
  </si>
  <si>
    <t>[재료비]</t>
  </si>
  <si>
    <t>01</t>
  </si>
  <si>
    <t>잡품</t>
  </si>
  <si>
    <t>재료비-&gt;재료비</t>
  </si>
  <si>
    <t>20</t>
  </si>
  <si>
    <t>A0100000000</t>
  </si>
  <si>
    <t>재료비</t>
  </si>
  <si>
    <t>[노무비]</t>
  </si>
  <si>
    <t>02</t>
  </si>
  <si>
    <t>[합계]</t>
  </si>
  <si>
    <t>[중기  2호] - [굴착기(무한궤도)  0.7㎥  HR]</t>
  </si>
  <si>
    <t>공통8-4-1,8-3-1(0201)</t>
  </si>
  <si>
    <t>[중기  3호] - [덤프트럭  15ton  HR]</t>
  </si>
  <si>
    <t>공통8-4-1,8-3-1(0602)</t>
  </si>
  <si>
    <t>[중기  4호] - [래머  80kg  HR]</t>
  </si>
  <si>
    <t>공통8-4-2,8-3-2(1630)</t>
  </si>
  <si>
    <t>[중기  5호] - [콘크리트 펌프차  32m(80∼95㎥/hr)  HR]</t>
  </si>
  <si>
    <t>공통8-4-5,8-3-5(4504)</t>
  </si>
  <si>
    <t>[중기  6호] - [굴착기(무한궤도)  0.4㎥  HR]</t>
  </si>
  <si>
    <t>중 기 경 비 목 록</t>
  </si>
  <si>
    <t>호 표</t>
  </si>
  <si>
    <t>수량</t>
  </si>
  <si>
    <t>재 료 비</t>
  </si>
  <si>
    <t>노 무 비</t>
  </si>
  <si>
    <t>경    비</t>
  </si>
  <si>
    <t>합    계</t>
  </si>
  <si>
    <t>중기  1호</t>
  </si>
  <si>
    <t>0.6㎥</t>
  </si>
  <si>
    <t>HR</t>
  </si>
  <si>
    <t>중기  2호</t>
  </si>
  <si>
    <t>굴착기(무한궤도)</t>
  </si>
  <si>
    <t>0.7㎥</t>
  </si>
  <si>
    <t>중기  3호</t>
  </si>
  <si>
    <t>15ton</t>
  </si>
  <si>
    <t>중기  4호</t>
  </si>
  <si>
    <t>80kg</t>
  </si>
  <si>
    <t>중기  5호</t>
  </si>
  <si>
    <t>32m(80∼95㎥/hr)</t>
  </si>
  <si>
    <t>중기  6호</t>
  </si>
  <si>
    <t>0.4㎥</t>
  </si>
  <si>
    <t>단   가   산   출   서</t>
  </si>
  <si>
    <t>산   출   근   거</t>
  </si>
  <si>
    <t>비    고</t>
  </si>
  <si>
    <t>[단산  1호] - [터파기(기계+인력)  보통, 백호(0.7㎥)80%+인력20%, 점질토  M3]</t>
  </si>
  <si>
    <t>공통8-2-3</t>
  </si>
  <si>
    <t>1.기계</t>
  </si>
  <si>
    <t xml:space="preserve"> 굴착기(무한궤도) 0.7㎥ HR</t>
  </si>
  <si>
    <t>q9</t>
  </si>
  <si>
    <t>k</t>
  </si>
  <si>
    <t>f</t>
  </si>
  <si>
    <t>E</t>
  </si>
  <si>
    <t>Cm</t>
  </si>
  <si>
    <t>Q</t>
  </si>
  <si>
    <t xml:space="preserve"> 소  계</t>
  </si>
  <si>
    <t>2.인력</t>
  </si>
  <si>
    <t>[단산  2호] - [잔토처리(백호우0.7M3)  토사, 5KM, 담프15톤  M3]</t>
  </si>
  <si>
    <t>공통8-4-1,8-3-1참조</t>
  </si>
  <si>
    <t>1.적재</t>
  </si>
  <si>
    <t xml:space="preserve"> 굴삭기(무한궤도) 0.7㎥ HR</t>
  </si>
  <si>
    <t>q</t>
  </si>
  <si>
    <t>2.운반</t>
  </si>
  <si>
    <t xml:space="preserve"> 덤프트럭 15ton HR</t>
  </si>
  <si>
    <t>T</t>
  </si>
  <si>
    <t>r1</t>
  </si>
  <si>
    <t>L1</t>
  </si>
  <si>
    <t>A</t>
  </si>
  <si>
    <t>Cms</t>
  </si>
  <si>
    <t>t2</t>
  </si>
  <si>
    <t>t3</t>
  </si>
  <si>
    <t>t4</t>
  </si>
  <si>
    <t>t5</t>
  </si>
  <si>
    <t>t6</t>
  </si>
  <si>
    <t>Es</t>
  </si>
  <si>
    <t>N</t>
  </si>
  <si>
    <t>[단산  3호] - [되메우고다지기  (백호0.7M3+램머80KG)다짐15CM  M3]</t>
  </si>
  <si>
    <t>공통8-2-3, 8-2-11</t>
  </si>
  <si>
    <t>1.굴삭기(유압식백호우0.7M3)</t>
  </si>
  <si>
    <t>두께 15Cm</t>
  </si>
  <si>
    <t>q1</t>
  </si>
  <si>
    <t>2.다짐(램머80KG)</t>
  </si>
  <si>
    <t xml:space="preserve"> 래머 80kg HR</t>
  </si>
  <si>
    <t>H</t>
  </si>
  <si>
    <t>P</t>
  </si>
  <si>
    <t>[단산  4호] - [부직포 설치    M2]</t>
  </si>
  <si>
    <t xml:space="preserve">해당 산출근거는 설계 참고자료로 활용가능한 산출 예 시로, 개별 공사의 각 설계조건별로 장비, 인력의 공량을 별도로 적용하여야 합니다. </t>
  </si>
  <si>
    <t xml:space="preserve">재료비는 해당 산출근거를 참고하되, 개별 설계에 따 라 별도 적용하여야 합니다. </t>
  </si>
  <si>
    <t>※참조#1 : 건설표준품셈 공통부문 5-2-1 매트부설</t>
  </si>
  <si>
    <t>1. 부직포 [재료비 별산]</t>
  </si>
  <si>
    <t>재료비 : 1.0 (m2) * 1.05</t>
  </si>
  <si>
    <t>잡재료비 : 주재료비 * 0.02</t>
  </si>
  <si>
    <t>2. 설치비</t>
  </si>
  <si>
    <t>매트부설 / 육상 연약지반 : 도로/철도  M2</t>
  </si>
  <si>
    <t>일위 16호</t>
  </si>
  <si>
    <t>단 가 산 출 서 목 록</t>
  </si>
  <si>
    <t>품    명</t>
  </si>
  <si>
    <t>규    격</t>
  </si>
  <si>
    <t>단산  1호</t>
  </si>
  <si>
    <t>터파기(기계+인력)</t>
  </si>
  <si>
    <t>보통, 백호(0.7㎥)80%+인력20%, 점질토</t>
  </si>
  <si>
    <t>M3</t>
  </si>
  <si>
    <t>단산  2호</t>
  </si>
  <si>
    <t>잔토처리(백호우0.7M3)</t>
  </si>
  <si>
    <t>토사, 5KM, 담프15톤</t>
  </si>
  <si>
    <t>마스원기술사사무소</t>
  </si>
  <si>
    <t>단산  3호</t>
  </si>
  <si>
    <t>되메우고다지기</t>
  </si>
  <si>
    <t>(백호0.7M3+램머80KG)다짐15CM</t>
  </si>
  <si>
    <t>단산  4호</t>
  </si>
  <si>
    <t>부직포 설치</t>
  </si>
  <si>
    <t>M2</t>
  </si>
  <si>
    <t>CTF60801000S</t>
  </si>
  <si>
    <t>일 위 대 가 명 세 서</t>
  </si>
  <si>
    <t>품        명</t>
  </si>
  <si>
    <t>규        격</t>
  </si>
  <si>
    <t>재  료  비</t>
  </si>
  <si>
    <t>노  무  비</t>
  </si>
  <si>
    <t>경      비</t>
  </si>
  <si>
    <t>합      계</t>
  </si>
  <si>
    <t>[일위  1호] - [철근콘크리트 펌프차 타설  8~12cm, Type-Ⅰ(매트기초), Type-Ⅰ(병렬타설)  M3]</t>
  </si>
  <si>
    <t>공통6-1-4</t>
  </si>
  <si>
    <t>공구손료</t>
  </si>
  <si>
    <t>23</t>
  </si>
  <si>
    <t>A0200000000</t>
  </si>
  <si>
    <t>타설 후 발생하는 잔여 콘크리트의 재료비</t>
  </si>
  <si>
    <t>99</t>
  </si>
  <si>
    <t>[일위  2호] - [철근 현장가공  Type-Ⅰ  TON]</t>
  </si>
  <si>
    <t>공통6-2-2</t>
  </si>
  <si>
    <t>기구손료</t>
  </si>
  <si>
    <t>[일위  3호] - [철근 현장조립  건축 Type-Ⅰ  ton]</t>
  </si>
  <si>
    <t>공통6-2-3</t>
  </si>
  <si>
    <t>[일위  4호] - [THP관 거푸집 설치  Ø500 × H150  개소]</t>
  </si>
  <si>
    <t>합판거푸집 설치 및 해체</t>
  </si>
  <si>
    <t>간단 6회, 수직고 7m까지</t>
  </si>
  <si>
    <t>일위 15호</t>
  </si>
  <si>
    <t>ADA10100040S</t>
  </si>
  <si>
    <t>[일위  5호] - [THP관 거푸집 설치  Ø250 × H550  개소]</t>
  </si>
  <si>
    <t>[일위  6호] - [방습필름 설치  바닥  M2]</t>
  </si>
  <si>
    <t>건축5-4-8</t>
  </si>
  <si>
    <t>[일위  7호] - [잡철물 제작 및 설치  제품설치, 경량철재  톤]</t>
  </si>
  <si>
    <t>설비9-1-2</t>
  </si>
  <si>
    <t>공구손료및기계경비</t>
  </si>
  <si>
    <t>잡재료비</t>
  </si>
  <si>
    <t>[일위  8호] - [방습필름 설치  벽  M2]</t>
  </si>
  <si>
    <t>[일위  9호] - [부지정리  평탄작업 및 배수로정비  일]</t>
  </si>
  <si>
    <t>[일위 10호] - [전선  VCTF 3P/1.5mm  m]</t>
  </si>
  <si>
    <t>전기5-13</t>
  </si>
  <si>
    <t>VCTF 전선</t>
  </si>
  <si>
    <t>[일위 11호] - [전선  VCTF 3P/0.75mm  m]</t>
  </si>
  <si>
    <t>[일위 12호] - [전선  VCTF 2P/1.5mm  m]</t>
  </si>
  <si>
    <t>[일위 13호] - [전선  CV 4P/6mm  M]</t>
  </si>
  <si>
    <t>통신4-4-1</t>
  </si>
  <si>
    <t>[일위 14호] - [합판거푸집 - 인력투입  간단, 수직고 7m까지  M2]</t>
  </si>
  <si>
    <t>공통6-3-1.3</t>
  </si>
  <si>
    <t>[일위 15호] - [합판거푸집 설치 및 해체  간단 6회, 수직고 7m까지  M2]</t>
  </si>
  <si>
    <t>공통6-3-1</t>
  </si>
  <si>
    <t>합판거푸집 - 인력투입</t>
  </si>
  <si>
    <t>간단, 수직고 7m까지</t>
  </si>
  <si>
    <t>일위 14호</t>
  </si>
  <si>
    <t>ADA10100030S</t>
  </si>
  <si>
    <t>[일위 16호] - [매트부설 / 육상  연약지반 : 도로/철도   M2]</t>
  </si>
  <si>
    <t>공통5-2-1(26년보완)</t>
  </si>
  <si>
    <t>일 위 대 가 표 목 록</t>
  </si>
  <si>
    <t>금    액</t>
  </si>
  <si>
    <t>일위  1호</t>
  </si>
  <si>
    <t>철근콘크리트 펌프차 타설</t>
  </si>
  <si>
    <t>8~12cm, Type-Ⅰ(매트기초), Type-Ⅰ(병렬타설)</t>
  </si>
  <si>
    <t>ADF20200010S</t>
  </si>
  <si>
    <t>일위  2호</t>
  </si>
  <si>
    <t>철근 현장가공</t>
  </si>
  <si>
    <t>Type-Ⅰ</t>
  </si>
  <si>
    <t>TON</t>
  </si>
  <si>
    <t>ADB00000090S</t>
  </si>
  <si>
    <t>일위  3호</t>
  </si>
  <si>
    <t>철근 현장조립</t>
  </si>
  <si>
    <t>건축 Type-Ⅰ</t>
  </si>
  <si>
    <t>ton</t>
  </si>
  <si>
    <t>ADB00000120S</t>
  </si>
  <si>
    <t>일위  4호</t>
  </si>
  <si>
    <t>THP관 거푸집 설치</t>
  </si>
  <si>
    <t>Ø500 × H150</t>
  </si>
  <si>
    <t>개소</t>
  </si>
  <si>
    <t>일위  5호</t>
  </si>
  <si>
    <t>Ø250 × H550</t>
  </si>
  <si>
    <t>일위  6호</t>
  </si>
  <si>
    <t>방습필름 설치</t>
  </si>
  <si>
    <t>바닥</t>
  </si>
  <si>
    <t>AHK11000010S</t>
  </si>
  <si>
    <t>일위  7호</t>
  </si>
  <si>
    <t>잡철물 제작 및 설치</t>
  </si>
  <si>
    <t>제품설치, 경량철재</t>
  </si>
  <si>
    <t>톤</t>
  </si>
  <si>
    <t>MJA10110010S</t>
  </si>
  <si>
    <t>일위  8호</t>
  </si>
  <si>
    <t>벽</t>
  </si>
  <si>
    <t>AHK11000020S</t>
  </si>
  <si>
    <t>일위  9호</t>
  </si>
  <si>
    <t>부지정리</t>
  </si>
  <si>
    <t>평탄작업 및 배수로정비</t>
  </si>
  <si>
    <t>일</t>
  </si>
  <si>
    <t>일위 10호</t>
  </si>
  <si>
    <t>전선</t>
  </si>
  <si>
    <t>VCTF 3P/1.5mm</t>
  </si>
  <si>
    <t>EDB41100030S</t>
  </si>
  <si>
    <t>일위 11호</t>
  </si>
  <si>
    <t>VCTF 3P/0.75mm</t>
  </si>
  <si>
    <t>일위 12호</t>
  </si>
  <si>
    <t>VCTF 2P/1.5mm</t>
  </si>
  <si>
    <t>EDB41100020S</t>
  </si>
  <si>
    <t>일위 13호</t>
  </si>
  <si>
    <t>CV 4P/6mm</t>
  </si>
  <si>
    <t>TDI55400010S</t>
  </si>
  <si>
    <t>매트부설 / 육상</t>
  </si>
  <si>
    <t xml:space="preserve">연약지반 : 도로/철도 </t>
  </si>
  <si>
    <t>CCD50112100S</t>
  </si>
  <si>
    <t>내       역       서</t>
  </si>
  <si>
    <t>품      명</t>
  </si>
  <si>
    <t>규      격</t>
  </si>
  <si>
    <t>비고</t>
  </si>
  <si>
    <t>운반비</t>
  </si>
  <si>
    <t>작업부산물</t>
  </si>
  <si>
    <t>관급</t>
  </si>
  <si>
    <t>외주비</t>
  </si>
  <si>
    <t>장비비</t>
  </si>
  <si>
    <t>폐기물처리비</t>
  </si>
  <si>
    <t>가설비</t>
  </si>
  <si>
    <t>잡비제외분</t>
  </si>
  <si>
    <t>사급자재대</t>
  </si>
  <si>
    <t>관급자재대</t>
  </si>
  <si>
    <t>고철처리비</t>
  </si>
  <si>
    <t>사용자항목2</t>
  </si>
  <si>
    <t>안전관리비</t>
  </si>
  <si>
    <t>품질관리비</t>
  </si>
  <si>
    <t>사용자항목5</t>
  </si>
  <si>
    <t>사용자항목6</t>
  </si>
  <si>
    <t>사용자항목7</t>
  </si>
  <si>
    <t>관급자 관급 자재대</t>
  </si>
  <si>
    <t>전기공사</t>
  </si>
  <si>
    <t>석면분담금</t>
  </si>
  <si>
    <t>임금채권부담금</t>
  </si>
  <si>
    <t>건설기계대여보증수수료</t>
  </si>
  <si>
    <t>사용자항목13</t>
  </si>
  <si>
    <t>사용자항목14</t>
  </si>
  <si>
    <t>사용자항목15</t>
  </si>
  <si>
    <t>사용자항목16</t>
  </si>
  <si>
    <t>사용자항목17</t>
  </si>
  <si>
    <t>사용자항목18</t>
  </si>
  <si>
    <t>사용자항목19</t>
  </si>
  <si>
    <t>간접재료비</t>
  </si>
  <si>
    <t>01. 철공 및 비닐공사</t>
  </si>
  <si>
    <t>기초공사</t>
  </si>
  <si>
    <t xml:space="preserve"> 레미콘</t>
  </si>
  <si>
    <t xml:space="preserve"> 이형철근</t>
  </si>
  <si>
    <t xml:space="preserve"> 용접철망</t>
  </si>
  <si>
    <t xml:space="preserve"> 철근콘크리트 펌프차 타설</t>
  </si>
  <si>
    <t xml:space="preserve"> 철근 현장가공</t>
  </si>
  <si>
    <t xml:space="preserve"> 철근 현장조립</t>
  </si>
  <si>
    <t xml:space="preserve"> THP관 거푸집 설치</t>
  </si>
  <si>
    <t xml:space="preserve"> 터파기(기계+인력)</t>
  </si>
  <si>
    <t xml:space="preserve"> 잔토처리(백호우0.7M3)</t>
  </si>
  <si>
    <t xml:space="preserve"> 되메우고다지기</t>
  </si>
  <si>
    <t>철공 및 비닐공사</t>
  </si>
  <si>
    <t xml:space="preserve"> 주기둥 3m 간격</t>
  </si>
  <si>
    <t xml:space="preserve"> 사이기둥 3줄보강</t>
  </si>
  <si>
    <t xml:space="preserve"> 중방 3m간격</t>
  </si>
  <si>
    <t xml:space="preserve"> 기둥보</t>
  </si>
  <si>
    <t xml:space="preserve"> 기둥브레이싱</t>
  </si>
  <si>
    <t xml:space="preserve"> 마구리기둥</t>
  </si>
  <si>
    <t xml:space="preserve"> 서까래 1중 60간격</t>
  </si>
  <si>
    <t xml:space="preserve"> 서까래 1중 60간격-방풍연결</t>
  </si>
  <si>
    <t xml:space="preserve"> 2중방풍파이프</t>
  </si>
  <si>
    <t xml:space="preserve"> 2중방풍인발</t>
  </si>
  <si>
    <t xml:space="preserve"> 천창대각선 1중</t>
  </si>
  <si>
    <t xml:space="preserve"> 마구리</t>
  </si>
  <si>
    <t xml:space="preserve"> 가로대파이프</t>
  </si>
  <si>
    <t xml:space="preserve"> 개폐파이프</t>
  </si>
  <si>
    <t xml:space="preserve"> T크램프-내재해형</t>
  </si>
  <si>
    <t xml:space="preserve"> +자크램프</t>
  </si>
  <si>
    <t xml:space="preserve"> 내부외벽크램프</t>
  </si>
  <si>
    <t xml:space="preserve"> 1중 쌍봉</t>
  </si>
  <si>
    <t xml:space="preserve"> t고정구</t>
  </si>
  <si>
    <t xml:space="preserve"> 까치발-중방대</t>
  </si>
  <si>
    <t xml:space="preserve"> 중방외받침</t>
  </si>
  <si>
    <t xml:space="preserve"> 출입문</t>
  </si>
  <si>
    <t xml:space="preserve"> 출입문로라</t>
  </si>
  <si>
    <t xml:space="preserve"> 출입문 손잡이</t>
  </si>
  <si>
    <t xml:space="preserve"> 일반조리개</t>
  </si>
  <si>
    <t xml:space="preserve"> 내재해조리개 -십자형</t>
  </si>
  <si>
    <t xml:space="preserve"> 포스맥패드 0.8-가로</t>
  </si>
  <si>
    <t xml:space="preserve"> 포스맥패드 0.8-상부</t>
  </si>
  <si>
    <t xml:space="preserve"> 포스맥패드 0.8-마구리</t>
  </si>
  <si>
    <t xml:space="preserve"> 1중물받이패드0.8</t>
  </si>
  <si>
    <t xml:space="preserve"> 고정구(구형)</t>
  </si>
  <si>
    <t xml:space="preserve"> 새들고정구</t>
  </si>
  <si>
    <t xml:space="preserve"> 전동개폐기</t>
  </si>
  <si>
    <t xml:space="preserve"> 전동개폐 가이드로라</t>
  </si>
  <si>
    <t xml:space="preserve"> 전동개폐기부속</t>
  </si>
  <si>
    <t xml:space="preserve"> 1중 po코팅비닐 -천창-접</t>
  </si>
  <si>
    <t xml:space="preserve"> 1중 직조비닐 -측면-편</t>
  </si>
  <si>
    <t xml:space="preserve"> 내부방풍 po코팅비닐 -측면-접</t>
  </si>
  <si>
    <t xml:space="preserve"> 1중 직조 -마구리-편</t>
  </si>
  <si>
    <t xml:space="preserve"> 1중 po코팅비닐 -마구리-편</t>
  </si>
  <si>
    <t xml:space="preserve"> 상부치마 10골</t>
  </si>
  <si>
    <t xml:space="preserve"> 1중치마 측,전후하단</t>
  </si>
  <si>
    <t xml:space="preserve"> 하우스크립</t>
  </si>
  <si>
    <t xml:space="preserve"> 지오</t>
  </si>
  <si>
    <t xml:space="preserve"> 패드비닐</t>
  </si>
  <si>
    <t xml:space="preserve"> 1중 물받이 철판</t>
  </si>
  <si>
    <t xml:space="preserve"> 하이덴 물받이</t>
  </si>
  <si>
    <t xml:space="preserve"> uv방풍망</t>
  </si>
  <si>
    <t xml:space="preserve"> uv방풍모기장-측면</t>
  </si>
  <si>
    <t xml:space="preserve"> uv방풍모기장-상부</t>
  </si>
  <si>
    <t xml:space="preserve"> 스프링</t>
  </si>
  <si>
    <t xml:space="preserve"> uv망끈 1.2M간격</t>
  </si>
  <si>
    <t xml:space="preserve"> 하이덴 고정강선</t>
  </si>
  <si>
    <t xml:space="preserve"> 방습필름 설치</t>
  </si>
  <si>
    <t xml:space="preserve"> 잡철물 제작 및 설치</t>
  </si>
  <si>
    <t>02. 보온커튼공사</t>
  </si>
  <si>
    <t>보온커튼공사</t>
  </si>
  <si>
    <t xml:space="preserve"> 축베어링파이프</t>
  </si>
  <si>
    <t xml:space="preserve"> 커튼지지파이프</t>
  </si>
  <si>
    <t xml:space="preserve"> 개폐파이프-측면, 전후</t>
  </si>
  <si>
    <t xml:space="preserve"> 치마고정</t>
  </si>
  <si>
    <t xml:space="preserve"> 축파이프외</t>
  </si>
  <si>
    <t xml:space="preserve"> 새들-고정받침선,커튼고정</t>
  </si>
  <si>
    <t xml:space="preserve"> 연결핀</t>
  </si>
  <si>
    <t xml:space="preserve"> 코팅와이어</t>
  </si>
  <si>
    <t xml:space="preserve"> 사이드로라</t>
  </si>
  <si>
    <t xml:space="preserve"> 축수베어링 1.5M</t>
  </si>
  <si>
    <t xml:space="preserve"> 드럼 1.5M간격</t>
  </si>
  <si>
    <t xml:space="preserve"> 커튼로라-수직로라</t>
  </si>
  <si>
    <t xml:space="preserve"> 커튼로라-수평로라</t>
  </si>
  <si>
    <t xml:space="preserve"> 로라 활자고리</t>
  </si>
  <si>
    <t xml:space="preserve"> 받침선50간격</t>
  </si>
  <si>
    <t xml:space="preserve"> 예인선1.5m간격</t>
  </si>
  <si>
    <t xml:space="preserve"> 예인크립</t>
  </si>
  <si>
    <t xml:space="preserve"> 인장기</t>
  </si>
  <si>
    <t xml:space="preserve"> 와이어크립</t>
  </si>
  <si>
    <t xml:space="preserve"> 다겹보온부직포(천창수평)-끈</t>
  </si>
  <si>
    <t xml:space="preserve"> 다겹보온부직포(측창)센터</t>
  </si>
  <si>
    <t xml:space="preserve"> 다겹보온부직포(치마 )</t>
  </si>
  <si>
    <t xml:space="preserve"> 다겹보온부직포(마구리) ,방풍</t>
  </si>
  <si>
    <t xml:space="preserve"> 다겹방풍포켓</t>
  </si>
  <si>
    <t xml:space="preserve"> 다겹보온부직포(방풍모서리 )</t>
  </si>
  <si>
    <t xml:space="preserve"> 가이드로라</t>
  </si>
  <si>
    <t xml:space="preserve"> 전동개폐모터 수평</t>
  </si>
  <si>
    <t xml:space="preserve"> 전동개페기</t>
  </si>
  <si>
    <t xml:space="preserve"> 모터설치</t>
  </si>
  <si>
    <t xml:space="preserve"> 개폐기  -전선,설치비포함</t>
  </si>
  <si>
    <t xml:space="preserve"> 부직포 설치</t>
  </si>
  <si>
    <t>03. 알미늄스크린공사</t>
  </si>
  <si>
    <t>알미늄스크린공사</t>
  </si>
  <si>
    <t xml:space="preserve"> U볼트</t>
  </si>
  <si>
    <t xml:space="preserve"> 알미늄 차공막 (천창수평)-끈</t>
  </si>
  <si>
    <t xml:space="preserve"> 한끈</t>
  </si>
  <si>
    <t>04. 양액U베드시설공사</t>
  </si>
  <si>
    <t>시설공사</t>
  </si>
  <si>
    <t xml:space="preserve"> 기둥파이프</t>
  </si>
  <si>
    <t xml:space="preserve"> 횡대파이프</t>
  </si>
  <si>
    <t xml:space="preserve"> 티고정구</t>
  </si>
  <si>
    <t xml:space="preserve"> 하우스클립</t>
  </si>
  <si>
    <t xml:space="preserve"> 물탱크(FRP)</t>
  </si>
  <si>
    <t xml:space="preserve"> 액비통</t>
  </si>
  <si>
    <t xml:space="preserve"> 교반기</t>
  </si>
  <si>
    <t xml:space="preserve"> 공급펌프</t>
  </si>
  <si>
    <t xml:space="preserve"> 여과기</t>
  </si>
  <si>
    <t xml:space="preserve"> 점적호스</t>
  </si>
  <si>
    <t xml:space="preserve"> 밸브소켓</t>
  </si>
  <si>
    <t xml:space="preserve"> 조임식엘보</t>
  </si>
  <si>
    <t xml:space="preserve"> 조임식정티</t>
  </si>
  <si>
    <t xml:space="preserve"> 라인밸브</t>
  </si>
  <si>
    <t xml:space="preserve"> 미늘엘보</t>
  </si>
  <si>
    <t xml:space="preserve"> 중형새들</t>
  </si>
  <si>
    <t xml:space="preserve"> 2P미늘</t>
  </si>
  <si>
    <t xml:space="preserve"> 연질호스</t>
  </si>
  <si>
    <t xml:space="preserve"> 바닥지(UV)wellding</t>
  </si>
  <si>
    <t xml:space="preserve"> 퇴수지(B&amp;C)</t>
  </si>
  <si>
    <t xml:space="preserve"> 유베드</t>
  </si>
  <si>
    <t xml:space="preserve"> 재배지(합지)</t>
  </si>
  <si>
    <t xml:space="preserve"> 바닥다짐로라</t>
  </si>
  <si>
    <t xml:space="preserve"> 수도용경질폴리염화비닐관</t>
  </si>
  <si>
    <t xml:space="preserve"> 수도용경질폴리염화비닐이음관</t>
  </si>
  <si>
    <t xml:space="preserve"> 퇴수구</t>
  </si>
  <si>
    <t xml:space="preserve"> 전자밸브</t>
  </si>
  <si>
    <t xml:space="preserve"> 유니온볼밸브</t>
  </si>
  <si>
    <t xml:space="preserve"> 수도관</t>
  </si>
  <si>
    <t xml:space="preserve"> 고밀도PE수도관</t>
  </si>
  <si>
    <t xml:space="preserve"> 바닥고정핀</t>
  </si>
  <si>
    <t xml:space="preserve"> 부지정리</t>
  </si>
  <si>
    <t>05. 유동휀공사</t>
  </si>
  <si>
    <t>휀설치공사</t>
  </si>
  <si>
    <t xml:space="preserve"> 유동휀</t>
  </si>
  <si>
    <t xml:space="preserve"> 컨트럴박스</t>
  </si>
  <si>
    <t xml:space="preserve"> 전선</t>
  </si>
  <si>
    <t>집      계      표</t>
  </si>
  <si>
    <t>공 사 원 가 계 산 서</t>
  </si>
  <si>
    <t>구    성   비</t>
  </si>
  <si>
    <t>금      액</t>
  </si>
  <si>
    <t>직   접   재  료  비</t>
  </si>
  <si>
    <t>A1</t>
  </si>
  <si>
    <t>간   접   재  료  비</t>
  </si>
  <si>
    <t>A2</t>
  </si>
  <si>
    <t>작업설.부산물 등(△)</t>
  </si>
  <si>
    <t>A3</t>
  </si>
  <si>
    <t>소                계</t>
  </si>
  <si>
    <t>직   접   노  무  비</t>
  </si>
  <si>
    <t>B1</t>
  </si>
  <si>
    <t>간   접   노  무  비</t>
  </si>
  <si>
    <t>B2</t>
  </si>
  <si>
    <t>B</t>
  </si>
  <si>
    <t>기    계    경    비</t>
  </si>
  <si>
    <t>C4</t>
  </si>
  <si>
    <t>산  재  보   험   료</t>
  </si>
  <si>
    <t>모든 건설공사</t>
  </si>
  <si>
    <t>C10</t>
  </si>
  <si>
    <t>고  용  보   험   료</t>
  </si>
  <si>
    <t>7등급 미만</t>
  </si>
  <si>
    <t>C11</t>
  </si>
  <si>
    <t>석   면   분  담  금</t>
  </si>
  <si>
    <t>L3</t>
  </si>
  <si>
    <t>임 금 채 권 부 담 금</t>
  </si>
  <si>
    <t>L4</t>
  </si>
  <si>
    <t>건  강  보   험   료</t>
  </si>
  <si>
    <t>6개월 미만공사</t>
  </si>
  <si>
    <t>C12</t>
  </si>
  <si>
    <t>연  금  보   험   료</t>
  </si>
  <si>
    <t>C13</t>
  </si>
  <si>
    <t>노인 장기 요양보험료</t>
  </si>
  <si>
    <t>C14</t>
  </si>
  <si>
    <t>산업 안전 보건관리비</t>
  </si>
  <si>
    <t>5억미만 건축공사</t>
  </si>
  <si>
    <t>C16</t>
  </si>
  <si>
    <t>기    타    경    비</t>
  </si>
  <si>
    <t>10억미만</t>
  </si>
  <si>
    <t>C20</t>
  </si>
  <si>
    <t>환  경  보   전   비</t>
  </si>
  <si>
    <t>C25</t>
  </si>
  <si>
    <t>건설하도급보증수수료</t>
  </si>
  <si>
    <t>C30</t>
  </si>
  <si>
    <t>C32</t>
  </si>
  <si>
    <t>C17</t>
  </si>
  <si>
    <t>C</t>
  </si>
  <si>
    <t xml:space="preserve">         계</t>
  </si>
  <si>
    <t>X</t>
  </si>
  <si>
    <t>일  반   관   리  비</t>
  </si>
  <si>
    <t>D</t>
  </si>
  <si>
    <t>이                윤</t>
  </si>
  <si>
    <t>총       원       가</t>
  </si>
  <si>
    <t>F</t>
  </si>
  <si>
    <t>부   가   가  치  세</t>
  </si>
  <si>
    <t>도    급    금    액</t>
  </si>
  <si>
    <t>Y</t>
  </si>
  <si>
    <t>노무비</t>
  </si>
  <si>
    <t>경  비</t>
  </si>
  <si>
    <t>순  공  사  원  가</t>
  </si>
  <si>
    <t>폐 기 물 처 리 비</t>
  </si>
  <si>
    <t xml:space="preserve">                                               구  분
  비   목</t>
    <phoneticPr fontId="1" type="noConversion"/>
  </si>
  <si>
    <t>십만원미만절사</t>
    <phoneticPr fontId="1" type="noConversion"/>
  </si>
  <si>
    <t xml:space="preserve">양액순환 장치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</si>
</sst>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8"/>
      <color rgb="FF000000"/>
      <name val="굴림체"/>
      <family val="3"/>
      <charset val="129"/>
    </font>
    <font>
      <b/>
      <u/>
      <sz val="9"/>
      <color rgb="FF0000FF"/>
      <name val="굴림체"/>
      <family val="3"/>
      <charset val="129"/>
    </font>
    <font>
      <b/>
      <u/>
      <sz val="9"/>
      <color rgb="FF0000FF"/>
      <name val="맑은 고딕"/>
      <family val="2"/>
      <charset val="129"/>
      <scheme val="minor"/>
    </font>
    <font>
      <sz val="8"/>
      <color rgb="FF000080"/>
      <name val="굴림체"/>
      <family val="3"/>
      <charset val="129"/>
    </font>
    <font>
      <sz val="8"/>
      <color theme="1"/>
      <name val="굴림체"/>
      <family val="3"/>
      <charset val="129"/>
    </font>
    <font>
      <b/>
      <sz val="8"/>
      <color rgb="FF0000FF"/>
      <name val="굴림체"/>
      <family val="3"/>
      <charset val="129"/>
    </font>
    <font>
      <b/>
      <sz val="8"/>
      <color rgb="FF000000"/>
      <name val="굴림체"/>
      <family val="3"/>
      <charset val="129"/>
    </font>
    <font>
      <b/>
      <sz val="8"/>
      <color rgb="FF800000"/>
      <name val="굴림체"/>
      <family val="3"/>
      <charset val="129"/>
    </font>
    <font>
      <sz val="8"/>
      <color rgb="FF000000"/>
      <name val="굴림체"/>
      <family val="3"/>
      <charset val="129"/>
    </font>
    <font>
      <b/>
      <sz val="8"/>
      <color theme="1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CE4D6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rgb="FFF0FFFF"/>
        <bgColor indexed="64"/>
      </patternFill>
    </fill>
    <fill>
      <patternFill patternType="solid">
        <fgColor rgb="FFF4F4FD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left" vertical="center" shrinkToFit="1"/>
    </xf>
    <xf numFmtId="0" fontId="6" fillId="0" borderId="1" xfId="0" quotePrefix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right" vertical="center" shrinkToFit="1"/>
    </xf>
    <xf numFmtId="0" fontId="6" fillId="0" borderId="1" xfId="0" applyFont="1" applyBorder="1" applyAlignment="1">
      <alignment horizontal="center" vertical="center" shrinkToFit="1"/>
    </xf>
    <xf numFmtId="0" fontId="0" fillId="0" borderId="0" xfId="0" quotePrefix="1">
      <alignment vertical="center"/>
    </xf>
    <xf numFmtId="0" fontId="7" fillId="4" borderId="1" xfId="0" quotePrefix="1" applyFont="1" applyFill="1" applyBorder="1" applyAlignment="1">
      <alignment horizontal="left" vertical="center" shrinkToFit="1"/>
    </xf>
    <xf numFmtId="0" fontId="8" fillId="2" borderId="1" xfId="0" quotePrefix="1" applyFont="1" applyFill="1" applyBorder="1" applyAlignment="1">
      <alignment horizontal="distributed" vertical="center" shrinkToFit="1"/>
    </xf>
    <xf numFmtId="0" fontId="8" fillId="2" borderId="1" xfId="0" applyFont="1" applyFill="1" applyBorder="1" applyAlignment="1">
      <alignment horizontal="left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right" vertical="center" shrinkToFit="1"/>
    </xf>
    <xf numFmtId="0" fontId="7" fillId="4" borderId="1" xfId="0" applyFont="1" applyFill="1" applyBorder="1" applyAlignment="1">
      <alignment horizontal="left" vertical="center" shrinkToFit="1"/>
    </xf>
    <xf numFmtId="0" fontId="10" fillId="0" borderId="11" xfId="0" quotePrefix="1" applyFont="1" applyBorder="1" applyAlignment="1">
      <alignment horizontal="center" vertical="center" shrinkToFit="1"/>
    </xf>
    <xf numFmtId="0" fontId="10" fillId="0" borderId="11" xfId="0" quotePrefix="1" applyFont="1" applyBorder="1" applyAlignment="1">
      <alignment horizontal="left" vertical="center" shrinkToFit="1"/>
    </xf>
    <xf numFmtId="0" fontId="10" fillId="0" borderId="11" xfId="0" applyFont="1" applyBorder="1" applyAlignment="1">
      <alignment horizontal="right" vertical="center" shrinkToFit="1"/>
    </xf>
    <xf numFmtId="0" fontId="10" fillId="0" borderId="12" xfId="0" quotePrefix="1" applyFont="1" applyBorder="1" applyAlignment="1">
      <alignment horizontal="center" vertical="center" shrinkToFit="1"/>
    </xf>
    <xf numFmtId="0" fontId="10" fillId="0" borderId="12" xfId="0" quotePrefix="1" applyFont="1" applyBorder="1" applyAlignment="1">
      <alignment horizontal="left" vertical="center" shrinkToFit="1"/>
    </xf>
    <xf numFmtId="0" fontId="10" fillId="0" borderId="12" xfId="0" applyFont="1" applyBorder="1" applyAlignment="1">
      <alignment horizontal="right" vertical="center" shrinkToFit="1"/>
    </xf>
    <xf numFmtId="0" fontId="10" fillId="0" borderId="13" xfId="0" quotePrefix="1" applyFont="1" applyBorder="1" applyAlignment="1">
      <alignment horizontal="center" vertical="center" shrinkToFit="1"/>
    </xf>
    <xf numFmtId="0" fontId="10" fillId="0" borderId="13" xfId="0" quotePrefix="1" applyFont="1" applyBorder="1" applyAlignment="1">
      <alignment horizontal="left" vertical="center" shrinkToFit="1"/>
    </xf>
    <xf numFmtId="0" fontId="10" fillId="0" borderId="13" xfId="0" applyFont="1" applyBorder="1" applyAlignment="1">
      <alignment horizontal="right" vertical="center" shrinkToFit="1"/>
    </xf>
    <xf numFmtId="0" fontId="8" fillId="2" borderId="1" xfId="0" quotePrefix="1" applyFont="1" applyFill="1" applyBorder="1" applyAlignment="1">
      <alignment horizontal="center" vertical="center" shrinkToFit="1"/>
    </xf>
    <xf numFmtId="0" fontId="8" fillId="2" borderId="1" xfId="0" quotePrefix="1" applyFont="1" applyFill="1" applyBorder="1" applyAlignment="1">
      <alignment horizontal="left" vertical="center" shrinkToFit="1"/>
    </xf>
    <xf numFmtId="0" fontId="10" fillId="0" borderId="13" xfId="0" applyFont="1" applyBorder="1" applyAlignment="1">
      <alignment horizontal="left" vertical="center" shrinkToFit="1"/>
    </xf>
    <xf numFmtId="0" fontId="10" fillId="0" borderId="12" xfId="0" applyFont="1" applyBorder="1" applyAlignment="1">
      <alignment horizontal="left" vertical="center" shrinkToFit="1"/>
    </xf>
    <xf numFmtId="0" fontId="10" fillId="0" borderId="1" xfId="0" applyFont="1" applyBorder="1" applyAlignment="1">
      <alignment horizontal="left" vertical="center" shrinkToFit="1"/>
    </xf>
    <xf numFmtId="0" fontId="10" fillId="0" borderId="1" xfId="0" applyFont="1" applyBorder="1" applyAlignment="1">
      <alignment horizontal="right" vertical="center" shrinkToFit="1"/>
    </xf>
    <xf numFmtId="0" fontId="10" fillId="0" borderId="1" xfId="0" quotePrefix="1" applyFont="1" applyBorder="1" applyAlignment="1">
      <alignment horizontal="left" vertical="center" shrinkToFit="1"/>
    </xf>
    <xf numFmtId="0" fontId="11" fillId="6" borderId="1" xfId="0" applyFont="1" applyFill="1" applyBorder="1" applyAlignment="1">
      <alignment horizontal="right" vertical="center" shrinkToFit="1"/>
    </xf>
    <xf numFmtId="0" fontId="11" fillId="6" borderId="1" xfId="0" quotePrefix="1" applyFont="1" applyFill="1" applyBorder="1" applyAlignment="1">
      <alignment horizontal="left" vertical="center" shrinkToFit="1"/>
    </xf>
    <xf numFmtId="0" fontId="11" fillId="6" borderId="1" xfId="0" applyFont="1" applyFill="1" applyBorder="1" applyAlignment="1">
      <alignment horizontal="left" vertical="center" shrinkToFit="1"/>
    </xf>
    <xf numFmtId="0" fontId="11" fillId="6" borderId="1" xfId="0" quotePrefix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0" xfId="0" quotePrefix="1" applyFont="1">
      <alignment vertical="center"/>
    </xf>
    <xf numFmtId="0" fontId="4" fillId="0" borderId="0" xfId="0" applyFont="1">
      <alignment vertical="center"/>
    </xf>
    <xf numFmtId="0" fontId="5" fillId="3" borderId="10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2" borderId="1" xfId="0" quotePrefix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6" fillId="0" borderId="1" xfId="0" quotePrefix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" xfId="0" quotePrefix="1" applyFont="1" applyBorder="1" applyAlignment="1">
      <alignment horizontal="center" vertical="center" textRotation="255" shrinkToFit="1"/>
    </xf>
    <xf numFmtId="0" fontId="6" fillId="0" borderId="12" xfId="0" applyFont="1" applyBorder="1" applyAlignment="1">
      <alignment horizontal="center" vertical="center" textRotation="255" shrinkToFit="1"/>
    </xf>
    <xf numFmtId="0" fontId="6" fillId="0" borderId="13" xfId="0" applyFont="1" applyBorder="1" applyAlignment="1">
      <alignment horizontal="center" vertical="center" textRotation="255" shrinkToFit="1"/>
    </xf>
    <xf numFmtId="0" fontId="6" fillId="0" borderId="1" xfId="0" applyFont="1" applyBorder="1" applyAlignment="1">
      <alignment horizontal="center" vertical="center" textRotation="255" shrinkToFit="1"/>
    </xf>
    <xf numFmtId="0" fontId="6" fillId="0" borderId="11" xfId="0" applyFont="1" applyBorder="1" applyAlignment="1">
      <alignment horizontal="center" vertical="center" textRotation="255" shrinkToFit="1"/>
    </xf>
    <xf numFmtId="0" fontId="9" fillId="5" borderId="1" xfId="0" quotePrefix="1" applyFont="1" applyFill="1" applyBorder="1" applyAlignment="1">
      <alignment horizontal="left" vertical="center" shrinkToFit="1"/>
    </xf>
    <xf numFmtId="0" fontId="9" fillId="5" borderId="1" xfId="0" applyFont="1" applyFill="1" applyBorder="1" applyAlignment="1">
      <alignment horizontal="left" vertical="center" shrinkToFit="1"/>
    </xf>
    <xf numFmtId="0" fontId="9" fillId="5" borderId="3" xfId="0" quotePrefix="1" applyFont="1" applyFill="1" applyBorder="1" applyAlignment="1">
      <alignment horizontal="left" vertical="center" shrinkToFit="1"/>
    </xf>
    <xf numFmtId="0" fontId="9" fillId="5" borderId="4" xfId="0" quotePrefix="1" applyFont="1" applyFill="1" applyBorder="1" applyAlignment="1">
      <alignment horizontal="left" vertical="center" shrinkToFit="1"/>
    </xf>
    <xf numFmtId="0" fontId="9" fillId="5" borderId="5" xfId="0" quotePrefix="1" applyFont="1" applyFill="1" applyBorder="1" applyAlignment="1">
      <alignment horizontal="left" vertical="center" shrinkToFit="1"/>
    </xf>
    <xf numFmtId="0" fontId="7" fillId="4" borderId="1" xfId="0" quotePrefix="1" applyFont="1" applyFill="1" applyBorder="1" applyAlignment="1">
      <alignment horizontal="left" vertical="center" shrinkToFit="1"/>
    </xf>
    <xf numFmtId="0" fontId="7" fillId="4" borderId="1" xfId="0" applyFont="1" applyFill="1" applyBorder="1" applyAlignment="1">
      <alignment horizontal="left" vertical="center" shrinkToFit="1"/>
    </xf>
    <xf numFmtId="0" fontId="7" fillId="4" borderId="3" xfId="0" quotePrefix="1" applyFont="1" applyFill="1" applyBorder="1" applyAlignment="1">
      <alignment horizontal="left" vertical="center" shrinkToFit="1"/>
    </xf>
    <xf numFmtId="0" fontId="7" fillId="4" borderId="4" xfId="0" quotePrefix="1" applyFont="1" applyFill="1" applyBorder="1" applyAlignment="1">
      <alignment horizontal="left" vertical="center" shrinkToFit="1"/>
    </xf>
    <xf numFmtId="0" fontId="7" fillId="4" borderId="5" xfId="0" quotePrefix="1" applyFont="1" applyFill="1" applyBorder="1" applyAlignment="1">
      <alignment horizontal="left" vertical="center" shrinkToFit="1"/>
    </xf>
  </cellXfs>
  <cellStyles count="1">
    <cellStyle name="표준" xfId="0" builtinId="0"/>
  </cellStyles>
  <dxfs count="20"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19D86"/>
  </sheetPr>
  <dimension ref="A1:I33"/>
  <sheetViews>
    <sheetView view="pageBreakPreview" zoomScaleNormal="10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14" sqref="C14"/>
    </sheetView>
  </sheetViews>
  <sheetFormatPr defaultRowHeight="17.399999999999999" x14ac:dyDescent="0.4"/>
  <cols>
    <col min="1" max="2" width="5.59765625" customWidth="1"/>
    <col min="3" max="3" width="30.59765625" style="2" customWidth="1"/>
    <col min="4" max="4" width="36.59765625" style="1" customWidth="1"/>
    <col min="5" max="5" width="25.59765625" style="3" customWidth="1"/>
    <col min="6" max="6" width="20.59765625" style="1" customWidth="1"/>
    <col min="7" max="8" width="9" hidden="1" customWidth="1"/>
    <col min="9" max="9" width="12.69921875" hidden="1" customWidth="1"/>
    <col min="10" max="10" width="9" customWidth="1"/>
    <col min="11" max="11" width="10.5" customWidth="1"/>
  </cols>
  <sheetData>
    <row r="1" spans="1:9" ht="30" customHeight="1" x14ac:dyDescent="0.4">
      <c r="A1" s="37" t="s">
        <v>757</v>
      </c>
      <c r="B1" s="37"/>
      <c r="C1" s="37"/>
      <c r="D1" s="37"/>
      <c r="E1" s="37"/>
      <c r="F1" s="37"/>
    </row>
    <row r="2" spans="1:9" ht="15.9" customHeight="1" x14ac:dyDescent="0.4">
      <c r="A2" s="38" t="s">
        <v>1</v>
      </c>
      <c r="B2" s="39"/>
      <c r="C2" s="39"/>
      <c r="D2" s="39"/>
      <c r="E2" s="39"/>
      <c r="F2" s="39"/>
    </row>
    <row r="3" spans="1:9" ht="12" customHeight="1" x14ac:dyDescent="0.4">
      <c r="A3" s="40" t="s">
        <v>818</v>
      </c>
      <c r="B3" s="41"/>
      <c r="C3" s="42"/>
      <c r="D3" s="46" t="s">
        <v>758</v>
      </c>
      <c r="E3" s="46" t="s">
        <v>759</v>
      </c>
      <c r="F3" s="46" t="s">
        <v>405</v>
      </c>
    </row>
    <row r="4" spans="1:9" ht="12" customHeight="1" x14ac:dyDescent="0.4">
      <c r="A4" s="43"/>
      <c r="B4" s="44"/>
      <c r="C4" s="45"/>
      <c r="D4" s="46"/>
      <c r="E4" s="46"/>
      <c r="F4" s="46"/>
    </row>
    <row r="5" spans="1:9" ht="15.9" customHeight="1" x14ac:dyDescent="0.4">
      <c r="A5" s="51" t="s">
        <v>816</v>
      </c>
      <c r="B5" s="51" t="s">
        <v>369</v>
      </c>
      <c r="C5" s="17" t="s">
        <v>760</v>
      </c>
      <c r="D5" s="18" t="s">
        <v>359</v>
      </c>
      <c r="E5" s="19">
        <f>ROUNDDOWN(집계표!F23-집계표!AV23, 0)</f>
        <v>412737919</v>
      </c>
      <c r="F5" s="18" t="s">
        <v>359</v>
      </c>
      <c r="G5" s="10" t="s">
        <v>761</v>
      </c>
      <c r="H5">
        <v>0</v>
      </c>
      <c r="I5">
        <f t="shared" ref="I5:I28" si="0">E5</f>
        <v>412737919</v>
      </c>
    </row>
    <row r="6" spans="1:9" ht="15.9" customHeight="1" x14ac:dyDescent="0.4">
      <c r="A6" s="52"/>
      <c r="B6" s="52"/>
      <c r="C6" s="20" t="s">
        <v>762</v>
      </c>
      <c r="D6" s="21" t="s">
        <v>359</v>
      </c>
      <c r="E6" s="22">
        <f>ROUNDDOWN(E5*H6, 0)</f>
        <v>0</v>
      </c>
      <c r="F6" s="21" t="s">
        <v>359</v>
      </c>
      <c r="G6" s="10" t="s">
        <v>763</v>
      </c>
      <c r="H6">
        <v>0</v>
      </c>
      <c r="I6">
        <f t="shared" si="0"/>
        <v>0</v>
      </c>
    </row>
    <row r="7" spans="1:9" ht="15.9" customHeight="1" x14ac:dyDescent="0.4">
      <c r="A7" s="53"/>
      <c r="B7" s="53"/>
      <c r="C7" s="23" t="s">
        <v>764</v>
      </c>
      <c r="D7" s="24" t="s">
        <v>359</v>
      </c>
      <c r="E7" s="25">
        <f>집계표!T23</f>
        <v>0</v>
      </c>
      <c r="F7" s="24" t="s">
        <v>359</v>
      </c>
      <c r="G7" s="10" t="s">
        <v>765</v>
      </c>
      <c r="H7">
        <v>0</v>
      </c>
      <c r="I7">
        <f t="shared" si="0"/>
        <v>0</v>
      </c>
    </row>
    <row r="8" spans="1:9" ht="15.9" customHeight="1" x14ac:dyDescent="0.4">
      <c r="A8" s="54"/>
      <c r="B8" s="54"/>
      <c r="C8" s="26" t="s">
        <v>766</v>
      </c>
      <c r="D8" s="27" t="s">
        <v>359</v>
      </c>
      <c r="E8" s="15">
        <f>SUM(E5:E6)-ABS(E7)</f>
        <v>412737919</v>
      </c>
      <c r="F8" s="27" t="s">
        <v>359</v>
      </c>
      <c r="G8" s="10" t="s">
        <v>428</v>
      </c>
      <c r="H8">
        <v>0</v>
      </c>
      <c r="I8">
        <f t="shared" si="0"/>
        <v>412737919</v>
      </c>
    </row>
    <row r="9" spans="1:9" ht="15.9" customHeight="1" x14ac:dyDescent="0.4">
      <c r="A9" s="55"/>
      <c r="B9" s="51" t="s">
        <v>814</v>
      </c>
      <c r="C9" s="17" t="s">
        <v>767</v>
      </c>
      <c r="D9" s="18" t="s">
        <v>359</v>
      </c>
      <c r="E9" s="19">
        <f>ROUNDDOWN(집계표!H23, 0)</f>
        <v>161824038</v>
      </c>
      <c r="F9" s="18" t="s">
        <v>359</v>
      </c>
      <c r="G9" s="10" t="s">
        <v>768</v>
      </c>
      <c r="H9">
        <v>0</v>
      </c>
      <c r="I9">
        <f t="shared" si="0"/>
        <v>161824038</v>
      </c>
    </row>
    <row r="10" spans="1:9" ht="15.9" customHeight="1" x14ac:dyDescent="0.4">
      <c r="A10" s="53"/>
      <c r="B10" s="53"/>
      <c r="C10" s="23" t="s">
        <v>769</v>
      </c>
      <c r="D10" s="28" t="str">
        <f>"직.노*"&amp;H10*100&amp;"%"</f>
        <v>직.노*17.5%</v>
      </c>
      <c r="E10" s="25">
        <f>ROUNDDOWN(E9*H10, 0)</f>
        <v>28319206</v>
      </c>
      <c r="F10" s="24" t="s">
        <v>359</v>
      </c>
      <c r="G10" s="10" t="s">
        <v>770</v>
      </c>
      <c r="H10">
        <v>0.17499999999999999</v>
      </c>
      <c r="I10">
        <f t="shared" si="0"/>
        <v>28319206</v>
      </c>
    </row>
    <row r="11" spans="1:9" ht="15.9" customHeight="1" x14ac:dyDescent="0.4">
      <c r="A11" s="54"/>
      <c r="B11" s="54"/>
      <c r="C11" s="26" t="s">
        <v>766</v>
      </c>
      <c r="D11" s="27" t="s">
        <v>359</v>
      </c>
      <c r="E11" s="15">
        <f>SUM(E9:E10)</f>
        <v>190143244</v>
      </c>
      <c r="F11" s="27" t="s">
        <v>359</v>
      </c>
      <c r="G11" s="10" t="s">
        <v>771</v>
      </c>
      <c r="H11">
        <v>0</v>
      </c>
      <c r="I11">
        <f t="shared" si="0"/>
        <v>190143244</v>
      </c>
    </row>
    <row r="12" spans="1:9" ht="15.9" customHeight="1" x14ac:dyDescent="0.4">
      <c r="A12" s="55"/>
      <c r="B12" s="51" t="s">
        <v>815</v>
      </c>
      <c r="C12" s="17" t="s">
        <v>772</v>
      </c>
      <c r="D12" s="18" t="s">
        <v>359</v>
      </c>
      <c r="E12" s="19">
        <f>ROUNDDOWN(집계표!J23, 0)</f>
        <v>1243431</v>
      </c>
      <c r="F12" s="18" t="s">
        <v>359</v>
      </c>
      <c r="G12" s="10" t="s">
        <v>773</v>
      </c>
      <c r="H12">
        <v>0</v>
      </c>
      <c r="I12">
        <f t="shared" si="0"/>
        <v>1243431</v>
      </c>
    </row>
    <row r="13" spans="1:9" ht="15.9" customHeight="1" x14ac:dyDescent="0.4">
      <c r="A13" s="52"/>
      <c r="B13" s="52"/>
      <c r="C13" s="20" t="s">
        <v>774</v>
      </c>
      <c r="D13" s="29" t="str">
        <f>"(노)*"&amp;H13*100&amp;"%"</f>
        <v>(노)*3.56%</v>
      </c>
      <c r="E13" s="22">
        <f>ROUNDDOWN((E11)*H13, 0)</f>
        <v>6769099</v>
      </c>
      <c r="F13" s="21" t="s">
        <v>775</v>
      </c>
      <c r="G13" s="10" t="s">
        <v>776</v>
      </c>
      <c r="H13">
        <v>3.56E-2</v>
      </c>
      <c r="I13">
        <f t="shared" si="0"/>
        <v>6769099</v>
      </c>
    </row>
    <row r="14" spans="1:9" ht="15.9" customHeight="1" x14ac:dyDescent="0.4">
      <c r="A14" s="52"/>
      <c r="B14" s="52"/>
      <c r="C14" s="20" t="s">
        <v>777</v>
      </c>
      <c r="D14" s="29" t="str">
        <f>"(노)*"&amp;H14*100&amp;"%"</f>
        <v>(노)*1.01%</v>
      </c>
      <c r="E14" s="22">
        <f>ROUNDDOWN((E11)*H14, 0)</f>
        <v>1920446</v>
      </c>
      <c r="F14" s="21" t="s">
        <v>778</v>
      </c>
      <c r="G14" s="10" t="s">
        <v>779</v>
      </c>
      <c r="H14">
        <v>1.01E-2</v>
      </c>
      <c r="I14">
        <f t="shared" si="0"/>
        <v>1920446</v>
      </c>
    </row>
    <row r="15" spans="1:9" ht="15.9" customHeight="1" x14ac:dyDescent="0.4">
      <c r="A15" s="52"/>
      <c r="B15" s="52"/>
      <c r="C15" s="20" t="s">
        <v>780</v>
      </c>
      <c r="D15" s="29" t="str">
        <f>"(노)*"&amp;H15*100&amp;"%"</f>
        <v>(노)*0.006%</v>
      </c>
      <c r="E15" s="22">
        <f>ROUNDDOWN((E11)*H15, 0)</f>
        <v>11408</v>
      </c>
      <c r="F15" s="21" t="s">
        <v>775</v>
      </c>
      <c r="G15" s="10" t="s">
        <v>781</v>
      </c>
      <c r="H15">
        <v>6.0000000000000002E-5</v>
      </c>
      <c r="I15">
        <f t="shared" si="0"/>
        <v>11408</v>
      </c>
    </row>
    <row r="16" spans="1:9" ht="15.9" customHeight="1" x14ac:dyDescent="0.4">
      <c r="A16" s="52"/>
      <c r="B16" s="52"/>
      <c r="C16" s="20" t="s">
        <v>782</v>
      </c>
      <c r="D16" s="29" t="str">
        <f>"(노)*"&amp;H16*100&amp;"%"</f>
        <v>(노)*0.09%</v>
      </c>
      <c r="E16" s="22">
        <f>ROUNDDOWN((E11)*H16, 0)</f>
        <v>171128</v>
      </c>
      <c r="F16" s="21" t="s">
        <v>775</v>
      </c>
      <c r="G16" s="10" t="s">
        <v>783</v>
      </c>
      <c r="H16">
        <v>8.9999999999999998E-4</v>
      </c>
      <c r="I16">
        <f t="shared" si="0"/>
        <v>171128</v>
      </c>
    </row>
    <row r="17" spans="1:9" ht="15.9" customHeight="1" x14ac:dyDescent="0.4">
      <c r="A17" s="52"/>
      <c r="B17" s="52"/>
      <c r="C17" s="20" t="s">
        <v>784</v>
      </c>
      <c r="D17" s="29" t="str">
        <f>"(직.노)*"&amp;H17*100&amp;"%"</f>
        <v>(직.노)*3.595%</v>
      </c>
      <c r="E17" s="22">
        <f>ROUNDDOWN((E9)*H17, 0)</f>
        <v>5817574</v>
      </c>
      <c r="F17" s="21" t="s">
        <v>785</v>
      </c>
      <c r="G17" s="10" t="s">
        <v>786</v>
      </c>
      <c r="H17">
        <v>3.5950000000000003E-2</v>
      </c>
      <c r="I17">
        <f t="shared" si="0"/>
        <v>5817574</v>
      </c>
    </row>
    <row r="18" spans="1:9" ht="15.9" customHeight="1" x14ac:dyDescent="0.4">
      <c r="A18" s="52"/>
      <c r="B18" s="52"/>
      <c r="C18" s="20" t="s">
        <v>787</v>
      </c>
      <c r="D18" s="29" t="str">
        <f>"(직.노)*"&amp;H18*100&amp;"%"</f>
        <v>(직.노)*4.75%</v>
      </c>
      <c r="E18" s="22">
        <f>ROUNDDOWN((E9)*H18, 0)</f>
        <v>7686641</v>
      </c>
      <c r="F18" s="21" t="s">
        <v>785</v>
      </c>
      <c r="G18" s="10" t="s">
        <v>788</v>
      </c>
      <c r="H18">
        <v>4.7500000000000001E-2</v>
      </c>
      <c r="I18">
        <f t="shared" si="0"/>
        <v>7686641</v>
      </c>
    </row>
    <row r="19" spans="1:9" ht="15.9" customHeight="1" x14ac:dyDescent="0.4">
      <c r="A19" s="52"/>
      <c r="B19" s="52"/>
      <c r="C19" s="20" t="s">
        <v>789</v>
      </c>
      <c r="D19" s="29" t="str">
        <f>"(건강보험료)*"&amp;H19*100&amp;"%"</f>
        <v>(건강보험료)*13.14%</v>
      </c>
      <c r="E19" s="22">
        <f>ROUNDDOWN((E17)*H19, 0)</f>
        <v>764429</v>
      </c>
      <c r="F19" s="21" t="s">
        <v>785</v>
      </c>
      <c r="G19" s="10" t="s">
        <v>790</v>
      </c>
      <c r="H19">
        <v>0.13140000000000002</v>
      </c>
      <c r="I19">
        <f t="shared" si="0"/>
        <v>764429</v>
      </c>
    </row>
    <row r="20" spans="1:9" ht="15.9" customHeight="1" x14ac:dyDescent="0.4">
      <c r="A20" s="52"/>
      <c r="B20" s="52"/>
      <c r="C20" s="20" t="s">
        <v>791</v>
      </c>
      <c r="D20" s="29" t="str">
        <f>"(재+직.노)*"&amp;H20*100&amp;"%"</f>
        <v>(재+직.노)*3.11%</v>
      </c>
      <c r="E20" s="22">
        <f>ROUNDDOWN((E8+E9)*H20, 0)</f>
        <v>17868876</v>
      </c>
      <c r="F20" s="21" t="s">
        <v>792</v>
      </c>
      <c r="G20" s="10" t="s">
        <v>793</v>
      </c>
      <c r="H20">
        <v>3.1099999999999999E-2</v>
      </c>
      <c r="I20">
        <f t="shared" si="0"/>
        <v>17868876</v>
      </c>
    </row>
    <row r="21" spans="1:9" ht="15.9" customHeight="1" x14ac:dyDescent="0.4">
      <c r="A21" s="52"/>
      <c r="B21" s="52"/>
      <c r="C21" s="20" t="s">
        <v>794</v>
      </c>
      <c r="D21" s="29" t="str">
        <f>"(재+노)*"&amp;H21*100&amp;"%"</f>
        <v>(재+노)*5%</v>
      </c>
      <c r="E21" s="22">
        <f>ROUNDDOWN((E8+E11)*H21, 0)</f>
        <v>30144058</v>
      </c>
      <c r="F21" s="21" t="s">
        <v>795</v>
      </c>
      <c r="G21" s="10" t="s">
        <v>796</v>
      </c>
      <c r="H21">
        <v>0.05</v>
      </c>
      <c r="I21">
        <f t="shared" si="0"/>
        <v>30144058</v>
      </c>
    </row>
    <row r="22" spans="1:9" ht="15.9" customHeight="1" x14ac:dyDescent="0.4">
      <c r="A22" s="52"/>
      <c r="B22" s="52"/>
      <c r="C22" s="20" t="s">
        <v>797</v>
      </c>
      <c r="D22" s="29" t="str">
        <f>"(재+직.노+기.경)*"&amp;H22*100&amp;"%"</f>
        <v>(재+직.노+기.경)*0.3%</v>
      </c>
      <c r="E22" s="22">
        <f>ROUNDDOWN((E8+E9+E12)*H22, 0)</f>
        <v>1727416</v>
      </c>
      <c r="F22" s="21" t="s">
        <v>359</v>
      </c>
      <c r="G22" s="10" t="s">
        <v>798</v>
      </c>
      <c r="H22">
        <v>3.0000000000000001E-3</v>
      </c>
      <c r="I22">
        <f t="shared" si="0"/>
        <v>1727416</v>
      </c>
    </row>
    <row r="23" spans="1:9" ht="15.9" customHeight="1" x14ac:dyDescent="0.4">
      <c r="A23" s="52"/>
      <c r="B23" s="52"/>
      <c r="C23" s="20" t="s">
        <v>799</v>
      </c>
      <c r="D23" s="29" t="str">
        <f>"(재+직.노+기.경)*"&amp;H23*100&amp;"%"</f>
        <v>(재+직.노+기.경)*0.081%</v>
      </c>
      <c r="E23" s="22">
        <f>ROUNDDOWN((E8+E9+E12)*H23, 0)</f>
        <v>466402</v>
      </c>
      <c r="F23" s="21" t="s">
        <v>359</v>
      </c>
      <c r="G23" s="10" t="s">
        <v>800</v>
      </c>
      <c r="H23">
        <v>8.1000000000000006E-4</v>
      </c>
      <c r="I23">
        <f t="shared" si="0"/>
        <v>466402</v>
      </c>
    </row>
    <row r="24" spans="1:9" ht="15.9" customHeight="1" x14ac:dyDescent="0.4">
      <c r="A24" s="52"/>
      <c r="B24" s="52"/>
      <c r="C24" s="20" t="s">
        <v>602</v>
      </c>
      <c r="D24" s="29" t="str">
        <f>"(재+직.노+기.경)*"&amp;H24*100&amp;"%"</f>
        <v>(재+직.노+기.경)*0.07%</v>
      </c>
      <c r="E24" s="22">
        <f>ROUNDDOWN((E8+E9+E12)*H24, 0)</f>
        <v>403063</v>
      </c>
      <c r="F24" s="21" t="s">
        <v>359</v>
      </c>
      <c r="G24" s="10" t="s">
        <v>801</v>
      </c>
      <c r="H24">
        <v>7.000000000000001E-4</v>
      </c>
      <c r="I24">
        <f t="shared" si="0"/>
        <v>403063</v>
      </c>
    </row>
    <row r="25" spans="1:9" ht="15.9" customHeight="1" x14ac:dyDescent="0.4">
      <c r="A25" s="53"/>
      <c r="B25" s="53"/>
      <c r="C25" s="23" t="s">
        <v>593</v>
      </c>
      <c r="D25" s="24" t="s">
        <v>359</v>
      </c>
      <c r="E25" s="25">
        <f>집계표!AE23</f>
        <v>0</v>
      </c>
      <c r="F25" s="24" t="s">
        <v>359</v>
      </c>
      <c r="G25" s="10" t="s">
        <v>802</v>
      </c>
      <c r="H25">
        <v>0</v>
      </c>
      <c r="I25">
        <f t="shared" si="0"/>
        <v>0</v>
      </c>
    </row>
    <row r="26" spans="1:9" ht="15.9" customHeight="1" x14ac:dyDescent="0.4">
      <c r="A26" s="54"/>
      <c r="B26" s="54"/>
      <c r="C26" s="26" t="s">
        <v>766</v>
      </c>
      <c r="D26" s="27" t="s">
        <v>359</v>
      </c>
      <c r="E26" s="15">
        <f>SUM(E12:E25)</f>
        <v>74993971</v>
      </c>
      <c r="F26" s="27" t="s">
        <v>359</v>
      </c>
      <c r="G26" s="10" t="s">
        <v>803</v>
      </c>
      <c r="H26">
        <v>0</v>
      </c>
      <c r="I26">
        <f t="shared" si="0"/>
        <v>74993971</v>
      </c>
    </row>
    <row r="27" spans="1:9" ht="15.9" customHeight="1" x14ac:dyDescent="0.4">
      <c r="A27" s="54"/>
      <c r="B27" s="47" t="s">
        <v>804</v>
      </c>
      <c r="C27" s="48"/>
      <c r="D27" s="27" t="s">
        <v>359</v>
      </c>
      <c r="E27" s="15">
        <f>E8+E11+E26</f>
        <v>677875134</v>
      </c>
      <c r="F27" s="27" t="s">
        <v>359</v>
      </c>
      <c r="G27" s="10" t="s">
        <v>805</v>
      </c>
      <c r="H27">
        <v>0</v>
      </c>
      <c r="I27">
        <f t="shared" si="0"/>
        <v>677875134</v>
      </c>
    </row>
    <row r="28" spans="1:9" ht="15.9" customHeight="1" x14ac:dyDescent="0.4">
      <c r="A28" s="49" t="s">
        <v>806</v>
      </c>
      <c r="B28" s="50"/>
      <c r="C28" s="50"/>
      <c r="D28" s="30" t="str">
        <f>"(재+노+경)*"&amp;H28*100&amp;"%"</f>
        <v>(재+노+경)*8%</v>
      </c>
      <c r="E28" s="31">
        <f>ROUNDDOWN((E8+E11+E26)*H28, 0)</f>
        <v>54230010</v>
      </c>
      <c r="F28" s="32" t="s">
        <v>359</v>
      </c>
      <c r="G28" s="10" t="s">
        <v>807</v>
      </c>
      <c r="H28">
        <v>0.08</v>
      </c>
      <c r="I28">
        <f t="shared" si="0"/>
        <v>54230010</v>
      </c>
    </row>
    <row r="29" spans="1:9" ht="15.9" customHeight="1" x14ac:dyDescent="0.4">
      <c r="A29" s="49" t="s">
        <v>808</v>
      </c>
      <c r="B29" s="50"/>
      <c r="C29" s="50"/>
      <c r="D29" s="30" t="str">
        <f>"(노+경+일)*"&amp;H29*100&amp;"%"</f>
        <v>(노+경+일)*15%</v>
      </c>
      <c r="E29" s="31">
        <f>E31-E30-E28-E27</f>
        <v>47894856</v>
      </c>
      <c r="F29" s="32" t="s">
        <v>359</v>
      </c>
      <c r="G29" s="10" t="s">
        <v>413</v>
      </c>
      <c r="H29">
        <v>0.15</v>
      </c>
      <c r="I29">
        <f>(I11+I26+I28)*H29</f>
        <v>47905083.75</v>
      </c>
    </row>
    <row r="30" spans="1:9" ht="15.9" hidden="1" customHeight="1" x14ac:dyDescent="0.4">
      <c r="A30" s="49" t="s">
        <v>817</v>
      </c>
      <c r="B30" s="50"/>
      <c r="C30" s="50"/>
      <c r="D30" s="32" t="s">
        <v>359</v>
      </c>
      <c r="E30" s="31">
        <f>집계표!X23</f>
        <v>0</v>
      </c>
      <c r="F30" s="32" t="s">
        <v>359</v>
      </c>
      <c r="G30" s="10" t="s">
        <v>58</v>
      </c>
      <c r="H30">
        <v>0</v>
      </c>
      <c r="I30">
        <f>E30</f>
        <v>0</v>
      </c>
    </row>
    <row r="31" spans="1:9" ht="15.9" customHeight="1" x14ac:dyDescent="0.4">
      <c r="A31" s="49" t="s">
        <v>809</v>
      </c>
      <c r="B31" s="50"/>
      <c r="C31" s="50"/>
      <c r="D31" s="32" t="s">
        <v>359</v>
      </c>
      <c r="E31" s="31">
        <f>ROUNDDOWN(E33-E32, 0)</f>
        <v>780000000</v>
      </c>
      <c r="F31" s="32" t="s">
        <v>819</v>
      </c>
      <c r="G31" s="10" t="s">
        <v>810</v>
      </c>
      <c r="H31">
        <v>0</v>
      </c>
      <c r="I31">
        <f>ROUNDDOWN(SUM(I27:I30), -5)</f>
        <v>780000000</v>
      </c>
    </row>
    <row r="32" spans="1:9" ht="15.9" customHeight="1" x14ac:dyDescent="0.4">
      <c r="A32" s="49" t="s">
        <v>811</v>
      </c>
      <c r="B32" s="50"/>
      <c r="C32" s="50"/>
      <c r="D32" s="30" t="str">
        <f>"(총원가)*"&amp;H32*100&amp;"%"</f>
        <v>(총원가)*10%</v>
      </c>
      <c r="E32" s="31">
        <f>ROUNDDOWN(((E33)/110)*10, 0)</f>
        <v>78000000</v>
      </c>
      <c r="F32" s="32" t="s">
        <v>359</v>
      </c>
      <c r="G32" s="10" t="s">
        <v>444</v>
      </c>
      <c r="H32">
        <v>0.1</v>
      </c>
      <c r="I32">
        <f>ROUNDDOWN((I31)*H32, 0)</f>
        <v>78000000</v>
      </c>
    </row>
    <row r="33" spans="1:9" ht="15.9" customHeight="1" x14ac:dyDescent="0.4">
      <c r="A33" s="47" t="s">
        <v>812</v>
      </c>
      <c r="B33" s="48"/>
      <c r="C33" s="48"/>
      <c r="D33" s="27" t="s">
        <v>359</v>
      </c>
      <c r="E33" s="15">
        <f>INT(I33/1000)*1000</f>
        <v>858000000</v>
      </c>
      <c r="F33" s="27" t="s">
        <v>359</v>
      </c>
      <c r="G33" s="10" t="s">
        <v>813</v>
      </c>
      <c r="H33">
        <v>0</v>
      </c>
      <c r="I33">
        <f>I31+I32</f>
        <v>858000000</v>
      </c>
    </row>
  </sheetData>
  <mergeCells count="17">
    <mergeCell ref="A33:C33"/>
    <mergeCell ref="A31:C31"/>
    <mergeCell ref="B12:B26"/>
    <mergeCell ref="A5:A27"/>
    <mergeCell ref="A32:C32"/>
    <mergeCell ref="B5:B8"/>
    <mergeCell ref="B9:B11"/>
    <mergeCell ref="B27:C27"/>
    <mergeCell ref="A28:C28"/>
    <mergeCell ref="A29:C29"/>
    <mergeCell ref="A30:C30"/>
    <mergeCell ref="A1:F1"/>
    <mergeCell ref="A2:F2"/>
    <mergeCell ref="A3:C4"/>
    <mergeCell ref="D3:D4"/>
    <mergeCell ref="E3:E4"/>
    <mergeCell ref="F3:F4"/>
  </mergeCells>
  <phoneticPr fontId="1" type="noConversion"/>
  <conditionalFormatting sqref="A5:F33">
    <cfRule type="containsText" dxfId="19" priority="1" stopIfTrue="1" operator="containsText" text=".">
      <formula>NOT(ISERROR(SEARCH(".",A5)))</formula>
    </cfRule>
    <cfRule type="notContainsText" dxfId="18" priority="2" stopIfTrue="1" operator="notContains" text=".">
      <formula>ISERROR(SEARCH(".",A5))</formula>
    </cfRule>
  </conditionalFormatting>
  <printOptions horizontalCentered="1"/>
  <pageMargins left="0.70866141732283472" right="0.19685039370078741" top="0.59055118110236227" bottom="0.35433070866141736" header="0.31496062992125984" footer="0.15748031496062992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B7"/>
  </sheetPr>
  <dimension ref="A1:P161"/>
  <sheetViews>
    <sheetView view="pageBreakPreview" zoomScaleNormal="100" zoomScaleSheetLayoutView="100" workbookViewId="0">
      <pane xSplit="3" ySplit="4" topLeftCell="D157" activePane="bottomRight" state="frozen"/>
      <selection activeCell="F32" sqref="F32"/>
      <selection pane="topRight" activeCell="F32" sqref="F32"/>
      <selection pane="bottomLeft" activeCell="F32" sqref="F32"/>
      <selection pane="bottomRight" activeCell="A162" sqref="A162:XFD164"/>
    </sheetView>
  </sheetViews>
  <sheetFormatPr defaultRowHeight="17.399999999999999" x14ac:dyDescent="0.4"/>
  <cols>
    <col min="1" max="1" width="16.59765625" style="1" customWidth="1"/>
    <col min="2" max="2" width="17.59765625" style="1" customWidth="1"/>
    <col min="3" max="3" width="4.59765625" style="2" customWidth="1"/>
    <col min="4" max="4" width="5.59765625" style="1" customWidth="1"/>
    <col min="5" max="5" width="7.59765625" style="3" customWidth="1"/>
    <col min="6" max="6" width="5.59765625" style="1" customWidth="1"/>
    <col min="7" max="7" width="7.59765625" style="3" customWidth="1"/>
    <col min="8" max="8" width="5.59765625" style="1" customWidth="1"/>
    <col min="9" max="9" width="7.59765625" style="3" customWidth="1"/>
    <col min="10" max="10" width="3.59765625" style="1" customWidth="1"/>
    <col min="11" max="13" width="7.59765625" style="3" customWidth="1"/>
    <col min="14" max="14" width="10.59765625" style="3" customWidth="1"/>
    <col min="15" max="15" width="8.59765625" style="1" customWidth="1"/>
    <col min="16" max="16" width="9" hidden="1" customWidth="1"/>
  </cols>
  <sheetData>
    <row r="1" spans="1:16" ht="30" customHeight="1" x14ac:dyDescent="0.4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6" ht="21.9" customHeight="1" x14ac:dyDescent="0.4">
      <c r="A2" s="38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21.9" customHeight="1" x14ac:dyDescent="0.4">
      <c r="A3" s="46" t="s">
        <v>2</v>
      </c>
      <c r="B3" s="46" t="s">
        <v>3</v>
      </c>
      <c r="C3" s="46" t="s">
        <v>4</v>
      </c>
      <c r="D3" s="46" t="s">
        <v>5</v>
      </c>
      <c r="E3" s="46"/>
      <c r="F3" s="46" t="s">
        <v>6</v>
      </c>
      <c r="G3" s="46"/>
      <c r="H3" s="46" t="s">
        <v>7</v>
      </c>
      <c r="I3" s="46"/>
      <c r="J3" s="46" t="s">
        <v>8</v>
      </c>
      <c r="K3" s="46"/>
      <c r="L3" s="4" t="s">
        <v>9</v>
      </c>
      <c r="M3" s="4" t="s">
        <v>10</v>
      </c>
      <c r="N3" s="46" t="s">
        <v>11</v>
      </c>
      <c r="O3" s="46" t="s">
        <v>12</v>
      </c>
    </row>
    <row r="4" spans="1:16" ht="21.9" customHeight="1" x14ac:dyDescent="0.4">
      <c r="A4" s="46"/>
      <c r="B4" s="46"/>
      <c r="C4" s="46"/>
      <c r="D4" s="4" t="s">
        <v>13</v>
      </c>
      <c r="E4" s="4" t="s">
        <v>14</v>
      </c>
      <c r="F4" s="4" t="s">
        <v>13</v>
      </c>
      <c r="G4" s="4" t="s">
        <v>14</v>
      </c>
      <c r="H4" s="4" t="s">
        <v>13</v>
      </c>
      <c r="I4" s="4" t="s">
        <v>14</v>
      </c>
      <c r="J4" s="4" t="s">
        <v>13</v>
      </c>
      <c r="K4" s="4" t="s">
        <v>14</v>
      </c>
      <c r="L4" s="4" t="s">
        <v>14</v>
      </c>
      <c r="M4" s="4" t="s">
        <v>14</v>
      </c>
      <c r="N4" s="46"/>
      <c r="O4" s="46"/>
      <c r="P4" t="s">
        <v>15</v>
      </c>
    </row>
    <row r="5" spans="1:16" ht="21.9" customHeight="1" x14ac:dyDescent="0.4">
      <c r="A5" s="5" t="s">
        <v>16</v>
      </c>
      <c r="B5" s="5" t="s">
        <v>17</v>
      </c>
      <c r="C5" s="6" t="s">
        <v>18</v>
      </c>
      <c r="D5" s="7"/>
      <c r="E5" s="8"/>
      <c r="F5" s="7"/>
      <c r="G5" s="8"/>
      <c r="H5" s="7"/>
      <c r="I5" s="8"/>
      <c r="J5" s="7"/>
      <c r="K5" s="8"/>
      <c r="L5" s="8"/>
      <c r="M5" s="8">
        <v>6450</v>
      </c>
      <c r="N5" s="33">
        <v>6450</v>
      </c>
      <c r="O5" s="7"/>
    </row>
    <row r="6" spans="1:16" ht="21.9" customHeight="1" x14ac:dyDescent="0.4">
      <c r="A6" s="5" t="s">
        <v>19</v>
      </c>
      <c r="B6" s="5" t="s">
        <v>20</v>
      </c>
      <c r="C6" s="6" t="s">
        <v>21</v>
      </c>
      <c r="D6" s="7"/>
      <c r="E6" s="8"/>
      <c r="F6" s="7"/>
      <c r="G6" s="8"/>
      <c r="H6" s="7"/>
      <c r="I6" s="8"/>
      <c r="J6" s="7"/>
      <c r="K6" s="8"/>
      <c r="L6" s="8"/>
      <c r="M6" s="8">
        <v>1019200</v>
      </c>
      <c r="N6" s="33">
        <v>1019200</v>
      </c>
      <c r="O6" s="7"/>
    </row>
    <row r="7" spans="1:16" ht="21.9" customHeight="1" x14ac:dyDescent="0.4">
      <c r="A7" s="5" t="s">
        <v>22</v>
      </c>
      <c r="B7" s="5" t="s">
        <v>23</v>
      </c>
      <c r="C7" s="6" t="s">
        <v>18</v>
      </c>
      <c r="D7" s="7"/>
      <c r="E7" s="8"/>
      <c r="F7" s="7"/>
      <c r="G7" s="8"/>
      <c r="H7" s="7"/>
      <c r="I7" s="8"/>
      <c r="J7" s="7"/>
      <c r="K7" s="8"/>
      <c r="L7" s="8"/>
      <c r="M7" s="8">
        <v>3640</v>
      </c>
      <c r="N7" s="33">
        <v>3640</v>
      </c>
      <c r="O7" s="7"/>
    </row>
    <row r="8" spans="1:16" ht="21.9" customHeight="1" x14ac:dyDescent="0.4">
      <c r="A8" s="5" t="s">
        <v>24</v>
      </c>
      <c r="B8" s="5" t="s">
        <v>25</v>
      </c>
      <c r="C8" s="6" t="s">
        <v>21</v>
      </c>
      <c r="D8" s="7"/>
      <c r="E8" s="8"/>
      <c r="F8" s="7"/>
      <c r="G8" s="8"/>
      <c r="H8" s="7"/>
      <c r="I8" s="8"/>
      <c r="J8" s="7"/>
      <c r="K8" s="8"/>
      <c r="L8" s="8"/>
      <c r="M8" s="8">
        <v>1747200</v>
      </c>
      <c r="N8" s="33">
        <v>1747200</v>
      </c>
      <c r="O8" s="7"/>
    </row>
    <row r="9" spans="1:16" ht="21.9" customHeight="1" x14ac:dyDescent="0.4">
      <c r="A9" s="5" t="s">
        <v>26</v>
      </c>
      <c r="B9" s="5" t="s">
        <v>27</v>
      </c>
      <c r="C9" s="6" t="s">
        <v>21</v>
      </c>
      <c r="D9" s="7"/>
      <c r="E9" s="8"/>
      <c r="F9" s="7"/>
      <c r="G9" s="8"/>
      <c r="H9" s="7"/>
      <c r="I9" s="8"/>
      <c r="J9" s="7"/>
      <c r="K9" s="8"/>
      <c r="L9" s="8"/>
      <c r="M9" s="8">
        <v>1227200</v>
      </c>
      <c r="N9" s="33">
        <v>1227200</v>
      </c>
      <c r="O9" s="7"/>
    </row>
    <row r="10" spans="1:16" ht="21.9" customHeight="1" x14ac:dyDescent="0.4">
      <c r="A10" s="5" t="s">
        <v>28</v>
      </c>
      <c r="B10" s="5" t="s">
        <v>29</v>
      </c>
      <c r="C10" s="6" t="s">
        <v>21</v>
      </c>
      <c r="D10" s="7"/>
      <c r="E10" s="8"/>
      <c r="F10" s="7"/>
      <c r="G10" s="8"/>
      <c r="H10" s="7"/>
      <c r="I10" s="8"/>
      <c r="J10" s="7"/>
      <c r="K10" s="8"/>
      <c r="L10" s="8"/>
      <c r="M10" s="8">
        <v>780000</v>
      </c>
      <c r="N10" s="33">
        <v>780000</v>
      </c>
      <c r="O10" s="7"/>
    </row>
    <row r="11" spans="1:16" ht="21.9" customHeight="1" x14ac:dyDescent="0.4">
      <c r="A11" s="5" t="s">
        <v>30</v>
      </c>
      <c r="B11" s="5" t="s">
        <v>31</v>
      </c>
      <c r="C11" s="6" t="s">
        <v>21</v>
      </c>
      <c r="D11" s="7"/>
      <c r="E11" s="8"/>
      <c r="F11" s="7"/>
      <c r="G11" s="8"/>
      <c r="H11" s="7"/>
      <c r="I11" s="8"/>
      <c r="J11" s="7"/>
      <c r="K11" s="8"/>
      <c r="L11" s="8"/>
      <c r="M11" s="8">
        <v>1868880</v>
      </c>
      <c r="N11" s="33">
        <v>1868880</v>
      </c>
      <c r="O11" s="7"/>
    </row>
    <row r="12" spans="1:16" ht="21.9" customHeight="1" x14ac:dyDescent="0.4">
      <c r="A12" s="5" t="s">
        <v>32</v>
      </c>
      <c r="B12" s="5" t="s">
        <v>33</v>
      </c>
      <c r="C12" s="6" t="s">
        <v>18</v>
      </c>
      <c r="D12" s="7"/>
      <c r="E12" s="8"/>
      <c r="F12" s="7"/>
      <c r="G12" s="8"/>
      <c r="H12" s="7"/>
      <c r="I12" s="8"/>
      <c r="J12" s="7"/>
      <c r="K12" s="8"/>
      <c r="L12" s="8"/>
      <c r="M12" s="8">
        <v>12480</v>
      </c>
      <c r="N12" s="33">
        <v>12480</v>
      </c>
      <c r="O12" s="7"/>
    </row>
    <row r="13" spans="1:16" ht="21.9" customHeight="1" x14ac:dyDescent="0.4">
      <c r="A13" s="5" t="s">
        <v>34</v>
      </c>
      <c r="B13" s="5" t="s">
        <v>35</v>
      </c>
      <c r="C13" s="6" t="s">
        <v>21</v>
      </c>
      <c r="D13" s="7"/>
      <c r="E13" s="8"/>
      <c r="F13" s="7"/>
      <c r="G13" s="8"/>
      <c r="H13" s="7"/>
      <c r="I13" s="8"/>
      <c r="J13" s="7"/>
      <c r="K13" s="8"/>
      <c r="L13" s="8"/>
      <c r="M13" s="8">
        <v>61360</v>
      </c>
      <c r="N13" s="33">
        <v>61360</v>
      </c>
      <c r="O13" s="7"/>
    </row>
    <row r="14" spans="1:16" ht="21.9" customHeight="1" x14ac:dyDescent="0.4">
      <c r="A14" s="5" t="s">
        <v>36</v>
      </c>
      <c r="B14" s="5" t="s">
        <v>37</v>
      </c>
      <c r="C14" s="6" t="s">
        <v>38</v>
      </c>
      <c r="D14" s="5" t="s">
        <v>39</v>
      </c>
      <c r="E14" s="8">
        <v>2300</v>
      </c>
      <c r="F14" s="7"/>
      <c r="G14" s="8"/>
      <c r="H14" s="5" t="s">
        <v>40</v>
      </c>
      <c r="I14" s="8">
        <v>2230</v>
      </c>
      <c r="J14" s="7"/>
      <c r="K14" s="8"/>
      <c r="L14" s="8"/>
      <c r="M14" s="8"/>
      <c r="N14" s="33">
        <v>2230</v>
      </c>
      <c r="O14" s="7"/>
    </row>
    <row r="15" spans="1:16" ht="21.9" customHeight="1" x14ac:dyDescent="0.4">
      <c r="A15" s="5" t="s">
        <v>41</v>
      </c>
      <c r="B15" s="5" t="s">
        <v>37</v>
      </c>
      <c r="C15" s="6" t="s">
        <v>38</v>
      </c>
      <c r="D15" s="5" t="s">
        <v>39</v>
      </c>
      <c r="E15" s="8">
        <v>2300</v>
      </c>
      <c r="F15" s="7"/>
      <c r="G15" s="8"/>
      <c r="H15" s="5" t="s">
        <v>40</v>
      </c>
      <c r="I15" s="8">
        <v>2230</v>
      </c>
      <c r="J15" s="7"/>
      <c r="K15" s="8"/>
      <c r="L15" s="8"/>
      <c r="M15" s="8"/>
      <c r="N15" s="33">
        <v>2230</v>
      </c>
      <c r="O15" s="7"/>
    </row>
    <row r="16" spans="1:16" ht="21.9" customHeight="1" x14ac:dyDescent="0.4">
      <c r="A16" s="5" t="s">
        <v>42</v>
      </c>
      <c r="B16" s="5" t="s">
        <v>43</v>
      </c>
      <c r="C16" s="6" t="s">
        <v>18</v>
      </c>
      <c r="D16" s="7"/>
      <c r="E16" s="8"/>
      <c r="F16" s="7"/>
      <c r="G16" s="8"/>
      <c r="H16" s="7"/>
      <c r="I16" s="8"/>
      <c r="J16" s="7"/>
      <c r="K16" s="8"/>
      <c r="L16" s="8"/>
      <c r="M16" s="8">
        <v>1250</v>
      </c>
      <c r="N16" s="33">
        <v>1250</v>
      </c>
      <c r="O16" s="7"/>
    </row>
    <row r="17" spans="1:15" ht="21.9" customHeight="1" x14ac:dyDescent="0.4">
      <c r="A17" s="5" t="s">
        <v>44</v>
      </c>
      <c r="B17" s="5" t="s">
        <v>45</v>
      </c>
      <c r="C17" s="6" t="s">
        <v>38</v>
      </c>
      <c r="D17" s="5" t="s">
        <v>39</v>
      </c>
      <c r="E17" s="8">
        <v>1680</v>
      </c>
      <c r="F17" s="5" t="s">
        <v>46</v>
      </c>
      <c r="G17" s="8">
        <v>2232</v>
      </c>
      <c r="H17" s="5" t="s">
        <v>40</v>
      </c>
      <c r="I17" s="8">
        <v>1600</v>
      </c>
      <c r="J17" s="7"/>
      <c r="K17" s="8"/>
      <c r="L17" s="8"/>
      <c r="M17" s="8"/>
      <c r="N17" s="33">
        <v>1600</v>
      </c>
      <c r="O17" s="7"/>
    </row>
    <row r="18" spans="1:15" ht="21.9" customHeight="1" x14ac:dyDescent="0.4">
      <c r="A18" s="5" t="s">
        <v>47</v>
      </c>
      <c r="B18" s="5" t="s">
        <v>48</v>
      </c>
      <c r="C18" s="6" t="s">
        <v>18</v>
      </c>
      <c r="D18" s="7"/>
      <c r="E18" s="8"/>
      <c r="F18" s="7"/>
      <c r="G18" s="8"/>
      <c r="H18" s="7"/>
      <c r="I18" s="8"/>
      <c r="J18" s="7"/>
      <c r="K18" s="8"/>
      <c r="L18" s="8"/>
      <c r="M18" s="8">
        <v>31200</v>
      </c>
      <c r="N18" s="33">
        <v>31200</v>
      </c>
      <c r="O18" s="7"/>
    </row>
    <row r="19" spans="1:15" ht="21.9" customHeight="1" x14ac:dyDescent="0.4">
      <c r="A19" s="5" t="s">
        <v>49</v>
      </c>
      <c r="B19" s="5" t="s">
        <v>50</v>
      </c>
      <c r="C19" s="6" t="s">
        <v>51</v>
      </c>
      <c r="D19" s="7"/>
      <c r="E19" s="8"/>
      <c r="F19" s="7"/>
      <c r="G19" s="8"/>
      <c r="H19" s="7"/>
      <c r="I19" s="8"/>
      <c r="J19" s="7"/>
      <c r="K19" s="8"/>
      <c r="L19" s="8"/>
      <c r="M19" s="8">
        <v>707200</v>
      </c>
      <c r="N19" s="33">
        <v>707200</v>
      </c>
      <c r="O19" s="7"/>
    </row>
    <row r="20" spans="1:15" ht="21.9" customHeight="1" x14ac:dyDescent="0.4">
      <c r="A20" s="5" t="s">
        <v>49</v>
      </c>
      <c r="B20" s="5" t="s">
        <v>52</v>
      </c>
      <c r="C20" s="6" t="s">
        <v>51</v>
      </c>
      <c r="D20" s="7"/>
      <c r="E20" s="8"/>
      <c r="F20" s="7"/>
      <c r="G20" s="8"/>
      <c r="H20" s="7"/>
      <c r="I20" s="8"/>
      <c r="J20" s="7"/>
      <c r="K20" s="8"/>
      <c r="L20" s="8"/>
      <c r="M20" s="8">
        <v>572000</v>
      </c>
      <c r="N20" s="33">
        <v>572000</v>
      </c>
      <c r="O20" s="7"/>
    </row>
    <row r="21" spans="1:15" ht="21.9" customHeight="1" x14ac:dyDescent="0.4">
      <c r="A21" s="5" t="s">
        <v>53</v>
      </c>
      <c r="B21" s="5" t="s">
        <v>45</v>
      </c>
      <c r="C21" s="6" t="s">
        <v>38</v>
      </c>
      <c r="D21" s="5" t="s">
        <v>39</v>
      </c>
      <c r="E21" s="8">
        <v>1680</v>
      </c>
      <c r="F21" s="5" t="s">
        <v>46</v>
      </c>
      <c r="G21" s="8">
        <v>2232</v>
      </c>
      <c r="H21" s="5" t="s">
        <v>40</v>
      </c>
      <c r="I21" s="8">
        <v>1600</v>
      </c>
      <c r="J21" s="7"/>
      <c r="K21" s="8"/>
      <c r="L21" s="8"/>
      <c r="M21" s="8"/>
      <c r="N21" s="33">
        <v>1600</v>
      </c>
      <c r="O21" s="7"/>
    </row>
    <row r="22" spans="1:15" ht="21.9" customHeight="1" x14ac:dyDescent="0.4">
      <c r="A22" s="5" t="s">
        <v>53</v>
      </c>
      <c r="B22" s="5" t="s">
        <v>54</v>
      </c>
      <c r="C22" s="6" t="s">
        <v>38</v>
      </c>
      <c r="D22" s="5" t="s">
        <v>39</v>
      </c>
      <c r="E22" s="8">
        <v>2070</v>
      </c>
      <c r="F22" s="5" t="s">
        <v>46</v>
      </c>
      <c r="G22" s="8">
        <v>2829</v>
      </c>
      <c r="H22" s="5" t="s">
        <v>40</v>
      </c>
      <c r="I22" s="8">
        <v>2010</v>
      </c>
      <c r="J22" s="7"/>
      <c r="K22" s="8"/>
      <c r="L22" s="8"/>
      <c r="M22" s="8"/>
      <c r="N22" s="33">
        <v>2010</v>
      </c>
      <c r="O22" s="7"/>
    </row>
    <row r="23" spans="1:15" ht="21.9" customHeight="1" x14ac:dyDescent="0.4">
      <c r="A23" s="5" t="s">
        <v>55</v>
      </c>
      <c r="B23" s="5" t="s">
        <v>37</v>
      </c>
      <c r="C23" s="6" t="s">
        <v>38</v>
      </c>
      <c r="D23" s="5" t="s">
        <v>39</v>
      </c>
      <c r="E23" s="8">
        <v>2300</v>
      </c>
      <c r="F23" s="7"/>
      <c r="G23" s="8"/>
      <c r="H23" s="5" t="s">
        <v>40</v>
      </c>
      <c r="I23" s="8">
        <v>2230</v>
      </c>
      <c r="J23" s="7"/>
      <c r="K23" s="8"/>
      <c r="L23" s="8"/>
      <c r="M23" s="8"/>
      <c r="N23" s="33">
        <v>2230</v>
      </c>
      <c r="O23" s="7"/>
    </row>
    <row r="24" spans="1:15" ht="21.9" customHeight="1" x14ac:dyDescent="0.4">
      <c r="A24" s="5" t="s">
        <v>56</v>
      </c>
      <c r="B24" s="5" t="s">
        <v>57</v>
      </c>
      <c r="C24" s="6" t="s">
        <v>58</v>
      </c>
      <c r="D24" s="5" t="s">
        <v>59</v>
      </c>
      <c r="E24" s="8">
        <v>1745</v>
      </c>
      <c r="F24" s="7"/>
      <c r="G24" s="8"/>
      <c r="H24" s="5" t="s">
        <v>60</v>
      </c>
      <c r="I24" s="8">
        <v>1864</v>
      </c>
      <c r="J24" s="5" t="s">
        <v>61</v>
      </c>
      <c r="K24" s="8">
        <v>1748</v>
      </c>
      <c r="L24" s="8">
        <v>1657</v>
      </c>
      <c r="M24" s="8"/>
      <c r="N24" s="33">
        <v>1657</v>
      </c>
      <c r="O24" s="7"/>
    </row>
    <row r="25" spans="1:15" ht="21.9" customHeight="1" x14ac:dyDescent="0.4">
      <c r="A25" s="5" t="s">
        <v>62</v>
      </c>
      <c r="B25" s="5" t="s">
        <v>63</v>
      </c>
      <c r="C25" s="6" t="s">
        <v>38</v>
      </c>
      <c r="D25" s="5" t="s">
        <v>64</v>
      </c>
      <c r="E25" s="8">
        <v>2500</v>
      </c>
      <c r="F25" s="7"/>
      <c r="G25" s="8"/>
      <c r="H25" s="7"/>
      <c r="I25" s="8"/>
      <c r="J25" s="5" t="s">
        <v>65</v>
      </c>
      <c r="K25" s="8">
        <v>2500</v>
      </c>
      <c r="L25" s="8"/>
      <c r="M25" s="8"/>
      <c r="N25" s="33">
        <v>2500</v>
      </c>
      <c r="O25" s="7"/>
    </row>
    <row r="26" spans="1:15" ht="21.9" customHeight="1" x14ac:dyDescent="0.4">
      <c r="A26" s="5" t="s">
        <v>66</v>
      </c>
      <c r="B26" s="5" t="s">
        <v>23</v>
      </c>
      <c r="C26" s="6" t="s">
        <v>67</v>
      </c>
      <c r="D26" s="7"/>
      <c r="E26" s="8"/>
      <c r="F26" s="7"/>
      <c r="G26" s="8"/>
      <c r="H26" s="7"/>
      <c r="I26" s="8"/>
      <c r="J26" s="7"/>
      <c r="K26" s="8"/>
      <c r="L26" s="8"/>
      <c r="M26" s="8">
        <v>2600</v>
      </c>
      <c r="N26" s="33">
        <v>2600</v>
      </c>
      <c r="O26" s="7"/>
    </row>
    <row r="27" spans="1:15" ht="21.9" customHeight="1" x14ac:dyDescent="0.4">
      <c r="A27" s="5" t="s">
        <v>68</v>
      </c>
      <c r="B27" s="5" t="s">
        <v>69</v>
      </c>
      <c r="C27" s="6" t="s">
        <v>70</v>
      </c>
      <c r="D27" s="7"/>
      <c r="E27" s="8"/>
      <c r="F27" s="7"/>
      <c r="G27" s="8"/>
      <c r="H27" s="7"/>
      <c r="I27" s="8"/>
      <c r="J27" s="7"/>
      <c r="K27" s="8"/>
      <c r="L27" s="8"/>
      <c r="M27" s="8">
        <v>353600</v>
      </c>
      <c r="N27" s="33">
        <v>353600</v>
      </c>
      <c r="O27" s="7"/>
    </row>
    <row r="28" spans="1:15" ht="21.9" customHeight="1" x14ac:dyDescent="0.4">
      <c r="A28" s="5" t="s">
        <v>71</v>
      </c>
      <c r="B28" s="5" t="s">
        <v>72</v>
      </c>
      <c r="C28" s="6" t="s">
        <v>58</v>
      </c>
      <c r="D28" s="5" t="s">
        <v>59</v>
      </c>
      <c r="E28" s="8">
        <v>1600</v>
      </c>
      <c r="F28" s="5" t="s">
        <v>73</v>
      </c>
      <c r="G28" s="8">
        <v>1734</v>
      </c>
      <c r="H28" s="5" t="s">
        <v>60</v>
      </c>
      <c r="I28" s="8">
        <v>1584</v>
      </c>
      <c r="J28" s="5" t="s">
        <v>61</v>
      </c>
      <c r="K28" s="8">
        <v>1587</v>
      </c>
      <c r="L28" s="8">
        <v>1473</v>
      </c>
      <c r="M28" s="8"/>
      <c r="N28" s="33">
        <v>1473</v>
      </c>
      <c r="O28" s="7"/>
    </row>
    <row r="29" spans="1:15" ht="21.9" customHeight="1" x14ac:dyDescent="0.4">
      <c r="A29" s="5" t="s">
        <v>74</v>
      </c>
      <c r="B29" s="5" t="s">
        <v>75</v>
      </c>
      <c r="C29" s="6" t="s">
        <v>70</v>
      </c>
      <c r="D29" s="7"/>
      <c r="E29" s="8"/>
      <c r="F29" s="7"/>
      <c r="G29" s="8"/>
      <c r="H29" s="7"/>
      <c r="I29" s="8"/>
      <c r="J29" s="7"/>
      <c r="K29" s="8"/>
      <c r="L29" s="8"/>
      <c r="M29" s="8">
        <v>395200</v>
      </c>
      <c r="N29" s="33">
        <v>395200</v>
      </c>
      <c r="O29" s="7"/>
    </row>
    <row r="30" spans="1:15" ht="21.9" customHeight="1" x14ac:dyDescent="0.4">
      <c r="A30" s="5" t="s">
        <v>76</v>
      </c>
      <c r="B30" s="5" t="s">
        <v>77</v>
      </c>
      <c r="C30" s="6" t="s">
        <v>78</v>
      </c>
      <c r="D30" s="5" t="s">
        <v>79</v>
      </c>
      <c r="E30" s="8">
        <v>5450</v>
      </c>
      <c r="F30" s="5" t="s">
        <v>80</v>
      </c>
      <c r="G30" s="8">
        <v>6906</v>
      </c>
      <c r="H30" s="5" t="s">
        <v>81</v>
      </c>
      <c r="I30" s="8">
        <v>5820</v>
      </c>
      <c r="J30" s="5" t="s">
        <v>82</v>
      </c>
      <c r="K30" s="8">
        <v>7260</v>
      </c>
      <c r="L30" s="8">
        <v>5620</v>
      </c>
      <c r="M30" s="8"/>
      <c r="N30" s="33">
        <v>5450</v>
      </c>
      <c r="O30" s="5" t="s">
        <v>83</v>
      </c>
    </row>
    <row r="31" spans="1:15" ht="21.9" customHeight="1" x14ac:dyDescent="0.4">
      <c r="A31" s="5" t="s">
        <v>84</v>
      </c>
      <c r="B31" s="5" t="s">
        <v>77</v>
      </c>
      <c r="C31" s="6" t="s">
        <v>78</v>
      </c>
      <c r="D31" s="5" t="s">
        <v>79</v>
      </c>
      <c r="E31" s="8">
        <v>5450</v>
      </c>
      <c r="F31" s="5" t="s">
        <v>80</v>
      </c>
      <c r="G31" s="8">
        <v>6906</v>
      </c>
      <c r="H31" s="5" t="s">
        <v>81</v>
      </c>
      <c r="I31" s="8">
        <v>5820</v>
      </c>
      <c r="J31" s="5" t="s">
        <v>82</v>
      </c>
      <c r="K31" s="8">
        <v>7260</v>
      </c>
      <c r="L31" s="8">
        <v>5620</v>
      </c>
      <c r="M31" s="8"/>
      <c r="N31" s="33">
        <v>5450</v>
      </c>
      <c r="O31" s="5" t="s">
        <v>83</v>
      </c>
    </row>
    <row r="32" spans="1:15" ht="21.9" customHeight="1" x14ac:dyDescent="0.4">
      <c r="A32" s="5" t="s">
        <v>85</v>
      </c>
      <c r="B32" s="5" t="s">
        <v>54</v>
      </c>
      <c r="C32" s="6" t="s">
        <v>38</v>
      </c>
      <c r="D32" s="5" t="s">
        <v>39</v>
      </c>
      <c r="E32" s="8">
        <v>2070</v>
      </c>
      <c r="F32" s="5" t="s">
        <v>46</v>
      </c>
      <c r="G32" s="8">
        <v>2829</v>
      </c>
      <c r="H32" s="5" t="s">
        <v>40</v>
      </c>
      <c r="I32" s="8">
        <v>2010</v>
      </c>
      <c r="J32" s="7"/>
      <c r="K32" s="8"/>
      <c r="L32" s="8"/>
      <c r="M32" s="8"/>
      <c r="N32" s="33">
        <v>2010</v>
      </c>
      <c r="O32" s="7"/>
    </row>
    <row r="33" spans="1:15" ht="21.9" customHeight="1" x14ac:dyDescent="0.4">
      <c r="A33" s="5" t="s">
        <v>86</v>
      </c>
      <c r="B33" s="5" t="s">
        <v>87</v>
      </c>
      <c r="C33" s="6" t="s">
        <v>18</v>
      </c>
      <c r="D33" s="7"/>
      <c r="E33" s="8"/>
      <c r="F33" s="7"/>
      <c r="G33" s="8"/>
      <c r="H33" s="7"/>
      <c r="I33" s="8"/>
      <c r="J33" s="7"/>
      <c r="K33" s="8"/>
      <c r="L33" s="8"/>
      <c r="M33" s="8">
        <v>13730</v>
      </c>
      <c r="N33" s="33">
        <v>13730</v>
      </c>
      <c r="O33" s="7"/>
    </row>
    <row r="34" spans="1:15" ht="21.9" customHeight="1" x14ac:dyDescent="0.4">
      <c r="A34" s="5" t="s">
        <v>88</v>
      </c>
      <c r="B34" s="5" t="s">
        <v>89</v>
      </c>
      <c r="C34" s="6" t="s">
        <v>21</v>
      </c>
      <c r="D34" s="7"/>
      <c r="E34" s="8"/>
      <c r="F34" s="7"/>
      <c r="G34" s="8"/>
      <c r="H34" s="7"/>
      <c r="I34" s="8"/>
      <c r="J34" s="7"/>
      <c r="K34" s="8"/>
      <c r="L34" s="8"/>
      <c r="M34" s="8">
        <v>832000</v>
      </c>
      <c r="N34" s="33">
        <v>832000</v>
      </c>
      <c r="O34" s="7"/>
    </row>
    <row r="35" spans="1:15" ht="21.9" customHeight="1" x14ac:dyDescent="0.4">
      <c r="A35" s="5" t="s">
        <v>90</v>
      </c>
      <c r="B35" s="5" t="s">
        <v>23</v>
      </c>
      <c r="C35" s="6" t="s">
        <v>18</v>
      </c>
      <c r="D35" s="7"/>
      <c r="E35" s="8"/>
      <c r="F35" s="7"/>
      <c r="G35" s="8"/>
      <c r="H35" s="7"/>
      <c r="I35" s="8"/>
      <c r="J35" s="7"/>
      <c r="K35" s="8"/>
      <c r="L35" s="8"/>
      <c r="M35" s="8">
        <v>3430</v>
      </c>
      <c r="N35" s="33">
        <v>3430</v>
      </c>
      <c r="O35" s="7"/>
    </row>
    <row r="36" spans="1:15" ht="21.9" customHeight="1" x14ac:dyDescent="0.4">
      <c r="A36" s="5" t="s">
        <v>91</v>
      </c>
      <c r="B36" s="5" t="s">
        <v>92</v>
      </c>
      <c r="C36" s="6" t="s">
        <v>18</v>
      </c>
      <c r="D36" s="7"/>
      <c r="E36" s="8"/>
      <c r="F36" s="7"/>
      <c r="G36" s="8"/>
      <c r="H36" s="7"/>
      <c r="I36" s="8"/>
      <c r="J36" s="7"/>
      <c r="K36" s="8"/>
      <c r="L36" s="8"/>
      <c r="M36" s="8">
        <v>570</v>
      </c>
      <c r="N36" s="33">
        <v>570</v>
      </c>
      <c r="O36" s="7"/>
    </row>
    <row r="37" spans="1:15" ht="21.9" customHeight="1" x14ac:dyDescent="0.4">
      <c r="A37" s="5" t="s">
        <v>93</v>
      </c>
      <c r="B37" s="5" t="s">
        <v>94</v>
      </c>
      <c r="C37" s="6" t="s">
        <v>21</v>
      </c>
      <c r="D37" s="7"/>
      <c r="E37" s="8"/>
      <c r="F37" s="7"/>
      <c r="G37" s="8"/>
      <c r="H37" s="7"/>
      <c r="I37" s="8"/>
      <c r="J37" s="7"/>
      <c r="K37" s="8"/>
      <c r="L37" s="8"/>
      <c r="M37" s="8">
        <v>582400</v>
      </c>
      <c r="N37" s="33">
        <v>582400</v>
      </c>
      <c r="O37" s="7"/>
    </row>
    <row r="38" spans="1:15" ht="21.9" customHeight="1" x14ac:dyDescent="0.4">
      <c r="A38" s="5" t="s">
        <v>95</v>
      </c>
      <c r="B38" s="5" t="s">
        <v>96</v>
      </c>
      <c r="C38" s="6" t="s">
        <v>21</v>
      </c>
      <c r="D38" s="7"/>
      <c r="E38" s="8"/>
      <c r="F38" s="7"/>
      <c r="G38" s="8"/>
      <c r="H38" s="7"/>
      <c r="I38" s="8"/>
      <c r="J38" s="7"/>
      <c r="K38" s="8"/>
      <c r="L38" s="8"/>
      <c r="M38" s="8">
        <v>1352000</v>
      </c>
      <c r="N38" s="33">
        <v>1352000</v>
      </c>
      <c r="O38" s="7"/>
    </row>
    <row r="39" spans="1:15" ht="21.9" customHeight="1" x14ac:dyDescent="0.4">
      <c r="A39" s="5" t="s">
        <v>97</v>
      </c>
      <c r="B39" s="5" t="s">
        <v>98</v>
      </c>
      <c r="C39" s="6" t="s">
        <v>21</v>
      </c>
      <c r="D39" s="7"/>
      <c r="E39" s="8"/>
      <c r="F39" s="7"/>
      <c r="G39" s="8"/>
      <c r="H39" s="7"/>
      <c r="I39" s="8"/>
      <c r="J39" s="7"/>
      <c r="K39" s="8"/>
      <c r="L39" s="8"/>
      <c r="M39" s="8">
        <v>249600</v>
      </c>
      <c r="N39" s="33">
        <v>249600</v>
      </c>
      <c r="O39" s="7"/>
    </row>
    <row r="40" spans="1:15" ht="21.9" customHeight="1" x14ac:dyDescent="0.4">
      <c r="A40" s="5" t="s">
        <v>99</v>
      </c>
      <c r="B40" s="5" t="s">
        <v>100</v>
      </c>
      <c r="C40" s="6" t="s">
        <v>21</v>
      </c>
      <c r="D40" s="7"/>
      <c r="E40" s="8"/>
      <c r="F40" s="7"/>
      <c r="G40" s="8"/>
      <c r="H40" s="7"/>
      <c r="I40" s="8"/>
      <c r="J40" s="7"/>
      <c r="K40" s="8"/>
      <c r="L40" s="8"/>
      <c r="M40" s="8">
        <v>1414400</v>
      </c>
      <c r="N40" s="33">
        <v>1414400</v>
      </c>
      <c r="O40" s="7"/>
    </row>
    <row r="41" spans="1:15" ht="21.9" customHeight="1" x14ac:dyDescent="0.4">
      <c r="A41" s="5" t="s">
        <v>101</v>
      </c>
      <c r="B41" s="5" t="s">
        <v>102</v>
      </c>
      <c r="C41" s="6" t="s">
        <v>21</v>
      </c>
      <c r="D41" s="7"/>
      <c r="E41" s="8"/>
      <c r="F41" s="7"/>
      <c r="G41" s="8"/>
      <c r="H41" s="7"/>
      <c r="I41" s="8"/>
      <c r="J41" s="7"/>
      <c r="K41" s="8"/>
      <c r="L41" s="8"/>
      <c r="M41" s="8">
        <v>1679600</v>
      </c>
      <c r="N41" s="33">
        <v>1679600</v>
      </c>
      <c r="O41" s="7"/>
    </row>
    <row r="42" spans="1:15" ht="21.9" customHeight="1" x14ac:dyDescent="0.4">
      <c r="A42" s="5" t="s">
        <v>103</v>
      </c>
      <c r="B42" s="5" t="s">
        <v>104</v>
      </c>
      <c r="C42" s="6" t="s">
        <v>21</v>
      </c>
      <c r="D42" s="7"/>
      <c r="E42" s="8"/>
      <c r="F42" s="7"/>
      <c r="G42" s="8"/>
      <c r="H42" s="7"/>
      <c r="I42" s="8"/>
      <c r="J42" s="7"/>
      <c r="K42" s="8"/>
      <c r="L42" s="8"/>
      <c r="M42" s="8">
        <v>353600</v>
      </c>
      <c r="N42" s="33">
        <v>353600</v>
      </c>
      <c r="O42" s="7"/>
    </row>
    <row r="43" spans="1:15" ht="21.9" customHeight="1" x14ac:dyDescent="0.4">
      <c r="A43" s="5" t="s">
        <v>105</v>
      </c>
      <c r="B43" s="5" t="s">
        <v>106</v>
      </c>
      <c r="C43" s="6" t="s">
        <v>18</v>
      </c>
      <c r="D43" s="7"/>
      <c r="E43" s="8"/>
      <c r="F43" s="7"/>
      <c r="G43" s="8"/>
      <c r="H43" s="7"/>
      <c r="I43" s="8"/>
      <c r="J43" s="7"/>
      <c r="K43" s="8"/>
      <c r="L43" s="8"/>
      <c r="M43" s="8">
        <v>4680</v>
      </c>
      <c r="N43" s="33">
        <v>4680</v>
      </c>
      <c r="O43" s="7"/>
    </row>
    <row r="44" spans="1:15" ht="21.9" customHeight="1" x14ac:dyDescent="0.4">
      <c r="A44" s="5" t="s">
        <v>107</v>
      </c>
      <c r="B44" s="5" t="s">
        <v>108</v>
      </c>
      <c r="C44" s="6" t="s">
        <v>18</v>
      </c>
      <c r="D44" s="7"/>
      <c r="E44" s="8"/>
      <c r="F44" s="7"/>
      <c r="G44" s="8"/>
      <c r="H44" s="7"/>
      <c r="I44" s="8"/>
      <c r="J44" s="7"/>
      <c r="K44" s="8"/>
      <c r="L44" s="8"/>
      <c r="M44" s="8">
        <v>1560</v>
      </c>
      <c r="N44" s="33">
        <v>1560</v>
      </c>
      <c r="O44" s="7"/>
    </row>
    <row r="45" spans="1:15" ht="21.9" customHeight="1" x14ac:dyDescent="0.4">
      <c r="A45" s="5" t="s">
        <v>109</v>
      </c>
      <c r="B45" s="5" t="s">
        <v>110</v>
      </c>
      <c r="C45" s="6" t="s">
        <v>111</v>
      </c>
      <c r="D45" s="5" t="s">
        <v>40</v>
      </c>
      <c r="E45" s="8">
        <v>101520</v>
      </c>
      <c r="F45" s="7"/>
      <c r="G45" s="8"/>
      <c r="H45" s="7"/>
      <c r="I45" s="8"/>
      <c r="J45" s="7"/>
      <c r="K45" s="8"/>
      <c r="L45" s="8"/>
      <c r="M45" s="8"/>
      <c r="N45" s="33">
        <v>101520</v>
      </c>
      <c r="O45" s="7"/>
    </row>
    <row r="46" spans="1:15" ht="21.9" customHeight="1" x14ac:dyDescent="0.4">
      <c r="A46" s="5" t="s">
        <v>112</v>
      </c>
      <c r="B46" s="5" t="s">
        <v>113</v>
      </c>
      <c r="C46" s="6" t="s">
        <v>18</v>
      </c>
      <c r="D46" s="7"/>
      <c r="E46" s="8"/>
      <c r="F46" s="7"/>
      <c r="G46" s="8"/>
      <c r="H46" s="7"/>
      <c r="I46" s="8"/>
      <c r="J46" s="7"/>
      <c r="K46" s="8"/>
      <c r="L46" s="8"/>
      <c r="M46" s="8">
        <v>830</v>
      </c>
      <c r="N46" s="33">
        <v>830</v>
      </c>
      <c r="O46" s="7"/>
    </row>
    <row r="47" spans="1:15" ht="21.9" customHeight="1" x14ac:dyDescent="0.4">
      <c r="A47" s="5" t="s">
        <v>114</v>
      </c>
      <c r="B47" s="5" t="s">
        <v>45</v>
      </c>
      <c r="C47" s="6" t="s">
        <v>38</v>
      </c>
      <c r="D47" s="5" t="s">
        <v>39</v>
      </c>
      <c r="E47" s="8">
        <v>1680</v>
      </c>
      <c r="F47" s="5" t="s">
        <v>46</v>
      </c>
      <c r="G47" s="8">
        <v>2232</v>
      </c>
      <c r="H47" s="5" t="s">
        <v>40</v>
      </c>
      <c r="I47" s="8">
        <v>1600</v>
      </c>
      <c r="J47" s="7"/>
      <c r="K47" s="8"/>
      <c r="L47" s="8"/>
      <c r="M47" s="8"/>
      <c r="N47" s="33">
        <v>1600</v>
      </c>
      <c r="O47" s="7"/>
    </row>
    <row r="48" spans="1:15" ht="21.9" customHeight="1" x14ac:dyDescent="0.4">
      <c r="A48" s="5" t="s">
        <v>115</v>
      </c>
      <c r="B48" s="5" t="s">
        <v>37</v>
      </c>
      <c r="C48" s="6" t="s">
        <v>38</v>
      </c>
      <c r="D48" s="5" t="s">
        <v>39</v>
      </c>
      <c r="E48" s="8">
        <v>2300</v>
      </c>
      <c r="F48" s="7"/>
      <c r="G48" s="8"/>
      <c r="H48" s="5" t="s">
        <v>40</v>
      </c>
      <c r="I48" s="8">
        <v>2230</v>
      </c>
      <c r="J48" s="7"/>
      <c r="K48" s="8"/>
      <c r="L48" s="8"/>
      <c r="M48" s="8"/>
      <c r="N48" s="33">
        <v>2230</v>
      </c>
      <c r="O48" s="7"/>
    </row>
    <row r="49" spans="1:15" ht="21.9" customHeight="1" x14ac:dyDescent="0.4">
      <c r="A49" s="5" t="s">
        <v>115</v>
      </c>
      <c r="B49" s="5" t="s">
        <v>77</v>
      </c>
      <c r="C49" s="6" t="s">
        <v>78</v>
      </c>
      <c r="D49" s="5" t="s">
        <v>79</v>
      </c>
      <c r="E49" s="8">
        <v>5450</v>
      </c>
      <c r="F49" s="5" t="s">
        <v>80</v>
      </c>
      <c r="G49" s="8">
        <v>6906</v>
      </c>
      <c r="H49" s="5" t="s">
        <v>81</v>
      </c>
      <c r="I49" s="8">
        <v>5820</v>
      </c>
      <c r="J49" s="5" t="s">
        <v>82</v>
      </c>
      <c r="K49" s="8">
        <v>7260</v>
      </c>
      <c r="L49" s="8">
        <v>5620</v>
      </c>
      <c r="M49" s="8"/>
      <c r="N49" s="33">
        <v>5450</v>
      </c>
      <c r="O49" s="5" t="s">
        <v>83</v>
      </c>
    </row>
    <row r="50" spans="1:15" ht="21.9" customHeight="1" x14ac:dyDescent="0.4">
      <c r="A50" s="5" t="s">
        <v>116</v>
      </c>
      <c r="B50" s="5" t="s">
        <v>117</v>
      </c>
      <c r="C50" s="6" t="s">
        <v>51</v>
      </c>
      <c r="D50" s="7"/>
      <c r="E50" s="8"/>
      <c r="F50" s="7"/>
      <c r="G50" s="8"/>
      <c r="H50" s="7"/>
      <c r="I50" s="8"/>
      <c r="J50" s="7"/>
      <c r="K50" s="8"/>
      <c r="L50" s="8"/>
      <c r="M50" s="8">
        <v>78000</v>
      </c>
      <c r="N50" s="33">
        <v>78000</v>
      </c>
      <c r="O50" s="7"/>
    </row>
    <row r="51" spans="1:15" ht="21.9" customHeight="1" x14ac:dyDescent="0.4">
      <c r="A51" s="5" t="s">
        <v>118</v>
      </c>
      <c r="B51" s="5" t="s">
        <v>119</v>
      </c>
      <c r="C51" s="6" t="s">
        <v>70</v>
      </c>
      <c r="D51" s="5" t="s">
        <v>120</v>
      </c>
      <c r="E51" s="8">
        <v>1610000</v>
      </c>
      <c r="F51" s="5" t="s">
        <v>121</v>
      </c>
      <c r="G51" s="8">
        <v>1610000</v>
      </c>
      <c r="H51" s="5" t="s">
        <v>122</v>
      </c>
      <c r="I51" s="8">
        <v>1610000</v>
      </c>
      <c r="J51" s="5" t="s">
        <v>123</v>
      </c>
      <c r="K51" s="8">
        <v>1391000</v>
      </c>
      <c r="L51" s="8"/>
      <c r="M51" s="8"/>
      <c r="N51" s="33">
        <v>1391000</v>
      </c>
      <c r="O51" s="7"/>
    </row>
    <row r="52" spans="1:15" ht="21.9" customHeight="1" x14ac:dyDescent="0.4">
      <c r="A52" s="5" t="s">
        <v>124</v>
      </c>
      <c r="B52" s="5" t="s">
        <v>108</v>
      </c>
      <c r="C52" s="6" t="s">
        <v>18</v>
      </c>
      <c r="D52" s="7"/>
      <c r="E52" s="8"/>
      <c r="F52" s="7"/>
      <c r="G52" s="8"/>
      <c r="H52" s="7"/>
      <c r="I52" s="8"/>
      <c r="J52" s="7"/>
      <c r="K52" s="8"/>
      <c r="L52" s="8"/>
      <c r="M52" s="8">
        <v>520</v>
      </c>
      <c r="N52" s="33">
        <v>520</v>
      </c>
      <c r="O52" s="7"/>
    </row>
    <row r="53" spans="1:15" ht="21.9" customHeight="1" x14ac:dyDescent="0.4">
      <c r="A53" s="5" t="s">
        <v>125</v>
      </c>
      <c r="B53" s="5" t="s">
        <v>70</v>
      </c>
      <c r="C53" s="6" t="s">
        <v>126</v>
      </c>
      <c r="D53" s="7"/>
      <c r="E53" s="8"/>
      <c r="F53" s="7"/>
      <c r="G53" s="8"/>
      <c r="H53" s="7"/>
      <c r="I53" s="8"/>
      <c r="J53" s="7"/>
      <c r="K53" s="8"/>
      <c r="L53" s="8"/>
      <c r="M53" s="8">
        <v>88400</v>
      </c>
      <c r="N53" s="33">
        <v>88400</v>
      </c>
      <c r="O53" s="7"/>
    </row>
    <row r="54" spans="1:15" ht="21.9" customHeight="1" x14ac:dyDescent="0.4">
      <c r="A54" s="5" t="s">
        <v>127</v>
      </c>
      <c r="B54" s="5" t="s">
        <v>128</v>
      </c>
      <c r="C54" s="6" t="s">
        <v>51</v>
      </c>
      <c r="D54" s="7"/>
      <c r="E54" s="8"/>
      <c r="F54" s="7"/>
      <c r="G54" s="8"/>
      <c r="H54" s="7"/>
      <c r="I54" s="8"/>
      <c r="J54" s="7"/>
      <c r="K54" s="8"/>
      <c r="L54" s="8"/>
      <c r="M54" s="8">
        <v>93600</v>
      </c>
      <c r="N54" s="33">
        <v>93600</v>
      </c>
      <c r="O54" s="7"/>
    </row>
    <row r="55" spans="1:15" ht="21.9" customHeight="1" x14ac:dyDescent="0.4">
      <c r="A55" s="5" t="s">
        <v>129</v>
      </c>
      <c r="B55" s="5" t="s">
        <v>130</v>
      </c>
      <c r="C55" s="6" t="s">
        <v>21</v>
      </c>
      <c r="D55" s="7"/>
      <c r="E55" s="8"/>
      <c r="F55" s="7"/>
      <c r="G55" s="8"/>
      <c r="H55" s="7"/>
      <c r="I55" s="8"/>
      <c r="J55" s="7"/>
      <c r="K55" s="8"/>
      <c r="L55" s="8"/>
      <c r="M55" s="8">
        <v>1123200</v>
      </c>
      <c r="N55" s="33">
        <v>1123200</v>
      </c>
      <c r="O55" s="7"/>
    </row>
    <row r="56" spans="1:15" ht="21.9" customHeight="1" x14ac:dyDescent="0.4">
      <c r="A56" s="5" t="s">
        <v>131</v>
      </c>
      <c r="B56" s="5" t="s">
        <v>132</v>
      </c>
      <c r="C56" s="6" t="s">
        <v>78</v>
      </c>
      <c r="D56" s="7"/>
      <c r="E56" s="8"/>
      <c r="F56" s="7"/>
      <c r="G56" s="8"/>
      <c r="H56" s="7"/>
      <c r="I56" s="8"/>
      <c r="J56" s="7"/>
      <c r="K56" s="8"/>
      <c r="L56" s="8"/>
      <c r="M56" s="8">
        <v>120</v>
      </c>
      <c r="N56" s="33">
        <v>120</v>
      </c>
      <c r="O56" s="7"/>
    </row>
    <row r="57" spans="1:15" ht="21.9" customHeight="1" x14ac:dyDescent="0.4">
      <c r="A57" s="5" t="s">
        <v>133</v>
      </c>
      <c r="B57" s="5" t="s">
        <v>134</v>
      </c>
      <c r="C57" s="6" t="s">
        <v>18</v>
      </c>
      <c r="D57" s="7"/>
      <c r="E57" s="8"/>
      <c r="F57" s="7"/>
      <c r="G57" s="8"/>
      <c r="H57" s="7"/>
      <c r="I57" s="8"/>
      <c r="J57" s="7"/>
      <c r="K57" s="8"/>
      <c r="L57" s="8"/>
      <c r="M57" s="8">
        <v>7800</v>
      </c>
      <c r="N57" s="33">
        <v>7800</v>
      </c>
      <c r="O57" s="7"/>
    </row>
    <row r="58" spans="1:15" ht="21.9" customHeight="1" x14ac:dyDescent="0.4">
      <c r="A58" s="5" t="s">
        <v>135</v>
      </c>
      <c r="B58" s="5" t="s">
        <v>136</v>
      </c>
      <c r="C58" s="6" t="s">
        <v>38</v>
      </c>
      <c r="D58" s="5" t="s">
        <v>137</v>
      </c>
      <c r="E58" s="8">
        <v>730</v>
      </c>
      <c r="F58" s="5" t="s">
        <v>138</v>
      </c>
      <c r="G58" s="8">
        <v>1372</v>
      </c>
      <c r="H58" s="5" t="s">
        <v>139</v>
      </c>
      <c r="I58" s="8">
        <v>813</v>
      </c>
      <c r="J58" s="5" t="s">
        <v>140</v>
      </c>
      <c r="K58" s="8">
        <v>986</v>
      </c>
      <c r="L58" s="8"/>
      <c r="M58" s="8"/>
      <c r="N58" s="33">
        <v>730</v>
      </c>
      <c r="O58" s="7"/>
    </row>
    <row r="59" spans="1:15" ht="21.9" customHeight="1" x14ac:dyDescent="0.4">
      <c r="A59" s="5" t="s">
        <v>135</v>
      </c>
      <c r="B59" s="5" t="s">
        <v>141</v>
      </c>
      <c r="C59" s="6" t="s">
        <v>38</v>
      </c>
      <c r="D59" s="5" t="s">
        <v>137</v>
      </c>
      <c r="E59" s="8">
        <v>560</v>
      </c>
      <c r="F59" s="5" t="s">
        <v>138</v>
      </c>
      <c r="G59" s="8">
        <v>1038</v>
      </c>
      <c r="H59" s="5" t="s">
        <v>139</v>
      </c>
      <c r="I59" s="8">
        <v>495</v>
      </c>
      <c r="J59" s="5" t="s">
        <v>140</v>
      </c>
      <c r="K59" s="8">
        <v>713</v>
      </c>
      <c r="L59" s="8"/>
      <c r="M59" s="8"/>
      <c r="N59" s="33">
        <v>495</v>
      </c>
      <c r="O59" s="7"/>
    </row>
    <row r="60" spans="1:15" ht="21.9" customHeight="1" x14ac:dyDescent="0.4">
      <c r="A60" s="5" t="s">
        <v>135</v>
      </c>
      <c r="B60" s="5" t="s">
        <v>142</v>
      </c>
      <c r="C60" s="6" t="s">
        <v>38</v>
      </c>
      <c r="D60" s="5" t="s">
        <v>137</v>
      </c>
      <c r="E60" s="8">
        <v>1010</v>
      </c>
      <c r="F60" s="5" t="s">
        <v>138</v>
      </c>
      <c r="G60" s="8">
        <v>1879</v>
      </c>
      <c r="H60" s="5" t="s">
        <v>139</v>
      </c>
      <c r="I60" s="8">
        <v>1000</v>
      </c>
      <c r="J60" s="5" t="s">
        <v>140</v>
      </c>
      <c r="K60" s="8">
        <v>2235</v>
      </c>
      <c r="L60" s="8"/>
      <c r="M60" s="8"/>
      <c r="N60" s="33">
        <v>1000</v>
      </c>
      <c r="O60" s="7"/>
    </row>
    <row r="61" spans="1:15" ht="21.9" customHeight="1" x14ac:dyDescent="0.4">
      <c r="A61" s="5" t="s">
        <v>143</v>
      </c>
      <c r="B61" s="5" t="s">
        <v>77</v>
      </c>
      <c r="C61" s="6" t="s">
        <v>78</v>
      </c>
      <c r="D61" s="5" t="s">
        <v>79</v>
      </c>
      <c r="E61" s="8">
        <v>5450</v>
      </c>
      <c r="F61" s="5" t="s">
        <v>80</v>
      </c>
      <c r="G61" s="8">
        <v>6906</v>
      </c>
      <c r="H61" s="5" t="s">
        <v>81</v>
      </c>
      <c r="I61" s="8">
        <v>5820</v>
      </c>
      <c r="J61" s="5" t="s">
        <v>82</v>
      </c>
      <c r="K61" s="8">
        <v>7260</v>
      </c>
      <c r="L61" s="8">
        <v>5620</v>
      </c>
      <c r="M61" s="8"/>
      <c r="N61" s="33">
        <v>5450</v>
      </c>
      <c r="O61" s="5" t="s">
        <v>83</v>
      </c>
    </row>
    <row r="62" spans="1:15" ht="21.9" customHeight="1" x14ac:dyDescent="0.4">
      <c r="A62" s="5" t="s">
        <v>144</v>
      </c>
      <c r="B62" s="5" t="s">
        <v>145</v>
      </c>
      <c r="C62" s="6" t="s">
        <v>18</v>
      </c>
      <c r="D62" s="7"/>
      <c r="E62" s="8"/>
      <c r="F62" s="7"/>
      <c r="G62" s="8"/>
      <c r="H62" s="7"/>
      <c r="I62" s="8"/>
      <c r="J62" s="7"/>
      <c r="K62" s="8"/>
      <c r="L62" s="8"/>
      <c r="M62" s="8">
        <v>2080</v>
      </c>
      <c r="N62" s="33">
        <v>2080</v>
      </c>
      <c r="O62" s="7"/>
    </row>
    <row r="63" spans="1:15" ht="21.9" customHeight="1" x14ac:dyDescent="0.4">
      <c r="A63" s="5" t="s">
        <v>146</v>
      </c>
      <c r="B63" s="5" t="s">
        <v>147</v>
      </c>
      <c r="C63" s="6" t="s">
        <v>21</v>
      </c>
      <c r="D63" s="7"/>
      <c r="E63" s="8"/>
      <c r="F63" s="7"/>
      <c r="G63" s="8"/>
      <c r="H63" s="7"/>
      <c r="I63" s="8"/>
      <c r="J63" s="7"/>
      <c r="K63" s="8"/>
      <c r="L63" s="8"/>
      <c r="M63" s="8">
        <v>109200</v>
      </c>
      <c r="N63" s="33">
        <v>109200</v>
      </c>
      <c r="O63" s="7"/>
    </row>
    <row r="64" spans="1:15" ht="21.9" customHeight="1" x14ac:dyDescent="0.4">
      <c r="A64" s="5" t="s">
        <v>148</v>
      </c>
      <c r="B64" s="5" t="s">
        <v>79</v>
      </c>
      <c r="C64" s="6" t="s">
        <v>18</v>
      </c>
      <c r="D64" s="7"/>
      <c r="E64" s="8"/>
      <c r="F64" s="7"/>
      <c r="G64" s="8"/>
      <c r="H64" s="7"/>
      <c r="I64" s="8"/>
      <c r="J64" s="7"/>
      <c r="K64" s="8"/>
      <c r="L64" s="8"/>
      <c r="M64" s="8">
        <v>160</v>
      </c>
      <c r="N64" s="33">
        <v>160</v>
      </c>
      <c r="O64" s="7"/>
    </row>
    <row r="65" spans="1:15" ht="21.9" customHeight="1" x14ac:dyDescent="0.4">
      <c r="A65" s="5" t="s">
        <v>148</v>
      </c>
      <c r="B65" s="5" t="s">
        <v>113</v>
      </c>
      <c r="C65" s="6" t="s">
        <v>18</v>
      </c>
      <c r="D65" s="7"/>
      <c r="E65" s="8"/>
      <c r="F65" s="7"/>
      <c r="G65" s="8"/>
      <c r="H65" s="7"/>
      <c r="I65" s="8"/>
      <c r="J65" s="7"/>
      <c r="K65" s="8"/>
      <c r="L65" s="8"/>
      <c r="M65" s="8">
        <v>210</v>
      </c>
      <c r="N65" s="33">
        <v>210</v>
      </c>
      <c r="O65" s="7"/>
    </row>
    <row r="66" spans="1:15" ht="21.9" customHeight="1" x14ac:dyDescent="0.4">
      <c r="A66" s="5" t="s">
        <v>149</v>
      </c>
      <c r="B66" s="5" t="s">
        <v>150</v>
      </c>
      <c r="C66" s="6" t="s">
        <v>18</v>
      </c>
      <c r="D66" s="7"/>
      <c r="E66" s="8"/>
      <c r="F66" s="7"/>
      <c r="G66" s="8"/>
      <c r="H66" s="7"/>
      <c r="I66" s="8"/>
      <c r="J66" s="7"/>
      <c r="K66" s="8"/>
      <c r="L66" s="8"/>
      <c r="M66" s="8">
        <v>160</v>
      </c>
      <c r="N66" s="33">
        <v>160</v>
      </c>
      <c r="O66" s="7"/>
    </row>
    <row r="67" spans="1:15" ht="21.9" customHeight="1" x14ac:dyDescent="0.4">
      <c r="A67" s="5" t="s">
        <v>151</v>
      </c>
      <c r="B67" s="5" t="s">
        <v>37</v>
      </c>
      <c r="C67" s="6" t="s">
        <v>38</v>
      </c>
      <c r="D67" s="5" t="s">
        <v>39</v>
      </c>
      <c r="E67" s="8">
        <v>2300</v>
      </c>
      <c r="F67" s="7"/>
      <c r="G67" s="8"/>
      <c r="H67" s="5" t="s">
        <v>40</v>
      </c>
      <c r="I67" s="8">
        <v>2230</v>
      </c>
      <c r="J67" s="7"/>
      <c r="K67" s="8"/>
      <c r="L67" s="8"/>
      <c r="M67" s="8"/>
      <c r="N67" s="33">
        <v>2230</v>
      </c>
      <c r="O67" s="7"/>
    </row>
    <row r="68" spans="1:15" ht="21.9" customHeight="1" x14ac:dyDescent="0.4">
      <c r="A68" s="5" t="s">
        <v>152</v>
      </c>
      <c r="B68" s="5" t="s">
        <v>37</v>
      </c>
      <c r="C68" s="6" t="s">
        <v>38</v>
      </c>
      <c r="D68" s="5" t="s">
        <v>39</v>
      </c>
      <c r="E68" s="8">
        <v>2300</v>
      </c>
      <c r="F68" s="7"/>
      <c r="G68" s="8"/>
      <c r="H68" s="5" t="s">
        <v>40</v>
      </c>
      <c r="I68" s="8">
        <v>2230</v>
      </c>
      <c r="J68" s="7"/>
      <c r="K68" s="8"/>
      <c r="L68" s="8"/>
      <c r="M68" s="8"/>
      <c r="N68" s="33">
        <v>2230</v>
      </c>
      <c r="O68" s="7"/>
    </row>
    <row r="69" spans="1:15" ht="21.9" customHeight="1" x14ac:dyDescent="0.4">
      <c r="A69" s="5" t="s">
        <v>153</v>
      </c>
      <c r="B69" s="5" t="s">
        <v>154</v>
      </c>
      <c r="C69" s="6" t="s">
        <v>155</v>
      </c>
      <c r="D69" s="7"/>
      <c r="E69" s="8"/>
      <c r="F69" s="7"/>
      <c r="G69" s="8"/>
      <c r="H69" s="7"/>
      <c r="I69" s="8"/>
      <c r="J69" s="7"/>
      <c r="K69" s="8"/>
      <c r="L69" s="8"/>
      <c r="M69" s="8">
        <v>22360</v>
      </c>
      <c r="N69" s="33">
        <v>22360</v>
      </c>
      <c r="O69" s="7"/>
    </row>
    <row r="70" spans="1:15" ht="21.9" customHeight="1" x14ac:dyDescent="0.4">
      <c r="A70" s="5" t="s">
        <v>156</v>
      </c>
      <c r="B70" s="5" t="s">
        <v>157</v>
      </c>
      <c r="C70" s="6" t="s">
        <v>78</v>
      </c>
      <c r="D70" s="5" t="s">
        <v>158</v>
      </c>
      <c r="E70" s="8">
        <v>5375</v>
      </c>
      <c r="F70" s="5" t="s">
        <v>159</v>
      </c>
      <c r="G70" s="8">
        <v>7527</v>
      </c>
      <c r="H70" s="5" t="s">
        <v>160</v>
      </c>
      <c r="I70" s="8">
        <v>7592</v>
      </c>
      <c r="J70" s="5" t="s">
        <v>161</v>
      </c>
      <c r="K70" s="8">
        <v>5625</v>
      </c>
      <c r="L70" s="8"/>
      <c r="M70" s="8"/>
      <c r="N70" s="33">
        <v>5375</v>
      </c>
      <c r="O70" s="5" t="s">
        <v>162</v>
      </c>
    </row>
    <row r="71" spans="1:15" ht="21.9" customHeight="1" x14ac:dyDescent="0.4">
      <c r="A71" s="5" t="s">
        <v>163</v>
      </c>
      <c r="B71" s="5" t="s">
        <v>164</v>
      </c>
      <c r="C71" s="6" t="s">
        <v>18</v>
      </c>
      <c r="D71" s="5" t="s">
        <v>165</v>
      </c>
      <c r="E71" s="8">
        <v>2072</v>
      </c>
      <c r="F71" s="5" t="s">
        <v>166</v>
      </c>
      <c r="G71" s="8">
        <v>2410</v>
      </c>
      <c r="H71" s="5" t="s">
        <v>167</v>
      </c>
      <c r="I71" s="8">
        <v>1746</v>
      </c>
      <c r="J71" s="7"/>
      <c r="K71" s="8"/>
      <c r="L71" s="8"/>
      <c r="M71" s="8"/>
      <c r="N71" s="33">
        <v>1746</v>
      </c>
      <c r="O71" s="7"/>
    </row>
    <row r="72" spans="1:15" ht="21.9" customHeight="1" x14ac:dyDescent="0.4">
      <c r="A72" s="5" t="s">
        <v>168</v>
      </c>
      <c r="B72" s="5" t="s">
        <v>169</v>
      </c>
      <c r="C72" s="6" t="s">
        <v>18</v>
      </c>
      <c r="D72" s="7"/>
      <c r="E72" s="8"/>
      <c r="F72" s="7"/>
      <c r="G72" s="8"/>
      <c r="H72" s="7"/>
      <c r="I72" s="8"/>
      <c r="J72" s="7"/>
      <c r="K72" s="8"/>
      <c r="L72" s="8"/>
      <c r="M72" s="8">
        <v>260</v>
      </c>
      <c r="N72" s="33">
        <v>260</v>
      </c>
      <c r="O72" s="7"/>
    </row>
    <row r="73" spans="1:15" ht="21.9" customHeight="1" x14ac:dyDescent="0.4">
      <c r="A73" s="5" t="s">
        <v>170</v>
      </c>
      <c r="B73" s="5" t="s">
        <v>171</v>
      </c>
      <c r="C73" s="6" t="s">
        <v>21</v>
      </c>
      <c r="D73" s="7"/>
      <c r="E73" s="8"/>
      <c r="F73" s="7"/>
      <c r="G73" s="8"/>
      <c r="H73" s="7"/>
      <c r="I73" s="8"/>
      <c r="J73" s="7"/>
      <c r="K73" s="8"/>
      <c r="L73" s="8"/>
      <c r="M73" s="8">
        <v>1414400</v>
      </c>
      <c r="N73" s="33">
        <v>1414400</v>
      </c>
      <c r="O73" s="7"/>
    </row>
    <row r="74" spans="1:15" ht="21.9" customHeight="1" x14ac:dyDescent="0.4">
      <c r="A74" s="5" t="s">
        <v>172</v>
      </c>
      <c r="B74" s="5" t="s">
        <v>173</v>
      </c>
      <c r="C74" s="6" t="s">
        <v>18</v>
      </c>
      <c r="D74" s="7"/>
      <c r="E74" s="8"/>
      <c r="F74" s="7"/>
      <c r="G74" s="8"/>
      <c r="H74" s="7"/>
      <c r="I74" s="8"/>
      <c r="J74" s="7"/>
      <c r="K74" s="8"/>
      <c r="L74" s="8"/>
      <c r="M74" s="8">
        <v>395200</v>
      </c>
      <c r="N74" s="33">
        <v>395200</v>
      </c>
      <c r="O74" s="7"/>
    </row>
    <row r="75" spans="1:15" ht="21.9" customHeight="1" x14ac:dyDescent="0.4">
      <c r="A75" s="5" t="s">
        <v>174</v>
      </c>
      <c r="B75" s="5" t="s">
        <v>175</v>
      </c>
      <c r="C75" s="6" t="s">
        <v>70</v>
      </c>
      <c r="D75" s="7"/>
      <c r="E75" s="8"/>
      <c r="F75" s="7"/>
      <c r="G75" s="8"/>
      <c r="H75" s="7"/>
      <c r="I75" s="8"/>
      <c r="J75" s="7"/>
      <c r="K75" s="8"/>
      <c r="L75" s="8"/>
      <c r="M75" s="8">
        <v>14040000</v>
      </c>
      <c r="N75" s="33">
        <v>14040000</v>
      </c>
      <c r="O75" s="7"/>
    </row>
    <row r="76" spans="1:15" ht="21.9" customHeight="1" x14ac:dyDescent="0.4">
      <c r="A76" s="5" t="s">
        <v>176</v>
      </c>
      <c r="B76" s="5" t="s">
        <v>177</v>
      </c>
      <c r="C76" s="6" t="s">
        <v>18</v>
      </c>
      <c r="D76" s="7"/>
      <c r="E76" s="8"/>
      <c r="F76" s="7"/>
      <c r="G76" s="8"/>
      <c r="H76" s="7"/>
      <c r="I76" s="8"/>
      <c r="J76" s="7"/>
      <c r="K76" s="8"/>
      <c r="L76" s="8"/>
      <c r="M76" s="8">
        <v>93600</v>
      </c>
      <c r="N76" s="33">
        <v>93600</v>
      </c>
      <c r="O76" s="7"/>
    </row>
    <row r="77" spans="1:15" ht="21.9" customHeight="1" x14ac:dyDescent="0.4">
      <c r="A77" s="5" t="s">
        <v>178</v>
      </c>
      <c r="B77" s="5" t="s">
        <v>179</v>
      </c>
      <c r="C77" s="6" t="s">
        <v>18</v>
      </c>
      <c r="D77" s="5" t="s">
        <v>180</v>
      </c>
      <c r="E77" s="8">
        <v>1700</v>
      </c>
      <c r="F77" s="7"/>
      <c r="G77" s="8"/>
      <c r="H77" s="5" t="s">
        <v>181</v>
      </c>
      <c r="I77" s="8">
        <v>1400</v>
      </c>
      <c r="J77" s="5" t="s">
        <v>182</v>
      </c>
      <c r="K77" s="8">
        <v>1710</v>
      </c>
      <c r="L77" s="8">
        <v>1330</v>
      </c>
      <c r="M77" s="8"/>
      <c r="N77" s="33">
        <v>1330</v>
      </c>
      <c r="O77" s="7"/>
    </row>
    <row r="78" spans="1:15" ht="21.9" customHeight="1" x14ac:dyDescent="0.4">
      <c r="A78" s="5" t="s">
        <v>183</v>
      </c>
      <c r="B78" s="5" t="s">
        <v>184</v>
      </c>
      <c r="C78" s="6" t="s">
        <v>21</v>
      </c>
      <c r="D78" s="7"/>
      <c r="E78" s="8"/>
      <c r="F78" s="7"/>
      <c r="G78" s="8"/>
      <c r="H78" s="7"/>
      <c r="I78" s="8"/>
      <c r="J78" s="7"/>
      <c r="K78" s="8"/>
      <c r="L78" s="8"/>
      <c r="M78" s="8">
        <v>46800</v>
      </c>
      <c r="N78" s="33">
        <v>46800</v>
      </c>
      <c r="O78" s="7"/>
    </row>
    <row r="79" spans="1:15" ht="21.9" customHeight="1" x14ac:dyDescent="0.4">
      <c r="A79" s="5" t="s">
        <v>185</v>
      </c>
      <c r="B79" s="5" t="s">
        <v>132</v>
      </c>
      <c r="C79" s="6" t="s">
        <v>78</v>
      </c>
      <c r="D79" s="7"/>
      <c r="E79" s="8"/>
      <c r="F79" s="7"/>
      <c r="G79" s="8"/>
      <c r="H79" s="7"/>
      <c r="I79" s="8"/>
      <c r="J79" s="7"/>
      <c r="K79" s="8"/>
      <c r="L79" s="8"/>
      <c r="M79" s="8">
        <v>120</v>
      </c>
      <c r="N79" s="33">
        <v>120</v>
      </c>
      <c r="O79" s="7"/>
    </row>
    <row r="80" spans="1:15" ht="21.9" customHeight="1" x14ac:dyDescent="0.4">
      <c r="A80" s="5" t="s">
        <v>186</v>
      </c>
      <c r="B80" s="5" t="s">
        <v>187</v>
      </c>
      <c r="C80" s="6" t="s">
        <v>18</v>
      </c>
      <c r="D80" s="7"/>
      <c r="E80" s="8"/>
      <c r="F80" s="7"/>
      <c r="G80" s="8"/>
      <c r="H80" s="7"/>
      <c r="I80" s="8"/>
      <c r="J80" s="7"/>
      <c r="K80" s="8"/>
      <c r="L80" s="8"/>
      <c r="M80" s="8">
        <v>1560</v>
      </c>
      <c r="N80" s="33">
        <v>1560</v>
      </c>
      <c r="O80" s="7"/>
    </row>
    <row r="81" spans="1:15" ht="21.9" customHeight="1" x14ac:dyDescent="0.4">
      <c r="A81" s="5" t="s">
        <v>188</v>
      </c>
      <c r="B81" s="7"/>
      <c r="C81" s="6" t="s">
        <v>18</v>
      </c>
      <c r="D81" s="7"/>
      <c r="E81" s="8"/>
      <c r="F81" s="7"/>
      <c r="G81" s="8"/>
      <c r="H81" s="7"/>
      <c r="I81" s="8"/>
      <c r="J81" s="7"/>
      <c r="K81" s="8"/>
      <c r="L81" s="8"/>
      <c r="M81" s="8">
        <v>520</v>
      </c>
      <c r="N81" s="33">
        <v>520</v>
      </c>
      <c r="O81" s="7"/>
    </row>
    <row r="82" spans="1:15" ht="21.9" customHeight="1" x14ac:dyDescent="0.4">
      <c r="A82" s="5" t="s">
        <v>189</v>
      </c>
      <c r="B82" s="5" t="s">
        <v>190</v>
      </c>
      <c r="C82" s="6" t="s">
        <v>191</v>
      </c>
      <c r="D82" s="5" t="s">
        <v>192</v>
      </c>
      <c r="E82" s="8">
        <v>6490</v>
      </c>
      <c r="F82" s="7"/>
      <c r="G82" s="8"/>
      <c r="H82" s="7"/>
      <c r="I82" s="8"/>
      <c r="J82" s="7"/>
      <c r="K82" s="8"/>
      <c r="L82" s="8"/>
      <c r="M82" s="8"/>
      <c r="N82" s="33">
        <v>6490</v>
      </c>
      <c r="O82" s="7"/>
    </row>
    <row r="83" spans="1:15" ht="21.9" customHeight="1" x14ac:dyDescent="0.4">
      <c r="A83" s="5" t="s">
        <v>193</v>
      </c>
      <c r="B83" s="5" t="s">
        <v>134</v>
      </c>
      <c r="C83" s="6" t="s">
        <v>18</v>
      </c>
      <c r="D83" s="7"/>
      <c r="E83" s="8"/>
      <c r="F83" s="7"/>
      <c r="G83" s="8"/>
      <c r="H83" s="7"/>
      <c r="I83" s="8"/>
      <c r="J83" s="7"/>
      <c r="K83" s="8"/>
      <c r="L83" s="8"/>
      <c r="M83" s="8">
        <v>17680</v>
      </c>
      <c r="N83" s="33">
        <v>17680</v>
      </c>
      <c r="O83" s="7"/>
    </row>
    <row r="84" spans="1:15" ht="21.9" customHeight="1" x14ac:dyDescent="0.4">
      <c r="A84" s="5" t="s">
        <v>194</v>
      </c>
      <c r="B84" s="5" t="s">
        <v>195</v>
      </c>
      <c r="C84" s="6" t="s">
        <v>70</v>
      </c>
      <c r="D84" s="7"/>
      <c r="E84" s="8"/>
      <c r="F84" s="7"/>
      <c r="G84" s="8"/>
      <c r="H84" s="7"/>
      <c r="I84" s="8"/>
      <c r="J84" s="7"/>
      <c r="K84" s="8"/>
      <c r="L84" s="8"/>
      <c r="M84" s="8">
        <v>88400</v>
      </c>
      <c r="N84" s="33">
        <v>88400</v>
      </c>
      <c r="O84" s="7"/>
    </row>
    <row r="85" spans="1:15" ht="21.9" customHeight="1" x14ac:dyDescent="0.4">
      <c r="A85" s="5" t="s">
        <v>196</v>
      </c>
      <c r="B85" s="5" t="s">
        <v>197</v>
      </c>
      <c r="C85" s="6" t="s">
        <v>198</v>
      </c>
      <c r="D85" s="7"/>
      <c r="E85" s="8"/>
      <c r="F85" s="7"/>
      <c r="G85" s="8"/>
      <c r="H85" s="7"/>
      <c r="I85" s="8"/>
      <c r="J85" s="7"/>
      <c r="K85" s="8"/>
      <c r="L85" s="8"/>
      <c r="M85" s="8">
        <v>5720</v>
      </c>
      <c r="N85" s="33">
        <v>5720</v>
      </c>
      <c r="O85" s="7"/>
    </row>
    <row r="86" spans="1:15" ht="21.9" customHeight="1" x14ac:dyDescent="0.4">
      <c r="A86" s="5" t="s">
        <v>199</v>
      </c>
      <c r="B86" s="7"/>
      <c r="C86" s="6" t="s">
        <v>18</v>
      </c>
      <c r="D86" s="7"/>
      <c r="E86" s="8"/>
      <c r="F86" s="7"/>
      <c r="G86" s="8"/>
      <c r="H86" s="7"/>
      <c r="I86" s="8"/>
      <c r="J86" s="7"/>
      <c r="K86" s="8"/>
      <c r="L86" s="8"/>
      <c r="M86" s="8">
        <v>4680</v>
      </c>
      <c r="N86" s="33">
        <v>4680</v>
      </c>
      <c r="O86" s="7"/>
    </row>
    <row r="87" spans="1:15" ht="21.9" customHeight="1" x14ac:dyDescent="0.4">
      <c r="A87" s="5" t="s">
        <v>200</v>
      </c>
      <c r="B87" s="5" t="s">
        <v>92</v>
      </c>
      <c r="C87" s="6" t="s">
        <v>18</v>
      </c>
      <c r="D87" s="7"/>
      <c r="E87" s="8"/>
      <c r="F87" s="7"/>
      <c r="G87" s="8"/>
      <c r="H87" s="7"/>
      <c r="I87" s="8"/>
      <c r="J87" s="7"/>
      <c r="K87" s="8"/>
      <c r="L87" s="8"/>
      <c r="M87" s="8">
        <v>150</v>
      </c>
      <c r="N87" s="33">
        <v>150</v>
      </c>
      <c r="O87" s="7"/>
    </row>
    <row r="88" spans="1:15" ht="21.9" customHeight="1" x14ac:dyDescent="0.4">
      <c r="A88" s="5" t="s">
        <v>200</v>
      </c>
      <c r="B88" s="5" t="s">
        <v>201</v>
      </c>
      <c r="C88" s="6" t="s">
        <v>18</v>
      </c>
      <c r="D88" s="7"/>
      <c r="E88" s="8"/>
      <c r="F88" s="7"/>
      <c r="G88" s="8"/>
      <c r="H88" s="7"/>
      <c r="I88" s="8"/>
      <c r="J88" s="7"/>
      <c r="K88" s="8"/>
      <c r="L88" s="8"/>
      <c r="M88" s="8">
        <v>160</v>
      </c>
      <c r="N88" s="33">
        <v>160</v>
      </c>
      <c r="O88" s="7"/>
    </row>
    <row r="89" spans="1:15" ht="21.9" customHeight="1" x14ac:dyDescent="0.4">
      <c r="A89" s="5" t="s">
        <v>202</v>
      </c>
      <c r="B89" s="5" t="s">
        <v>203</v>
      </c>
      <c r="C89" s="6" t="s">
        <v>21</v>
      </c>
      <c r="D89" s="7"/>
      <c r="E89" s="8"/>
      <c r="F89" s="7"/>
      <c r="G89" s="8"/>
      <c r="H89" s="7"/>
      <c r="I89" s="8"/>
      <c r="J89" s="7"/>
      <c r="K89" s="8"/>
      <c r="L89" s="8"/>
      <c r="M89" s="8">
        <v>195520</v>
      </c>
      <c r="N89" s="33">
        <v>195520</v>
      </c>
      <c r="O89" s="7"/>
    </row>
    <row r="90" spans="1:15" ht="21.9" customHeight="1" x14ac:dyDescent="0.4">
      <c r="A90" s="5" t="s">
        <v>204</v>
      </c>
      <c r="B90" s="5" t="s">
        <v>205</v>
      </c>
      <c r="C90" s="6" t="s">
        <v>70</v>
      </c>
      <c r="D90" s="7"/>
      <c r="E90" s="8"/>
      <c r="F90" s="7"/>
      <c r="G90" s="8"/>
      <c r="H90" s="7"/>
      <c r="I90" s="8"/>
      <c r="J90" s="7"/>
      <c r="K90" s="8"/>
      <c r="L90" s="8"/>
      <c r="M90" s="8">
        <v>309920</v>
      </c>
      <c r="N90" s="33">
        <v>309920</v>
      </c>
      <c r="O90" s="7"/>
    </row>
    <row r="91" spans="1:15" ht="21.9" customHeight="1" x14ac:dyDescent="0.4">
      <c r="A91" s="5" t="s">
        <v>206</v>
      </c>
      <c r="B91" s="5" t="s">
        <v>207</v>
      </c>
      <c r="C91" s="6" t="s">
        <v>18</v>
      </c>
      <c r="D91" s="7"/>
      <c r="E91" s="8"/>
      <c r="F91" s="7"/>
      <c r="G91" s="8"/>
      <c r="H91" s="7"/>
      <c r="I91" s="8"/>
      <c r="J91" s="7"/>
      <c r="K91" s="8"/>
      <c r="L91" s="8"/>
      <c r="M91" s="8">
        <v>26000</v>
      </c>
      <c r="N91" s="33">
        <v>26000</v>
      </c>
      <c r="O91" s="7"/>
    </row>
    <row r="92" spans="1:15" ht="21.9" customHeight="1" x14ac:dyDescent="0.4">
      <c r="A92" s="5" t="s">
        <v>208</v>
      </c>
      <c r="B92" s="5" t="s">
        <v>209</v>
      </c>
      <c r="C92" s="6" t="s">
        <v>18</v>
      </c>
      <c r="D92" s="7"/>
      <c r="E92" s="8"/>
      <c r="F92" s="7"/>
      <c r="G92" s="8"/>
      <c r="H92" s="7"/>
      <c r="I92" s="8"/>
      <c r="J92" s="7"/>
      <c r="K92" s="8"/>
      <c r="L92" s="8"/>
      <c r="M92" s="8">
        <v>83200</v>
      </c>
      <c r="N92" s="33">
        <v>83200</v>
      </c>
      <c r="O92" s="7"/>
    </row>
    <row r="93" spans="1:15" ht="21.9" customHeight="1" x14ac:dyDescent="0.4">
      <c r="A93" s="5" t="s">
        <v>210</v>
      </c>
      <c r="B93" s="5" t="s">
        <v>211</v>
      </c>
      <c r="C93" s="6" t="s">
        <v>51</v>
      </c>
      <c r="D93" s="7"/>
      <c r="E93" s="8"/>
      <c r="F93" s="7"/>
      <c r="G93" s="8"/>
      <c r="H93" s="7"/>
      <c r="I93" s="8"/>
      <c r="J93" s="7"/>
      <c r="K93" s="8"/>
      <c r="L93" s="8"/>
      <c r="M93" s="8">
        <v>88400</v>
      </c>
      <c r="N93" s="33">
        <v>88400</v>
      </c>
      <c r="O93" s="7"/>
    </row>
    <row r="94" spans="1:15" ht="21.9" customHeight="1" x14ac:dyDescent="0.4">
      <c r="A94" s="5" t="s">
        <v>212</v>
      </c>
      <c r="B94" s="5" t="s">
        <v>213</v>
      </c>
      <c r="C94" s="6" t="s">
        <v>70</v>
      </c>
      <c r="D94" s="7"/>
      <c r="E94" s="8"/>
      <c r="F94" s="7"/>
      <c r="G94" s="8"/>
      <c r="H94" s="7"/>
      <c r="I94" s="8"/>
      <c r="J94" s="7"/>
      <c r="K94" s="8"/>
      <c r="L94" s="8"/>
      <c r="M94" s="8">
        <v>988000</v>
      </c>
      <c r="N94" s="33">
        <v>988000</v>
      </c>
      <c r="O94" s="7"/>
    </row>
    <row r="95" spans="1:15" ht="21.9" customHeight="1" x14ac:dyDescent="0.4">
      <c r="A95" s="5" t="s">
        <v>214</v>
      </c>
      <c r="B95" s="5" t="s">
        <v>134</v>
      </c>
      <c r="C95" s="6" t="s">
        <v>18</v>
      </c>
      <c r="D95" s="7"/>
      <c r="E95" s="8"/>
      <c r="F95" s="7"/>
      <c r="G95" s="8"/>
      <c r="H95" s="7"/>
      <c r="I95" s="8"/>
      <c r="J95" s="7"/>
      <c r="K95" s="8"/>
      <c r="L95" s="8"/>
      <c r="M95" s="8">
        <v>98800</v>
      </c>
      <c r="N95" s="33">
        <v>98800</v>
      </c>
      <c r="O95" s="7"/>
    </row>
    <row r="96" spans="1:15" ht="21.9" customHeight="1" x14ac:dyDescent="0.4">
      <c r="A96" s="5" t="s">
        <v>215</v>
      </c>
      <c r="B96" s="5" t="s">
        <v>216</v>
      </c>
      <c r="C96" s="6" t="s">
        <v>21</v>
      </c>
      <c r="D96" s="7"/>
      <c r="E96" s="8"/>
      <c r="F96" s="7"/>
      <c r="G96" s="8"/>
      <c r="H96" s="7"/>
      <c r="I96" s="8"/>
      <c r="J96" s="7"/>
      <c r="K96" s="8"/>
      <c r="L96" s="8"/>
      <c r="M96" s="8">
        <v>176800</v>
      </c>
      <c r="N96" s="33">
        <v>176800</v>
      </c>
      <c r="O96" s="7"/>
    </row>
    <row r="97" spans="1:15" ht="21.9" customHeight="1" x14ac:dyDescent="0.4">
      <c r="A97" s="5" t="s">
        <v>217</v>
      </c>
      <c r="B97" s="5" t="s">
        <v>218</v>
      </c>
      <c r="C97" s="6" t="s">
        <v>78</v>
      </c>
      <c r="D97" s="5" t="s">
        <v>219</v>
      </c>
      <c r="E97" s="8">
        <v>6018</v>
      </c>
      <c r="F97" s="7"/>
      <c r="G97" s="8"/>
      <c r="H97" s="5" t="s">
        <v>220</v>
      </c>
      <c r="I97" s="8">
        <v>4219</v>
      </c>
      <c r="J97" s="5" t="s">
        <v>221</v>
      </c>
      <c r="K97" s="8">
        <v>5930</v>
      </c>
      <c r="L97" s="8">
        <v>3620</v>
      </c>
      <c r="M97" s="8"/>
      <c r="N97" s="33">
        <v>3620</v>
      </c>
      <c r="O97" s="5" t="s">
        <v>222</v>
      </c>
    </row>
    <row r="98" spans="1:15" ht="21.9" customHeight="1" x14ac:dyDescent="0.4">
      <c r="A98" s="5" t="s">
        <v>223</v>
      </c>
      <c r="B98" s="5" t="s">
        <v>134</v>
      </c>
      <c r="C98" s="6" t="s">
        <v>18</v>
      </c>
      <c r="D98" s="7"/>
      <c r="E98" s="8"/>
      <c r="F98" s="7"/>
      <c r="G98" s="8"/>
      <c r="H98" s="7"/>
      <c r="I98" s="8"/>
      <c r="J98" s="7"/>
      <c r="K98" s="8"/>
      <c r="L98" s="8"/>
      <c r="M98" s="8">
        <v>7800</v>
      </c>
      <c r="N98" s="33">
        <v>7800</v>
      </c>
      <c r="O98" s="7"/>
    </row>
    <row r="99" spans="1:15" ht="21.9" customHeight="1" x14ac:dyDescent="0.4">
      <c r="A99" s="5" t="s">
        <v>224</v>
      </c>
      <c r="B99" s="5" t="s">
        <v>134</v>
      </c>
      <c r="C99" s="6" t="s">
        <v>18</v>
      </c>
      <c r="D99" s="7"/>
      <c r="E99" s="8"/>
      <c r="F99" s="7"/>
      <c r="G99" s="8"/>
      <c r="H99" s="7"/>
      <c r="I99" s="8"/>
      <c r="J99" s="7"/>
      <c r="K99" s="8"/>
      <c r="L99" s="8"/>
      <c r="M99" s="8">
        <v>7800</v>
      </c>
      <c r="N99" s="33">
        <v>7800</v>
      </c>
      <c r="O99" s="7"/>
    </row>
    <row r="100" spans="1:15" ht="21.9" customHeight="1" x14ac:dyDescent="0.4">
      <c r="A100" s="5" t="s">
        <v>225</v>
      </c>
      <c r="B100" s="5" t="s">
        <v>77</v>
      </c>
      <c r="C100" s="6" t="s">
        <v>78</v>
      </c>
      <c r="D100" s="5" t="s">
        <v>79</v>
      </c>
      <c r="E100" s="8">
        <v>5450</v>
      </c>
      <c r="F100" s="5" t="s">
        <v>80</v>
      </c>
      <c r="G100" s="8">
        <v>6906</v>
      </c>
      <c r="H100" s="5" t="s">
        <v>81</v>
      </c>
      <c r="I100" s="8">
        <v>5820</v>
      </c>
      <c r="J100" s="5" t="s">
        <v>82</v>
      </c>
      <c r="K100" s="8">
        <v>7260</v>
      </c>
      <c r="L100" s="8">
        <v>5620</v>
      </c>
      <c r="M100" s="8"/>
      <c r="N100" s="33">
        <v>5450</v>
      </c>
      <c r="O100" s="5" t="s">
        <v>83</v>
      </c>
    </row>
    <row r="101" spans="1:15" ht="21.9" customHeight="1" x14ac:dyDescent="0.4">
      <c r="A101" s="5" t="s">
        <v>226</v>
      </c>
      <c r="B101" s="5" t="s">
        <v>77</v>
      </c>
      <c r="C101" s="6" t="s">
        <v>78</v>
      </c>
      <c r="D101" s="5" t="s">
        <v>79</v>
      </c>
      <c r="E101" s="8">
        <v>5450</v>
      </c>
      <c r="F101" s="5" t="s">
        <v>80</v>
      </c>
      <c r="G101" s="8">
        <v>6906</v>
      </c>
      <c r="H101" s="5" t="s">
        <v>81</v>
      </c>
      <c r="I101" s="8">
        <v>5820</v>
      </c>
      <c r="J101" s="5" t="s">
        <v>82</v>
      </c>
      <c r="K101" s="8">
        <v>7260</v>
      </c>
      <c r="L101" s="8">
        <v>5620</v>
      </c>
      <c r="M101" s="8"/>
      <c r="N101" s="33">
        <v>5450</v>
      </c>
      <c r="O101" s="5" t="s">
        <v>83</v>
      </c>
    </row>
    <row r="102" spans="1:15" ht="21.9" customHeight="1" x14ac:dyDescent="0.4">
      <c r="A102" s="5" t="s">
        <v>227</v>
      </c>
      <c r="B102" s="5" t="s">
        <v>17</v>
      </c>
      <c r="C102" s="6" t="s">
        <v>18</v>
      </c>
      <c r="D102" s="7"/>
      <c r="E102" s="8"/>
      <c r="F102" s="7"/>
      <c r="G102" s="8"/>
      <c r="H102" s="7"/>
      <c r="I102" s="8"/>
      <c r="J102" s="7"/>
      <c r="K102" s="8"/>
      <c r="L102" s="8"/>
      <c r="M102" s="8">
        <v>1560</v>
      </c>
      <c r="N102" s="33">
        <v>1560</v>
      </c>
      <c r="O102" s="7"/>
    </row>
    <row r="103" spans="1:15" ht="21.9" customHeight="1" x14ac:dyDescent="0.4">
      <c r="A103" s="5" t="s">
        <v>228</v>
      </c>
      <c r="B103" s="5" t="s">
        <v>229</v>
      </c>
      <c r="C103" s="6" t="s">
        <v>18</v>
      </c>
      <c r="D103" s="7"/>
      <c r="E103" s="8"/>
      <c r="F103" s="7"/>
      <c r="G103" s="8"/>
      <c r="H103" s="7"/>
      <c r="I103" s="8"/>
      <c r="J103" s="7"/>
      <c r="K103" s="8"/>
      <c r="L103" s="8"/>
      <c r="M103" s="8">
        <v>2600</v>
      </c>
      <c r="N103" s="33">
        <v>2600</v>
      </c>
      <c r="O103" s="7"/>
    </row>
    <row r="104" spans="1:15" ht="21.9" customHeight="1" x14ac:dyDescent="0.4">
      <c r="A104" s="5" t="s">
        <v>230</v>
      </c>
      <c r="B104" s="5" t="s">
        <v>231</v>
      </c>
      <c r="C104" s="6" t="s">
        <v>21</v>
      </c>
      <c r="D104" s="7"/>
      <c r="E104" s="8"/>
      <c r="F104" s="7"/>
      <c r="G104" s="8"/>
      <c r="H104" s="7"/>
      <c r="I104" s="8"/>
      <c r="J104" s="7"/>
      <c r="K104" s="8"/>
      <c r="L104" s="8"/>
      <c r="M104" s="8">
        <v>327600</v>
      </c>
      <c r="N104" s="33">
        <v>327600</v>
      </c>
      <c r="O104" s="7"/>
    </row>
    <row r="105" spans="1:15" ht="21.9" customHeight="1" x14ac:dyDescent="0.4">
      <c r="A105" s="5" t="s">
        <v>232</v>
      </c>
      <c r="B105" s="5" t="s">
        <v>45</v>
      </c>
      <c r="C105" s="6" t="s">
        <v>38</v>
      </c>
      <c r="D105" s="5" t="s">
        <v>39</v>
      </c>
      <c r="E105" s="8">
        <v>1680</v>
      </c>
      <c r="F105" s="5" t="s">
        <v>46</v>
      </c>
      <c r="G105" s="8">
        <v>2232</v>
      </c>
      <c r="H105" s="5" t="s">
        <v>40</v>
      </c>
      <c r="I105" s="8">
        <v>1600</v>
      </c>
      <c r="J105" s="7"/>
      <c r="K105" s="8"/>
      <c r="L105" s="8"/>
      <c r="M105" s="8"/>
      <c r="N105" s="33">
        <v>1600</v>
      </c>
      <c r="O105" s="7"/>
    </row>
    <row r="106" spans="1:15" ht="21.9" customHeight="1" x14ac:dyDescent="0.4">
      <c r="A106" s="5" t="s">
        <v>233</v>
      </c>
      <c r="B106" s="5" t="s">
        <v>234</v>
      </c>
      <c r="C106" s="6" t="s">
        <v>235</v>
      </c>
      <c r="D106" s="5" t="s">
        <v>236</v>
      </c>
      <c r="E106" s="8">
        <v>800</v>
      </c>
      <c r="F106" s="5" t="s">
        <v>236</v>
      </c>
      <c r="G106" s="8">
        <v>798</v>
      </c>
      <c r="H106" s="5" t="s">
        <v>237</v>
      </c>
      <c r="I106" s="8">
        <v>770</v>
      </c>
      <c r="J106" s="5" t="s">
        <v>238</v>
      </c>
      <c r="K106" s="8">
        <v>1225</v>
      </c>
      <c r="L106" s="8"/>
      <c r="M106" s="8"/>
      <c r="N106" s="33">
        <v>770</v>
      </c>
      <c r="O106" s="7"/>
    </row>
    <row r="107" spans="1:15" ht="21.9" customHeight="1" x14ac:dyDescent="0.4">
      <c r="A107" s="5" t="s">
        <v>239</v>
      </c>
      <c r="B107" s="5" t="s">
        <v>240</v>
      </c>
      <c r="C107" s="6" t="s">
        <v>241</v>
      </c>
      <c r="D107" s="5" t="s">
        <v>242</v>
      </c>
      <c r="E107" s="8">
        <v>1620</v>
      </c>
      <c r="F107" s="7"/>
      <c r="G107" s="8"/>
      <c r="H107" s="5" t="s">
        <v>243</v>
      </c>
      <c r="I107" s="8">
        <v>1780</v>
      </c>
      <c r="J107" s="5" t="s">
        <v>244</v>
      </c>
      <c r="K107" s="8">
        <v>1830</v>
      </c>
      <c r="L107" s="8">
        <v>1539</v>
      </c>
      <c r="M107" s="8"/>
      <c r="N107" s="33">
        <v>1539</v>
      </c>
      <c r="O107" s="7"/>
    </row>
    <row r="108" spans="1:15" ht="21.9" customHeight="1" x14ac:dyDescent="0.4">
      <c r="A108" s="5" t="s">
        <v>245</v>
      </c>
      <c r="B108" s="5" t="s">
        <v>246</v>
      </c>
      <c r="C108" s="6" t="s">
        <v>38</v>
      </c>
      <c r="D108" s="5" t="s">
        <v>39</v>
      </c>
      <c r="E108" s="8">
        <v>4010</v>
      </c>
      <c r="F108" s="7"/>
      <c r="G108" s="8"/>
      <c r="H108" s="7"/>
      <c r="I108" s="8"/>
      <c r="J108" s="7"/>
      <c r="K108" s="8"/>
      <c r="L108" s="8"/>
      <c r="M108" s="8"/>
      <c r="N108" s="33">
        <v>4010</v>
      </c>
      <c r="O108" s="5" t="s">
        <v>247</v>
      </c>
    </row>
    <row r="109" spans="1:15" ht="21.9" customHeight="1" x14ac:dyDescent="0.4">
      <c r="A109" s="5" t="s">
        <v>248</v>
      </c>
      <c r="B109" s="5" t="s">
        <v>249</v>
      </c>
      <c r="C109" s="6" t="s">
        <v>18</v>
      </c>
      <c r="D109" s="7"/>
      <c r="E109" s="8"/>
      <c r="F109" s="7"/>
      <c r="G109" s="8"/>
      <c r="H109" s="7"/>
      <c r="I109" s="8"/>
      <c r="J109" s="7"/>
      <c r="K109" s="8"/>
      <c r="L109" s="8"/>
      <c r="M109" s="8">
        <v>7280</v>
      </c>
      <c r="N109" s="33">
        <v>7280</v>
      </c>
      <c r="O109" s="7"/>
    </row>
    <row r="110" spans="1:15" ht="21.9" customHeight="1" x14ac:dyDescent="0.4">
      <c r="A110" s="5" t="s">
        <v>250</v>
      </c>
      <c r="B110" s="5" t="s">
        <v>45</v>
      </c>
      <c r="C110" s="6" t="s">
        <v>38</v>
      </c>
      <c r="D110" s="5" t="s">
        <v>39</v>
      </c>
      <c r="E110" s="8">
        <v>1680</v>
      </c>
      <c r="F110" s="5" t="s">
        <v>46</v>
      </c>
      <c r="G110" s="8">
        <v>2232</v>
      </c>
      <c r="H110" s="5" t="s">
        <v>40</v>
      </c>
      <c r="I110" s="8">
        <v>1600</v>
      </c>
      <c r="J110" s="7"/>
      <c r="K110" s="8"/>
      <c r="L110" s="8"/>
      <c r="M110" s="8"/>
      <c r="N110" s="33">
        <v>1600</v>
      </c>
      <c r="O110" s="7"/>
    </row>
    <row r="111" spans="1:15" ht="21.9" customHeight="1" x14ac:dyDescent="0.4">
      <c r="A111" s="5" t="s">
        <v>251</v>
      </c>
      <c r="B111" s="5" t="s">
        <v>252</v>
      </c>
      <c r="C111" s="6" t="s">
        <v>18</v>
      </c>
      <c r="D111" s="7"/>
      <c r="E111" s="8"/>
      <c r="F111" s="7"/>
      <c r="G111" s="8"/>
      <c r="H111" s="7"/>
      <c r="I111" s="8"/>
      <c r="J111" s="7"/>
      <c r="K111" s="8"/>
      <c r="L111" s="8"/>
      <c r="M111" s="8">
        <v>49920</v>
      </c>
      <c r="N111" s="33">
        <v>49920</v>
      </c>
      <c r="O111" s="7"/>
    </row>
    <row r="112" spans="1:15" ht="21.9" customHeight="1" x14ac:dyDescent="0.4">
      <c r="A112" s="5" t="s">
        <v>253</v>
      </c>
      <c r="B112" s="5" t="s">
        <v>254</v>
      </c>
      <c r="C112" s="6" t="s">
        <v>18</v>
      </c>
      <c r="D112" s="7"/>
      <c r="E112" s="8"/>
      <c r="F112" s="7"/>
      <c r="G112" s="8"/>
      <c r="H112" s="7"/>
      <c r="I112" s="8"/>
      <c r="J112" s="7"/>
      <c r="K112" s="8"/>
      <c r="L112" s="8"/>
      <c r="M112" s="8">
        <v>1040</v>
      </c>
      <c r="N112" s="33">
        <v>1040</v>
      </c>
      <c r="O112" s="7"/>
    </row>
    <row r="113" spans="1:15" ht="21.9" customHeight="1" x14ac:dyDescent="0.4">
      <c r="A113" s="5" t="s">
        <v>255</v>
      </c>
      <c r="B113" s="5" t="s">
        <v>256</v>
      </c>
      <c r="C113" s="6" t="s">
        <v>18</v>
      </c>
      <c r="D113" s="7"/>
      <c r="E113" s="8"/>
      <c r="F113" s="7"/>
      <c r="G113" s="8"/>
      <c r="H113" s="7"/>
      <c r="I113" s="8"/>
      <c r="J113" s="7"/>
      <c r="K113" s="8"/>
      <c r="L113" s="8"/>
      <c r="M113" s="8">
        <v>3120</v>
      </c>
      <c r="N113" s="33">
        <v>3120</v>
      </c>
      <c r="O113" s="7"/>
    </row>
    <row r="114" spans="1:15" ht="21.9" customHeight="1" x14ac:dyDescent="0.4">
      <c r="A114" s="5" t="s">
        <v>257</v>
      </c>
      <c r="B114" s="5" t="s">
        <v>45</v>
      </c>
      <c r="C114" s="6" t="s">
        <v>38</v>
      </c>
      <c r="D114" s="5" t="s">
        <v>39</v>
      </c>
      <c r="E114" s="8">
        <v>1680</v>
      </c>
      <c r="F114" s="5" t="s">
        <v>46</v>
      </c>
      <c r="G114" s="8">
        <v>2232</v>
      </c>
      <c r="H114" s="5" t="s">
        <v>40</v>
      </c>
      <c r="I114" s="8">
        <v>1600</v>
      </c>
      <c r="J114" s="7"/>
      <c r="K114" s="8"/>
      <c r="L114" s="8"/>
      <c r="M114" s="8"/>
      <c r="N114" s="33">
        <v>1600</v>
      </c>
      <c r="O114" s="7"/>
    </row>
    <row r="115" spans="1:15" ht="21.9" customHeight="1" x14ac:dyDescent="0.4">
      <c r="A115" s="5" t="s">
        <v>258</v>
      </c>
      <c r="B115" s="5" t="s">
        <v>259</v>
      </c>
      <c r="C115" s="6" t="s">
        <v>18</v>
      </c>
      <c r="D115" s="7"/>
      <c r="E115" s="8"/>
      <c r="F115" s="7"/>
      <c r="G115" s="8"/>
      <c r="H115" s="7"/>
      <c r="I115" s="8"/>
      <c r="J115" s="7"/>
      <c r="K115" s="8"/>
      <c r="L115" s="8"/>
      <c r="M115" s="8">
        <v>1560</v>
      </c>
      <c r="N115" s="33">
        <v>1560</v>
      </c>
      <c r="O115" s="7"/>
    </row>
    <row r="116" spans="1:15" ht="21.9" customHeight="1" x14ac:dyDescent="0.4">
      <c r="A116" s="5" t="s">
        <v>260</v>
      </c>
      <c r="B116" s="5" t="s">
        <v>261</v>
      </c>
      <c r="C116" s="6" t="s">
        <v>18</v>
      </c>
      <c r="D116" s="7"/>
      <c r="E116" s="8"/>
      <c r="F116" s="7"/>
      <c r="G116" s="8"/>
      <c r="H116" s="7"/>
      <c r="I116" s="8"/>
      <c r="J116" s="7"/>
      <c r="K116" s="8"/>
      <c r="L116" s="8"/>
      <c r="M116" s="8">
        <v>1870</v>
      </c>
      <c r="N116" s="33">
        <v>1870</v>
      </c>
      <c r="O116" s="7"/>
    </row>
    <row r="117" spans="1:15" ht="21.9" customHeight="1" x14ac:dyDescent="0.4">
      <c r="A117" s="5" t="s">
        <v>262</v>
      </c>
      <c r="B117" s="5" t="s">
        <v>45</v>
      </c>
      <c r="C117" s="6" t="s">
        <v>38</v>
      </c>
      <c r="D117" s="5" t="s">
        <v>39</v>
      </c>
      <c r="E117" s="8">
        <v>1680</v>
      </c>
      <c r="F117" s="5" t="s">
        <v>46</v>
      </c>
      <c r="G117" s="8">
        <v>2232</v>
      </c>
      <c r="H117" s="5" t="s">
        <v>40</v>
      </c>
      <c r="I117" s="8">
        <v>1600</v>
      </c>
      <c r="J117" s="7"/>
      <c r="K117" s="8"/>
      <c r="L117" s="8"/>
      <c r="M117" s="8"/>
      <c r="N117" s="33">
        <v>1600</v>
      </c>
      <c r="O117" s="7"/>
    </row>
    <row r="118" spans="1:15" ht="21.9" customHeight="1" x14ac:dyDescent="0.4">
      <c r="A118" s="5" t="s">
        <v>263</v>
      </c>
      <c r="B118" s="5" t="s">
        <v>264</v>
      </c>
      <c r="C118" s="6" t="s">
        <v>70</v>
      </c>
      <c r="D118" s="7"/>
      <c r="E118" s="8"/>
      <c r="F118" s="7"/>
      <c r="G118" s="8"/>
      <c r="H118" s="7"/>
      <c r="I118" s="8"/>
      <c r="J118" s="7"/>
      <c r="K118" s="8"/>
      <c r="L118" s="8"/>
      <c r="M118" s="8">
        <v>2028000</v>
      </c>
      <c r="N118" s="33">
        <v>2028000</v>
      </c>
      <c r="O118" s="7"/>
    </row>
    <row r="119" spans="1:15" ht="21.9" customHeight="1" x14ac:dyDescent="0.4">
      <c r="A119" s="5" t="s">
        <v>265</v>
      </c>
      <c r="B119" s="5" t="s">
        <v>266</v>
      </c>
      <c r="C119" s="6" t="s">
        <v>38</v>
      </c>
      <c r="D119" s="7"/>
      <c r="E119" s="8"/>
      <c r="F119" s="7"/>
      <c r="G119" s="8"/>
      <c r="H119" s="7"/>
      <c r="I119" s="8"/>
      <c r="J119" s="7"/>
      <c r="K119" s="8"/>
      <c r="L119" s="8"/>
      <c r="M119" s="8">
        <v>520</v>
      </c>
      <c r="N119" s="33">
        <v>520</v>
      </c>
      <c r="O119" s="7"/>
    </row>
    <row r="120" spans="1:15" ht="21.9" customHeight="1" x14ac:dyDescent="0.4">
      <c r="A120" s="5" t="s">
        <v>267</v>
      </c>
      <c r="B120" s="5" t="s">
        <v>268</v>
      </c>
      <c r="C120" s="6" t="s">
        <v>18</v>
      </c>
      <c r="D120" s="7"/>
      <c r="E120" s="8"/>
      <c r="F120" s="7"/>
      <c r="G120" s="8"/>
      <c r="H120" s="7"/>
      <c r="I120" s="8"/>
      <c r="J120" s="7"/>
      <c r="K120" s="8"/>
      <c r="L120" s="8"/>
      <c r="M120" s="8">
        <v>6760</v>
      </c>
      <c r="N120" s="33">
        <v>6760</v>
      </c>
      <c r="O120" s="7"/>
    </row>
    <row r="121" spans="1:15" ht="21.9" customHeight="1" x14ac:dyDescent="0.4">
      <c r="A121" s="5" t="s">
        <v>269</v>
      </c>
      <c r="B121" s="5" t="s">
        <v>270</v>
      </c>
      <c r="C121" s="6" t="s">
        <v>21</v>
      </c>
      <c r="D121" s="7"/>
      <c r="E121" s="8"/>
      <c r="F121" s="7"/>
      <c r="G121" s="8"/>
      <c r="H121" s="7"/>
      <c r="I121" s="8"/>
      <c r="J121" s="7"/>
      <c r="K121" s="8"/>
      <c r="L121" s="8"/>
      <c r="M121" s="8">
        <v>171600</v>
      </c>
      <c r="N121" s="33">
        <v>171600</v>
      </c>
      <c r="O121" s="7"/>
    </row>
    <row r="122" spans="1:15" ht="21.9" customHeight="1" x14ac:dyDescent="0.4">
      <c r="A122" s="5" t="s">
        <v>271</v>
      </c>
      <c r="B122" s="5" t="s">
        <v>197</v>
      </c>
      <c r="C122" s="6" t="s">
        <v>18</v>
      </c>
      <c r="D122" s="7"/>
      <c r="E122" s="8"/>
      <c r="F122" s="7"/>
      <c r="G122" s="8"/>
      <c r="H122" s="7"/>
      <c r="I122" s="8"/>
      <c r="J122" s="7"/>
      <c r="K122" s="8"/>
      <c r="L122" s="8"/>
      <c r="M122" s="8">
        <v>210</v>
      </c>
      <c r="N122" s="33">
        <v>210</v>
      </c>
      <c r="O122" s="7"/>
    </row>
    <row r="123" spans="1:15" ht="21.9" customHeight="1" x14ac:dyDescent="0.4">
      <c r="A123" s="5" t="s">
        <v>272</v>
      </c>
      <c r="B123" s="5" t="s">
        <v>273</v>
      </c>
      <c r="C123" s="6" t="s">
        <v>21</v>
      </c>
      <c r="D123" s="7"/>
      <c r="E123" s="8"/>
      <c r="F123" s="7"/>
      <c r="G123" s="8"/>
      <c r="H123" s="7"/>
      <c r="I123" s="8"/>
      <c r="J123" s="7"/>
      <c r="K123" s="8"/>
      <c r="L123" s="8"/>
      <c r="M123" s="8">
        <v>18720</v>
      </c>
      <c r="N123" s="33">
        <v>18720</v>
      </c>
      <c r="O123" s="7"/>
    </row>
    <row r="124" spans="1:15" ht="21.9" customHeight="1" x14ac:dyDescent="0.4">
      <c r="A124" s="5" t="s">
        <v>274</v>
      </c>
      <c r="B124" s="5" t="s">
        <v>33</v>
      </c>
      <c r="C124" s="6" t="s">
        <v>18</v>
      </c>
      <c r="D124" s="7"/>
      <c r="E124" s="8"/>
      <c r="F124" s="7"/>
      <c r="G124" s="8"/>
      <c r="H124" s="7"/>
      <c r="I124" s="8"/>
      <c r="J124" s="7"/>
      <c r="K124" s="8"/>
      <c r="L124" s="8"/>
      <c r="M124" s="8">
        <v>6240</v>
      </c>
      <c r="N124" s="33">
        <v>6240</v>
      </c>
      <c r="O124" s="7"/>
    </row>
    <row r="125" spans="1:15" ht="21.9" customHeight="1" x14ac:dyDescent="0.4">
      <c r="A125" s="5" t="s">
        <v>275</v>
      </c>
      <c r="B125" s="5" t="s">
        <v>33</v>
      </c>
      <c r="C125" s="6" t="s">
        <v>18</v>
      </c>
      <c r="D125" s="7"/>
      <c r="E125" s="8"/>
      <c r="F125" s="7"/>
      <c r="G125" s="8"/>
      <c r="H125" s="7"/>
      <c r="I125" s="8"/>
      <c r="J125" s="7"/>
      <c r="K125" s="8"/>
      <c r="L125" s="8"/>
      <c r="M125" s="8">
        <v>6240</v>
      </c>
      <c r="N125" s="33">
        <v>6240</v>
      </c>
      <c r="O125" s="7"/>
    </row>
    <row r="126" spans="1:15" ht="21.9" customHeight="1" x14ac:dyDescent="0.4">
      <c r="A126" s="5" t="s">
        <v>276</v>
      </c>
      <c r="B126" s="5" t="s">
        <v>33</v>
      </c>
      <c r="C126" s="6" t="s">
        <v>18</v>
      </c>
      <c r="D126" s="7"/>
      <c r="E126" s="8"/>
      <c r="F126" s="7"/>
      <c r="G126" s="8"/>
      <c r="H126" s="7"/>
      <c r="I126" s="8"/>
      <c r="J126" s="7"/>
      <c r="K126" s="8"/>
      <c r="L126" s="8"/>
      <c r="M126" s="8">
        <v>6240</v>
      </c>
      <c r="N126" s="33">
        <v>6240</v>
      </c>
      <c r="O126" s="7"/>
    </row>
    <row r="127" spans="1:15" ht="21.9" customHeight="1" x14ac:dyDescent="0.4">
      <c r="A127" s="5" t="s">
        <v>277</v>
      </c>
      <c r="B127" s="5" t="s">
        <v>207</v>
      </c>
      <c r="C127" s="6" t="s">
        <v>18</v>
      </c>
      <c r="D127" s="7"/>
      <c r="E127" s="8"/>
      <c r="F127" s="7"/>
      <c r="G127" s="8"/>
      <c r="H127" s="7"/>
      <c r="I127" s="8"/>
      <c r="J127" s="7"/>
      <c r="K127" s="8"/>
      <c r="L127" s="8"/>
      <c r="M127" s="8">
        <v>110</v>
      </c>
      <c r="N127" s="33">
        <v>110</v>
      </c>
      <c r="O127" s="7"/>
    </row>
    <row r="128" spans="1:15" ht="21.9" customHeight="1" x14ac:dyDescent="0.4">
      <c r="A128" s="5" t="s">
        <v>277</v>
      </c>
      <c r="B128" s="5" t="s">
        <v>150</v>
      </c>
      <c r="C128" s="6" t="s">
        <v>18</v>
      </c>
      <c r="D128" s="7"/>
      <c r="E128" s="8"/>
      <c r="F128" s="7"/>
      <c r="G128" s="8"/>
      <c r="H128" s="7"/>
      <c r="I128" s="8"/>
      <c r="J128" s="7"/>
      <c r="K128" s="8"/>
      <c r="L128" s="8"/>
      <c r="M128" s="8">
        <v>110</v>
      </c>
      <c r="N128" s="33">
        <v>110</v>
      </c>
      <c r="O128" s="7"/>
    </row>
    <row r="129" spans="1:15" ht="21.9" customHeight="1" x14ac:dyDescent="0.4">
      <c r="A129" s="5" t="s">
        <v>277</v>
      </c>
      <c r="B129" s="5" t="s">
        <v>113</v>
      </c>
      <c r="C129" s="6" t="s">
        <v>18</v>
      </c>
      <c r="D129" s="7"/>
      <c r="E129" s="8"/>
      <c r="F129" s="7"/>
      <c r="G129" s="8"/>
      <c r="H129" s="7"/>
      <c r="I129" s="8"/>
      <c r="J129" s="7"/>
      <c r="K129" s="8"/>
      <c r="L129" s="8"/>
      <c r="M129" s="8">
        <v>160</v>
      </c>
      <c r="N129" s="33">
        <v>160</v>
      </c>
      <c r="O129" s="7"/>
    </row>
    <row r="130" spans="1:15" ht="21.9" customHeight="1" x14ac:dyDescent="0.4">
      <c r="A130" s="5" t="s">
        <v>278</v>
      </c>
      <c r="B130" s="5" t="s">
        <v>279</v>
      </c>
      <c r="C130" s="6" t="s">
        <v>18</v>
      </c>
      <c r="D130" s="7"/>
      <c r="E130" s="8"/>
      <c r="F130" s="7"/>
      <c r="G130" s="8"/>
      <c r="H130" s="7"/>
      <c r="I130" s="8"/>
      <c r="J130" s="7"/>
      <c r="K130" s="8"/>
      <c r="L130" s="8"/>
      <c r="M130" s="8">
        <v>110</v>
      </c>
      <c r="N130" s="33">
        <v>110</v>
      </c>
      <c r="O130" s="7"/>
    </row>
    <row r="131" spans="1:15" ht="21.9" customHeight="1" x14ac:dyDescent="0.4">
      <c r="A131" s="5" t="s">
        <v>280</v>
      </c>
      <c r="B131" s="5" t="s">
        <v>281</v>
      </c>
      <c r="C131" s="6" t="s">
        <v>18</v>
      </c>
      <c r="D131" s="7"/>
      <c r="E131" s="8"/>
      <c r="F131" s="7"/>
      <c r="G131" s="8"/>
      <c r="H131" s="7"/>
      <c r="I131" s="8"/>
      <c r="J131" s="7"/>
      <c r="K131" s="8"/>
      <c r="L131" s="8"/>
      <c r="M131" s="8">
        <v>520</v>
      </c>
      <c r="N131" s="33">
        <v>520</v>
      </c>
      <c r="O131" s="7"/>
    </row>
    <row r="132" spans="1:15" ht="21.9" customHeight="1" x14ac:dyDescent="0.4">
      <c r="A132" s="5" t="s">
        <v>282</v>
      </c>
      <c r="B132" s="5" t="s">
        <v>283</v>
      </c>
      <c r="C132" s="6" t="s">
        <v>21</v>
      </c>
      <c r="D132" s="7"/>
      <c r="E132" s="8"/>
      <c r="F132" s="7"/>
      <c r="G132" s="8"/>
      <c r="H132" s="7"/>
      <c r="I132" s="8"/>
      <c r="J132" s="7"/>
      <c r="K132" s="8"/>
      <c r="L132" s="8"/>
      <c r="M132" s="8">
        <v>291200</v>
      </c>
      <c r="N132" s="33">
        <v>291200</v>
      </c>
      <c r="O132" s="7"/>
    </row>
    <row r="133" spans="1:15" ht="21.9" customHeight="1" x14ac:dyDescent="0.4">
      <c r="A133" s="5" t="s">
        <v>284</v>
      </c>
      <c r="B133" s="5" t="s">
        <v>285</v>
      </c>
      <c r="C133" s="6" t="s">
        <v>78</v>
      </c>
      <c r="D133" s="7"/>
      <c r="E133" s="8"/>
      <c r="F133" s="7"/>
      <c r="G133" s="8"/>
      <c r="H133" s="7"/>
      <c r="I133" s="8"/>
      <c r="J133" s="7"/>
      <c r="K133" s="8"/>
      <c r="L133" s="8"/>
      <c r="M133" s="8">
        <v>570</v>
      </c>
      <c r="N133" s="33">
        <v>570</v>
      </c>
      <c r="O133" s="7"/>
    </row>
    <row r="134" spans="1:15" ht="21.9" customHeight="1" x14ac:dyDescent="0.4">
      <c r="A134" s="5" t="s">
        <v>286</v>
      </c>
      <c r="B134" s="5" t="s">
        <v>287</v>
      </c>
      <c r="C134" s="6" t="s">
        <v>38</v>
      </c>
      <c r="D134" s="5" t="s">
        <v>39</v>
      </c>
      <c r="E134" s="8">
        <v>1510</v>
      </c>
      <c r="F134" s="5" t="s">
        <v>46</v>
      </c>
      <c r="G134" s="8">
        <v>1934</v>
      </c>
      <c r="H134" s="5" t="s">
        <v>40</v>
      </c>
      <c r="I134" s="8">
        <v>1430</v>
      </c>
      <c r="J134" s="7"/>
      <c r="K134" s="8"/>
      <c r="L134" s="8"/>
      <c r="M134" s="8"/>
      <c r="N134" s="33">
        <v>1430</v>
      </c>
      <c r="O134" s="7"/>
    </row>
    <row r="135" spans="1:15" ht="21.9" customHeight="1" x14ac:dyDescent="0.4">
      <c r="A135" s="5" t="s">
        <v>288</v>
      </c>
      <c r="B135" s="5" t="s">
        <v>48</v>
      </c>
      <c r="C135" s="6" t="s">
        <v>18</v>
      </c>
      <c r="D135" s="7"/>
      <c r="E135" s="8"/>
      <c r="F135" s="7"/>
      <c r="G135" s="8"/>
      <c r="H135" s="7"/>
      <c r="I135" s="8"/>
      <c r="J135" s="7"/>
      <c r="K135" s="8"/>
      <c r="L135" s="8"/>
      <c r="M135" s="8">
        <v>260</v>
      </c>
      <c r="N135" s="33">
        <v>260</v>
      </c>
      <c r="O135" s="7"/>
    </row>
    <row r="136" spans="1:15" ht="21.9" customHeight="1" x14ac:dyDescent="0.4">
      <c r="A136" s="5" t="s">
        <v>289</v>
      </c>
      <c r="B136" s="5" t="s">
        <v>17</v>
      </c>
      <c r="C136" s="6" t="s">
        <v>67</v>
      </c>
      <c r="D136" s="7"/>
      <c r="E136" s="8"/>
      <c r="F136" s="7"/>
      <c r="G136" s="8"/>
      <c r="H136" s="7"/>
      <c r="I136" s="8"/>
      <c r="J136" s="7"/>
      <c r="K136" s="8"/>
      <c r="L136" s="8"/>
      <c r="M136" s="8">
        <v>5410</v>
      </c>
      <c r="N136" s="33">
        <v>5410</v>
      </c>
      <c r="O136" s="7"/>
    </row>
    <row r="137" spans="1:15" ht="21.9" customHeight="1" x14ac:dyDescent="0.4">
      <c r="A137" s="5" t="s">
        <v>290</v>
      </c>
      <c r="B137" s="5" t="s">
        <v>291</v>
      </c>
      <c r="C137" s="6" t="s">
        <v>38</v>
      </c>
      <c r="D137" s="5" t="s">
        <v>292</v>
      </c>
      <c r="E137" s="8">
        <v>8050</v>
      </c>
      <c r="F137" s="5" t="s">
        <v>293</v>
      </c>
      <c r="G137" s="8">
        <v>7400</v>
      </c>
      <c r="H137" s="5" t="s">
        <v>294</v>
      </c>
      <c r="I137" s="8">
        <v>8050</v>
      </c>
      <c r="J137" s="5" t="s">
        <v>295</v>
      </c>
      <c r="K137" s="8">
        <v>8050</v>
      </c>
      <c r="L137" s="8"/>
      <c r="M137" s="8"/>
      <c r="N137" s="33">
        <v>7400</v>
      </c>
      <c r="O137" s="7"/>
    </row>
    <row r="138" spans="1:15" ht="21.9" customHeight="1" x14ac:dyDescent="0.4">
      <c r="A138" s="5" t="s">
        <v>290</v>
      </c>
      <c r="B138" s="5" t="s">
        <v>296</v>
      </c>
      <c r="C138" s="6" t="s">
        <v>38</v>
      </c>
      <c r="D138" s="5" t="s">
        <v>292</v>
      </c>
      <c r="E138" s="8">
        <v>23390</v>
      </c>
      <c r="F138" s="5" t="s">
        <v>293</v>
      </c>
      <c r="G138" s="8">
        <v>21000</v>
      </c>
      <c r="H138" s="5" t="s">
        <v>294</v>
      </c>
      <c r="I138" s="8">
        <v>23390</v>
      </c>
      <c r="J138" s="5" t="s">
        <v>295</v>
      </c>
      <c r="K138" s="8">
        <v>23390</v>
      </c>
      <c r="L138" s="8"/>
      <c r="M138" s="8"/>
      <c r="N138" s="33">
        <v>21000</v>
      </c>
      <c r="O138" s="7"/>
    </row>
    <row r="139" spans="1:15" ht="21.9" customHeight="1" x14ac:dyDescent="0.4">
      <c r="A139" s="5" t="s">
        <v>297</v>
      </c>
      <c r="B139" s="5" t="s">
        <v>298</v>
      </c>
      <c r="C139" s="6" t="s">
        <v>18</v>
      </c>
      <c r="D139" s="5" t="s">
        <v>299</v>
      </c>
      <c r="E139" s="8">
        <v>1744</v>
      </c>
      <c r="F139" s="7"/>
      <c r="G139" s="8"/>
      <c r="H139" s="7"/>
      <c r="I139" s="8"/>
      <c r="J139" s="7"/>
      <c r="K139" s="8"/>
      <c r="L139" s="8"/>
      <c r="M139" s="8"/>
      <c r="N139" s="33">
        <v>1744</v>
      </c>
      <c r="O139" s="7"/>
    </row>
    <row r="140" spans="1:15" ht="21.9" customHeight="1" x14ac:dyDescent="0.4">
      <c r="A140" s="5" t="s">
        <v>300</v>
      </c>
      <c r="B140" s="5" t="s">
        <v>273</v>
      </c>
      <c r="C140" s="6" t="s">
        <v>21</v>
      </c>
      <c r="D140" s="7"/>
      <c r="E140" s="8"/>
      <c r="F140" s="7"/>
      <c r="G140" s="8"/>
      <c r="H140" s="7"/>
      <c r="I140" s="8"/>
      <c r="J140" s="7"/>
      <c r="K140" s="8"/>
      <c r="L140" s="8"/>
      <c r="M140" s="8">
        <v>49920</v>
      </c>
      <c r="N140" s="33">
        <v>49920</v>
      </c>
      <c r="O140" s="7"/>
    </row>
    <row r="141" spans="1:15" ht="21.9" customHeight="1" x14ac:dyDescent="0.4">
      <c r="A141" s="5" t="s">
        <v>301</v>
      </c>
      <c r="B141" s="5" t="s">
        <v>302</v>
      </c>
      <c r="C141" s="6" t="s">
        <v>21</v>
      </c>
      <c r="D141" s="7"/>
      <c r="E141" s="8"/>
      <c r="F141" s="7"/>
      <c r="G141" s="8"/>
      <c r="H141" s="7"/>
      <c r="I141" s="8"/>
      <c r="J141" s="7"/>
      <c r="K141" s="8"/>
      <c r="L141" s="8"/>
      <c r="M141" s="8">
        <v>140400</v>
      </c>
      <c r="N141" s="33">
        <v>140400</v>
      </c>
      <c r="O141" s="7"/>
    </row>
    <row r="142" spans="1:15" ht="21.9" customHeight="1" x14ac:dyDescent="0.4">
      <c r="A142" s="5" t="s">
        <v>303</v>
      </c>
      <c r="B142" s="5" t="s">
        <v>304</v>
      </c>
      <c r="C142" s="6" t="s">
        <v>21</v>
      </c>
      <c r="D142" s="7"/>
      <c r="E142" s="8"/>
      <c r="F142" s="7"/>
      <c r="G142" s="8"/>
      <c r="H142" s="7"/>
      <c r="I142" s="8"/>
      <c r="J142" s="7"/>
      <c r="K142" s="8"/>
      <c r="L142" s="8"/>
      <c r="M142" s="8">
        <v>187200</v>
      </c>
      <c r="N142" s="33">
        <v>187200</v>
      </c>
      <c r="O142" s="7"/>
    </row>
    <row r="143" spans="1:15" ht="21.9" customHeight="1" x14ac:dyDescent="0.4">
      <c r="A143" s="5" t="s">
        <v>305</v>
      </c>
      <c r="B143" s="5" t="s">
        <v>304</v>
      </c>
      <c r="C143" s="6" t="s">
        <v>21</v>
      </c>
      <c r="D143" s="7"/>
      <c r="E143" s="8"/>
      <c r="F143" s="7"/>
      <c r="G143" s="8"/>
      <c r="H143" s="7"/>
      <c r="I143" s="8"/>
      <c r="J143" s="7"/>
      <c r="K143" s="8"/>
      <c r="L143" s="8"/>
      <c r="M143" s="8">
        <v>187200</v>
      </c>
      <c r="N143" s="33">
        <v>187200</v>
      </c>
      <c r="O143" s="7"/>
    </row>
    <row r="144" spans="1:15" ht="21.9" customHeight="1" x14ac:dyDescent="0.4">
      <c r="A144" s="5" t="s">
        <v>306</v>
      </c>
      <c r="B144" s="5" t="s">
        <v>307</v>
      </c>
      <c r="C144" s="6" t="s">
        <v>308</v>
      </c>
      <c r="D144" s="7"/>
      <c r="E144" s="8"/>
      <c r="F144" s="7"/>
      <c r="G144" s="8"/>
      <c r="H144" s="7"/>
      <c r="I144" s="8"/>
      <c r="J144" s="7"/>
      <c r="K144" s="8"/>
      <c r="L144" s="8"/>
      <c r="M144" s="8"/>
      <c r="N144" s="33">
        <v>283297</v>
      </c>
      <c r="O144" s="5" t="s">
        <v>309</v>
      </c>
    </row>
    <row r="145" spans="1:15" ht="21.9" customHeight="1" x14ac:dyDescent="0.4">
      <c r="A145" s="5" t="s">
        <v>310</v>
      </c>
      <c r="B145" s="5" t="s">
        <v>307</v>
      </c>
      <c r="C145" s="6" t="s">
        <v>308</v>
      </c>
      <c r="D145" s="7"/>
      <c r="E145" s="8"/>
      <c r="F145" s="7"/>
      <c r="G145" s="8"/>
      <c r="H145" s="7"/>
      <c r="I145" s="8"/>
      <c r="J145" s="7"/>
      <c r="K145" s="8"/>
      <c r="L145" s="8"/>
      <c r="M145" s="8"/>
      <c r="N145" s="33">
        <v>256883</v>
      </c>
      <c r="O145" s="7"/>
    </row>
    <row r="146" spans="1:15" ht="21.9" customHeight="1" x14ac:dyDescent="0.4">
      <c r="A146" s="5" t="s">
        <v>311</v>
      </c>
      <c r="B146" s="5" t="s">
        <v>307</v>
      </c>
      <c r="C146" s="6" t="s">
        <v>308</v>
      </c>
      <c r="D146" s="7"/>
      <c r="E146" s="8"/>
      <c r="F146" s="7"/>
      <c r="G146" s="8"/>
      <c r="H146" s="7"/>
      <c r="I146" s="8"/>
      <c r="J146" s="7"/>
      <c r="K146" s="8"/>
      <c r="L146" s="8"/>
      <c r="M146" s="8"/>
      <c r="N146" s="33">
        <v>172068</v>
      </c>
      <c r="O146" s="7"/>
    </row>
    <row r="147" spans="1:15" ht="21.9" customHeight="1" x14ac:dyDescent="0.4">
      <c r="A147" s="5" t="s">
        <v>312</v>
      </c>
      <c r="B147" s="5" t="s">
        <v>307</v>
      </c>
      <c r="C147" s="6" t="s">
        <v>308</v>
      </c>
      <c r="D147" s="7"/>
      <c r="E147" s="8"/>
      <c r="F147" s="7"/>
      <c r="G147" s="8"/>
      <c r="H147" s="7"/>
      <c r="I147" s="8"/>
      <c r="J147" s="7"/>
      <c r="K147" s="8"/>
      <c r="L147" s="8"/>
      <c r="M147" s="8"/>
      <c r="N147" s="33">
        <v>282536</v>
      </c>
      <c r="O147" s="5" t="s">
        <v>313</v>
      </c>
    </row>
    <row r="148" spans="1:15" ht="21.9" customHeight="1" x14ac:dyDescent="0.4">
      <c r="A148" s="5" t="s">
        <v>314</v>
      </c>
      <c r="B148" s="5" t="s">
        <v>307</v>
      </c>
      <c r="C148" s="6" t="s">
        <v>308</v>
      </c>
      <c r="D148" s="7"/>
      <c r="E148" s="8"/>
      <c r="F148" s="7"/>
      <c r="G148" s="8"/>
      <c r="H148" s="7"/>
      <c r="I148" s="8"/>
      <c r="J148" s="7"/>
      <c r="K148" s="8"/>
      <c r="L148" s="8"/>
      <c r="M148" s="8"/>
      <c r="N148" s="33">
        <v>173995</v>
      </c>
      <c r="O148" s="5" t="s">
        <v>315</v>
      </c>
    </row>
    <row r="149" spans="1:15" ht="21.9" customHeight="1" x14ac:dyDescent="0.4">
      <c r="A149" s="5" t="s">
        <v>316</v>
      </c>
      <c r="B149" s="5" t="s">
        <v>307</v>
      </c>
      <c r="C149" s="6" t="s">
        <v>308</v>
      </c>
      <c r="D149" s="7"/>
      <c r="E149" s="8"/>
      <c r="F149" s="7"/>
      <c r="G149" s="8"/>
      <c r="H149" s="7"/>
      <c r="I149" s="8"/>
      <c r="J149" s="7"/>
      <c r="K149" s="8"/>
      <c r="L149" s="8"/>
      <c r="M149" s="8"/>
      <c r="N149" s="33">
        <v>304156</v>
      </c>
      <c r="O149" s="7"/>
    </row>
    <row r="150" spans="1:15" ht="21.9" customHeight="1" x14ac:dyDescent="0.4">
      <c r="A150" s="5" t="s">
        <v>317</v>
      </c>
      <c r="B150" s="5" t="s">
        <v>307</v>
      </c>
      <c r="C150" s="6" t="s">
        <v>308</v>
      </c>
      <c r="D150" s="7"/>
      <c r="E150" s="8"/>
      <c r="F150" s="7"/>
      <c r="G150" s="8"/>
      <c r="H150" s="7"/>
      <c r="I150" s="8"/>
      <c r="J150" s="7"/>
      <c r="K150" s="8"/>
      <c r="L150" s="8"/>
      <c r="M150" s="8"/>
      <c r="N150" s="33">
        <v>239808</v>
      </c>
      <c r="O150" s="7"/>
    </row>
    <row r="151" spans="1:15" ht="21.9" customHeight="1" x14ac:dyDescent="0.4">
      <c r="A151" s="5" t="s">
        <v>318</v>
      </c>
      <c r="B151" s="5" t="s">
        <v>307</v>
      </c>
      <c r="C151" s="6" t="s">
        <v>308</v>
      </c>
      <c r="D151" s="7"/>
      <c r="E151" s="8"/>
      <c r="F151" s="7"/>
      <c r="G151" s="8"/>
      <c r="H151" s="7"/>
      <c r="I151" s="8"/>
      <c r="J151" s="7"/>
      <c r="K151" s="8"/>
      <c r="L151" s="8"/>
      <c r="M151" s="8"/>
      <c r="N151" s="33">
        <v>268187</v>
      </c>
      <c r="O151" s="7"/>
    </row>
    <row r="152" spans="1:15" ht="21.9" customHeight="1" x14ac:dyDescent="0.4">
      <c r="A152" s="5" t="s">
        <v>319</v>
      </c>
      <c r="B152" s="5" t="s">
        <v>307</v>
      </c>
      <c r="C152" s="6" t="s">
        <v>308</v>
      </c>
      <c r="D152" s="7"/>
      <c r="E152" s="8"/>
      <c r="F152" s="7"/>
      <c r="G152" s="8"/>
      <c r="H152" s="7"/>
      <c r="I152" s="8"/>
      <c r="J152" s="7"/>
      <c r="K152" s="8"/>
      <c r="L152" s="8"/>
      <c r="M152" s="8"/>
      <c r="N152" s="33">
        <v>273540</v>
      </c>
      <c r="O152" s="7"/>
    </row>
    <row r="153" spans="1:15" ht="21.9" customHeight="1" x14ac:dyDescent="0.4">
      <c r="A153" s="5" t="s">
        <v>320</v>
      </c>
      <c r="B153" s="5" t="s">
        <v>307</v>
      </c>
      <c r="C153" s="6" t="s">
        <v>308</v>
      </c>
      <c r="D153" s="7"/>
      <c r="E153" s="8"/>
      <c r="F153" s="7"/>
      <c r="G153" s="8"/>
      <c r="H153" s="7"/>
      <c r="I153" s="8"/>
      <c r="J153" s="7"/>
      <c r="K153" s="8"/>
      <c r="L153" s="8"/>
      <c r="M153" s="8"/>
      <c r="N153" s="33">
        <v>436224</v>
      </c>
      <c r="O153" s="7"/>
    </row>
    <row r="154" spans="1:15" ht="21.9" customHeight="1" x14ac:dyDescent="0.4">
      <c r="A154" s="5" t="s">
        <v>321</v>
      </c>
      <c r="B154" s="5" t="s">
        <v>307</v>
      </c>
      <c r="C154" s="6" t="s">
        <v>308</v>
      </c>
      <c r="D154" s="7"/>
      <c r="E154" s="8"/>
      <c r="F154" s="7"/>
      <c r="G154" s="8"/>
      <c r="H154" s="7"/>
      <c r="I154" s="8"/>
      <c r="J154" s="7"/>
      <c r="K154" s="8"/>
      <c r="L154" s="8"/>
      <c r="M154" s="8"/>
      <c r="N154" s="33">
        <v>226122</v>
      </c>
      <c r="O154" s="7"/>
    </row>
    <row r="155" spans="1:15" ht="21.9" customHeight="1" x14ac:dyDescent="0.4">
      <c r="A155" s="5" t="s">
        <v>322</v>
      </c>
      <c r="B155" s="5" t="s">
        <v>307</v>
      </c>
      <c r="C155" s="6" t="s">
        <v>308</v>
      </c>
      <c r="D155" s="7"/>
      <c r="E155" s="8"/>
      <c r="F155" s="7"/>
      <c r="G155" s="8"/>
      <c r="H155" s="7"/>
      <c r="I155" s="8"/>
      <c r="J155" s="7"/>
      <c r="K155" s="8"/>
      <c r="L155" s="8"/>
      <c r="M155" s="8"/>
      <c r="N155" s="33">
        <v>275790</v>
      </c>
      <c r="O155" s="7"/>
    </row>
    <row r="156" spans="1:15" ht="21.9" customHeight="1" x14ac:dyDescent="0.4">
      <c r="A156" s="5" t="s">
        <v>323</v>
      </c>
      <c r="B156" s="5" t="s">
        <v>324</v>
      </c>
      <c r="C156" s="6" t="s">
        <v>70</v>
      </c>
      <c r="D156" s="7"/>
      <c r="E156" s="8"/>
      <c r="F156" s="7"/>
      <c r="G156" s="8"/>
      <c r="H156" s="7"/>
      <c r="I156" s="8"/>
      <c r="J156" s="7"/>
      <c r="K156" s="8"/>
      <c r="L156" s="8"/>
      <c r="M156" s="8">
        <v>84000000</v>
      </c>
      <c r="N156" s="33">
        <f t="shared" ref="N156:N161" si="0">MIN(E156,G156,I156,K156,L156,M156)</f>
        <v>84000000</v>
      </c>
      <c r="O156" s="5" t="s">
        <v>325</v>
      </c>
    </row>
    <row r="157" spans="1:15" ht="21.9" customHeight="1" x14ac:dyDescent="0.4">
      <c r="A157" s="5" t="s">
        <v>323</v>
      </c>
      <c r="B157" s="5" t="s">
        <v>326</v>
      </c>
      <c r="C157" s="6" t="s">
        <v>70</v>
      </c>
      <c r="D157" s="7"/>
      <c r="E157" s="8"/>
      <c r="F157" s="7"/>
      <c r="G157" s="8"/>
      <c r="H157" s="7"/>
      <c r="I157" s="8"/>
      <c r="J157" s="7"/>
      <c r="K157" s="8"/>
      <c r="L157" s="8"/>
      <c r="M157" s="8">
        <v>117766000</v>
      </c>
      <c r="N157" s="33">
        <f t="shared" si="0"/>
        <v>117766000</v>
      </c>
      <c r="O157" s="5" t="s">
        <v>325</v>
      </c>
    </row>
    <row r="158" spans="1:15" ht="21.9" customHeight="1" x14ac:dyDescent="0.4">
      <c r="A158" s="5" t="s">
        <v>327</v>
      </c>
      <c r="B158" s="5" t="s">
        <v>328</v>
      </c>
      <c r="C158" s="6" t="s">
        <v>70</v>
      </c>
      <c r="D158" s="7"/>
      <c r="E158" s="8"/>
      <c r="F158" s="7"/>
      <c r="G158" s="8"/>
      <c r="H158" s="7"/>
      <c r="I158" s="8"/>
      <c r="J158" s="7"/>
      <c r="K158" s="8"/>
      <c r="L158" s="8"/>
      <c r="M158" s="8">
        <v>119000000</v>
      </c>
      <c r="N158" s="33">
        <f t="shared" si="0"/>
        <v>119000000</v>
      </c>
      <c r="O158" s="5" t="s">
        <v>329</v>
      </c>
    </row>
    <row r="159" spans="1:15" ht="21.9" customHeight="1" x14ac:dyDescent="0.4">
      <c r="A159" s="5" t="s">
        <v>330</v>
      </c>
      <c r="B159" s="5" t="s">
        <v>331</v>
      </c>
      <c r="C159" s="6" t="s">
        <v>70</v>
      </c>
      <c r="D159" s="7"/>
      <c r="E159" s="8"/>
      <c r="F159" s="7"/>
      <c r="G159" s="8"/>
      <c r="H159" s="7"/>
      <c r="I159" s="8"/>
      <c r="J159" s="7"/>
      <c r="K159" s="8"/>
      <c r="L159" s="8"/>
      <c r="M159" s="8">
        <v>90653000</v>
      </c>
      <c r="N159" s="33">
        <f t="shared" si="0"/>
        <v>90653000</v>
      </c>
      <c r="O159" s="5" t="s">
        <v>332</v>
      </c>
    </row>
    <row r="160" spans="1:15" ht="21.9" customHeight="1" x14ac:dyDescent="0.4">
      <c r="A160" s="5" t="s">
        <v>333</v>
      </c>
      <c r="B160" s="5" t="s">
        <v>334</v>
      </c>
      <c r="C160" s="6" t="s">
        <v>70</v>
      </c>
      <c r="D160" s="7"/>
      <c r="E160" s="8"/>
      <c r="F160" s="7"/>
      <c r="G160" s="8"/>
      <c r="H160" s="7"/>
      <c r="I160" s="8"/>
      <c r="J160" s="7"/>
      <c r="K160" s="8"/>
      <c r="L160" s="8"/>
      <c r="M160" s="8">
        <v>1418000</v>
      </c>
      <c r="N160" s="33">
        <f t="shared" si="0"/>
        <v>1418000</v>
      </c>
      <c r="O160" s="5" t="s">
        <v>335</v>
      </c>
    </row>
    <row r="161" spans="1:15" ht="21.9" customHeight="1" x14ac:dyDescent="0.4">
      <c r="A161" s="5" t="s">
        <v>336</v>
      </c>
      <c r="B161" s="5" t="s">
        <v>337</v>
      </c>
      <c r="C161" s="6" t="s">
        <v>70</v>
      </c>
      <c r="D161" s="7"/>
      <c r="E161" s="8"/>
      <c r="F161" s="7"/>
      <c r="G161" s="8"/>
      <c r="H161" s="7"/>
      <c r="I161" s="8"/>
      <c r="J161" s="7"/>
      <c r="K161" s="8"/>
      <c r="L161" s="8"/>
      <c r="M161" s="8">
        <v>275000000</v>
      </c>
      <c r="N161" s="33">
        <f t="shared" si="0"/>
        <v>275000000</v>
      </c>
      <c r="O161" s="5" t="s">
        <v>338</v>
      </c>
    </row>
  </sheetData>
  <mergeCells count="11">
    <mergeCell ref="J3:K3"/>
    <mergeCell ref="A1:O1"/>
    <mergeCell ref="A2:O2"/>
    <mergeCell ref="A3:A4"/>
    <mergeCell ref="B3:B4"/>
    <mergeCell ref="C3:C4"/>
    <mergeCell ref="N3:N4"/>
    <mergeCell ref="O3:O4"/>
    <mergeCell ref="D3:E3"/>
    <mergeCell ref="F3:G3"/>
    <mergeCell ref="H3:I3"/>
  </mergeCells>
  <phoneticPr fontId="1" type="noConversion"/>
  <conditionalFormatting sqref="A5:O161">
    <cfRule type="containsText" dxfId="1" priority="1" stopIfTrue="1" operator="containsText" text=".">
      <formula>NOT(ISERROR(SEARCH(".",A5)))</formula>
    </cfRule>
    <cfRule type="notContainsText" dxfId="0" priority="2" stopIfTrue="1" operator="notContains" text=".">
      <formula>ISERROR(SEARCH(".",A5))</formula>
    </cfRule>
  </conditionalFormatting>
  <printOptions horizontalCentered="1"/>
  <pageMargins left="0.70866141732283472" right="0.19685039370078741" top="0.59055118110236227" bottom="0.35433070866141736" header="0.31496062992125984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19D86"/>
  </sheetPr>
  <dimension ref="A1:AY23"/>
  <sheetViews>
    <sheetView tabSelected="1" view="pageBreakPreview" zoomScale="115" zoomScaleNormal="100" zoomScaleSheetLayoutView="115" workbookViewId="0">
      <pane xSplit="4" ySplit="4" topLeftCell="E13" activePane="bottomRight" state="frozen"/>
      <selection activeCell="F32" sqref="F32"/>
      <selection pane="topRight" activeCell="F32" sqref="F32"/>
      <selection pane="bottomLeft" activeCell="F32" sqref="F32"/>
      <selection pane="bottomRight" activeCell="H4" sqref="H4"/>
    </sheetView>
  </sheetViews>
  <sheetFormatPr defaultRowHeight="17.399999999999999" x14ac:dyDescent="0.4"/>
  <cols>
    <col min="1" max="1" width="18.59765625" style="1" customWidth="1"/>
    <col min="2" max="2" width="10.59765625" style="1" customWidth="1"/>
    <col min="3" max="3" width="3.59765625" style="2" customWidth="1"/>
    <col min="4" max="4" width="4.59765625" style="2" customWidth="1"/>
    <col min="5" max="5" width="8.59765625" style="3" customWidth="1"/>
    <col min="6" max="6" width="10.59765625" style="3" customWidth="1"/>
    <col min="7" max="7" width="8.59765625" style="3" customWidth="1"/>
    <col min="8" max="8" width="10.59765625" style="3" customWidth="1"/>
    <col min="9" max="9" width="8.59765625" style="3" customWidth="1"/>
    <col min="10" max="10" width="10.59765625" style="3" customWidth="1"/>
    <col min="11" max="11" width="8.59765625" style="3" customWidth="1"/>
    <col min="12" max="12" width="10.59765625" style="3" customWidth="1"/>
    <col min="13" max="13" width="8.59765625" style="1" customWidth="1"/>
    <col min="14" max="51" width="9" hidden="1" customWidth="1"/>
  </cols>
  <sheetData>
    <row r="1" spans="1:51" ht="30" customHeight="1" x14ac:dyDescent="0.4">
      <c r="A1" s="37" t="s">
        <v>756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51" ht="21.9" customHeight="1" x14ac:dyDescent="0.4">
      <c r="A2" s="38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51" ht="21.9" customHeight="1" x14ac:dyDescent="0.4">
      <c r="A3" s="46" t="s">
        <v>578</v>
      </c>
      <c r="B3" s="46" t="s">
        <v>579</v>
      </c>
      <c r="C3" s="46" t="s">
        <v>4</v>
      </c>
      <c r="D3" s="46" t="s">
        <v>384</v>
      </c>
      <c r="E3" s="46" t="s">
        <v>477</v>
      </c>
      <c r="F3" s="46"/>
      <c r="G3" s="46" t="s">
        <v>478</v>
      </c>
      <c r="H3" s="46"/>
      <c r="I3" s="46" t="s">
        <v>479</v>
      </c>
      <c r="J3" s="46"/>
      <c r="K3" s="46" t="s">
        <v>480</v>
      </c>
      <c r="L3" s="46"/>
      <c r="M3" s="46" t="s">
        <v>580</v>
      </c>
    </row>
    <row r="4" spans="1:51" ht="21.9" customHeight="1" x14ac:dyDescent="0.4">
      <c r="A4" s="46"/>
      <c r="B4" s="46"/>
      <c r="C4" s="46"/>
      <c r="D4" s="46"/>
      <c r="E4" s="4" t="s">
        <v>348</v>
      </c>
      <c r="F4" s="4" t="s">
        <v>525</v>
      </c>
      <c r="G4" s="4" t="s">
        <v>348</v>
      </c>
      <c r="H4" s="4" t="s">
        <v>525</v>
      </c>
      <c r="I4" s="4" t="s">
        <v>348</v>
      </c>
      <c r="J4" s="4" t="s">
        <v>525</v>
      </c>
      <c r="K4" s="4" t="s">
        <v>348</v>
      </c>
      <c r="L4" s="4" t="s">
        <v>525</v>
      </c>
      <c r="M4" s="46"/>
      <c r="N4" t="s">
        <v>350</v>
      </c>
      <c r="O4" t="s">
        <v>351</v>
      </c>
      <c r="P4" t="s">
        <v>352</v>
      </c>
      <c r="Q4" t="s">
        <v>353</v>
      </c>
      <c r="R4" t="s">
        <v>361</v>
      </c>
      <c r="S4" t="s">
        <v>581</v>
      </c>
      <c r="T4" t="s">
        <v>582</v>
      </c>
      <c r="U4" t="s">
        <v>583</v>
      </c>
      <c r="V4" t="s">
        <v>584</v>
      </c>
      <c r="W4" t="s">
        <v>585</v>
      </c>
      <c r="X4" t="s">
        <v>586</v>
      </c>
      <c r="Y4" t="s">
        <v>587</v>
      </c>
      <c r="Z4" t="s">
        <v>588</v>
      </c>
      <c r="AA4" t="s">
        <v>589</v>
      </c>
      <c r="AB4" t="s">
        <v>590</v>
      </c>
      <c r="AC4" t="s">
        <v>591</v>
      </c>
      <c r="AD4" t="s">
        <v>592</v>
      </c>
      <c r="AE4" t="s">
        <v>593</v>
      </c>
      <c r="AF4" t="s">
        <v>594</v>
      </c>
      <c r="AG4" t="s">
        <v>595</v>
      </c>
      <c r="AH4" t="s">
        <v>596</v>
      </c>
      <c r="AI4" t="s">
        <v>597</v>
      </c>
      <c r="AJ4" t="s">
        <v>598</v>
      </c>
      <c r="AK4" t="s">
        <v>599</v>
      </c>
      <c r="AL4" t="s">
        <v>600</v>
      </c>
      <c r="AM4" t="s">
        <v>601</v>
      </c>
      <c r="AN4" t="s">
        <v>602</v>
      </c>
      <c r="AO4" t="s">
        <v>603</v>
      </c>
      <c r="AP4" t="s">
        <v>604</v>
      </c>
      <c r="AQ4" t="s">
        <v>605</v>
      </c>
      <c r="AR4" t="s">
        <v>606</v>
      </c>
      <c r="AS4" t="s">
        <v>607</v>
      </c>
      <c r="AT4" t="s">
        <v>608</v>
      </c>
      <c r="AU4" t="s">
        <v>609</v>
      </c>
      <c r="AV4" t="s">
        <v>610</v>
      </c>
      <c r="AW4" t="s">
        <v>354</v>
      </c>
      <c r="AX4" t="s">
        <v>355</v>
      </c>
      <c r="AY4" t="s">
        <v>15</v>
      </c>
    </row>
    <row r="5" spans="1:51" ht="21.9" customHeight="1" x14ac:dyDescent="0.4">
      <c r="A5" s="5" t="s">
        <v>611</v>
      </c>
      <c r="B5" s="5" t="s">
        <v>359</v>
      </c>
      <c r="C5" s="6" t="s">
        <v>51</v>
      </c>
      <c r="D5" s="9">
        <v>1</v>
      </c>
      <c r="E5" s="8">
        <f>내역서!F80</f>
        <v>206845928</v>
      </c>
      <c r="F5" s="8">
        <f>D5*E5</f>
        <v>206845928</v>
      </c>
      <c r="G5" s="8">
        <f>내역서!H80</f>
        <v>117852973</v>
      </c>
      <c r="H5" s="8">
        <f>D5*G5</f>
        <v>117852973</v>
      </c>
      <c r="I5" s="8">
        <f>내역서!J80</f>
        <v>176459</v>
      </c>
      <c r="J5" s="8">
        <f>D5*I5</f>
        <v>176459</v>
      </c>
      <c r="K5" s="8">
        <f t="shared" ref="K5:L9" si="0">E5+G5+I5</f>
        <v>324875360</v>
      </c>
      <c r="L5" s="8">
        <f t="shared" si="0"/>
        <v>324875360</v>
      </c>
      <c r="M5" s="7"/>
      <c r="Q5">
        <v>1</v>
      </c>
      <c r="R5">
        <f>D5*내역서!R80</f>
        <v>176459</v>
      </c>
      <c r="S5">
        <f>D5*내역서!S80</f>
        <v>0</v>
      </c>
      <c r="T5">
        <f>D5*내역서!T80</f>
        <v>0</v>
      </c>
      <c r="U5">
        <f>D5*내역서!U80</f>
        <v>0</v>
      </c>
      <c r="V5">
        <f>D5*내역서!V80</f>
        <v>0</v>
      </c>
      <c r="W5">
        <f>D5*내역서!W80</f>
        <v>0</v>
      </c>
      <c r="X5">
        <f>D5*내역서!X80</f>
        <v>0</v>
      </c>
      <c r="Y5">
        <f>D5*내역서!Y80</f>
        <v>0</v>
      </c>
      <c r="Z5">
        <f>D5*내역서!Z80</f>
        <v>0</v>
      </c>
      <c r="AA5">
        <f>D5*내역서!AA80</f>
        <v>0</v>
      </c>
      <c r="AB5">
        <f>D5*내역서!AB80</f>
        <v>0</v>
      </c>
      <c r="AC5">
        <f>D5*내역서!AC80</f>
        <v>0</v>
      </c>
      <c r="AD5">
        <f>D5*내역서!AD80</f>
        <v>0</v>
      </c>
      <c r="AE5">
        <f>D5*내역서!AE80</f>
        <v>0</v>
      </c>
      <c r="AF5">
        <f>D5*내역서!AF80</f>
        <v>0</v>
      </c>
      <c r="AG5">
        <f>D5*내역서!AG80</f>
        <v>0</v>
      </c>
      <c r="AH5">
        <f>D5*내역서!AH80</f>
        <v>0</v>
      </c>
      <c r="AI5">
        <f>D5*내역서!AI80</f>
        <v>0</v>
      </c>
      <c r="AJ5">
        <f>D5*내역서!AJ80</f>
        <v>0</v>
      </c>
      <c r="AK5">
        <f>D5*내역서!AK80</f>
        <v>0</v>
      </c>
      <c r="AL5">
        <f>D5*내역서!AL80</f>
        <v>0</v>
      </c>
      <c r="AM5">
        <f>D5*내역서!AM80</f>
        <v>0</v>
      </c>
      <c r="AN5">
        <f>D5*내역서!AN80</f>
        <v>0</v>
      </c>
      <c r="AO5">
        <f>D5*내역서!AO80</f>
        <v>0</v>
      </c>
      <c r="AP5">
        <f>D5*내역서!AP80</f>
        <v>0</v>
      </c>
      <c r="AQ5">
        <f>D5*내역서!AQ80</f>
        <v>0</v>
      </c>
      <c r="AR5">
        <f>D5*내역서!AR80</f>
        <v>0</v>
      </c>
      <c r="AS5">
        <f>D5*내역서!AS80</f>
        <v>0</v>
      </c>
      <c r="AT5">
        <f>D5*내역서!AT80</f>
        <v>0</v>
      </c>
      <c r="AU5">
        <f>D5*내역서!AU80</f>
        <v>0</v>
      </c>
      <c r="AV5">
        <f>D5*내역서!AV80</f>
        <v>0</v>
      </c>
    </row>
    <row r="6" spans="1:51" ht="21.9" customHeight="1" x14ac:dyDescent="0.4">
      <c r="A6" s="5" t="s">
        <v>679</v>
      </c>
      <c r="B6" s="5" t="s">
        <v>359</v>
      </c>
      <c r="C6" s="6" t="s">
        <v>51</v>
      </c>
      <c r="D6" s="9">
        <v>1</v>
      </c>
      <c r="E6" s="8">
        <f>내역서!F120</f>
        <v>56556298</v>
      </c>
      <c r="F6" s="8">
        <f>D6*E6</f>
        <v>56556298</v>
      </c>
      <c r="G6" s="8">
        <f>내역서!H120</f>
        <v>5785145</v>
      </c>
      <c r="H6" s="8">
        <f>D6*G6</f>
        <v>5785145</v>
      </c>
      <c r="I6" s="8">
        <f>내역서!J120</f>
        <v>204556</v>
      </c>
      <c r="J6" s="8">
        <f>D6*I6</f>
        <v>204556</v>
      </c>
      <c r="K6" s="8">
        <f t="shared" si="0"/>
        <v>62545999</v>
      </c>
      <c r="L6" s="8">
        <f t="shared" si="0"/>
        <v>62545999</v>
      </c>
      <c r="M6" s="7"/>
      <c r="Q6">
        <v>1</v>
      </c>
      <c r="R6">
        <f>D6*내역서!R120</f>
        <v>204556</v>
      </c>
      <c r="S6">
        <f>D6*내역서!S120</f>
        <v>0</v>
      </c>
      <c r="T6">
        <f>D6*내역서!T120</f>
        <v>0</v>
      </c>
      <c r="U6">
        <f>D6*내역서!U120</f>
        <v>0</v>
      </c>
      <c r="V6">
        <f>D6*내역서!V120</f>
        <v>0</v>
      </c>
      <c r="W6">
        <f>D6*내역서!W120</f>
        <v>0</v>
      </c>
      <c r="X6">
        <f>D6*내역서!X120</f>
        <v>0</v>
      </c>
      <c r="Y6">
        <f>D6*내역서!Y120</f>
        <v>0</v>
      </c>
      <c r="Z6">
        <f>D6*내역서!Z120</f>
        <v>0</v>
      </c>
      <c r="AA6">
        <f>D6*내역서!AA120</f>
        <v>0</v>
      </c>
      <c r="AB6">
        <f>D6*내역서!AB120</f>
        <v>0</v>
      </c>
      <c r="AC6">
        <f>D6*내역서!AC120</f>
        <v>0</v>
      </c>
      <c r="AD6">
        <f>D6*내역서!AD120</f>
        <v>0</v>
      </c>
      <c r="AE6">
        <f>D6*내역서!AE120</f>
        <v>0</v>
      </c>
      <c r="AF6">
        <f>D6*내역서!AF120</f>
        <v>0</v>
      </c>
      <c r="AG6">
        <f>D6*내역서!AG120</f>
        <v>0</v>
      </c>
      <c r="AH6">
        <f>D6*내역서!AH120</f>
        <v>0</v>
      </c>
      <c r="AI6">
        <f>D6*내역서!AI120</f>
        <v>0</v>
      </c>
      <c r="AJ6">
        <f>D6*내역서!AJ120</f>
        <v>0</v>
      </c>
      <c r="AK6">
        <f>D6*내역서!AK120</f>
        <v>0</v>
      </c>
      <c r="AL6">
        <f>D6*내역서!AL120</f>
        <v>0</v>
      </c>
      <c r="AM6">
        <f>D6*내역서!AM120</f>
        <v>0</v>
      </c>
      <c r="AN6">
        <f>D6*내역서!AN120</f>
        <v>0</v>
      </c>
      <c r="AO6">
        <f>D6*내역서!AO120</f>
        <v>0</v>
      </c>
      <c r="AP6">
        <f>D6*내역서!AP120</f>
        <v>0</v>
      </c>
      <c r="AQ6">
        <f>D6*내역서!AQ120</f>
        <v>0</v>
      </c>
      <c r="AR6">
        <f>D6*내역서!AR120</f>
        <v>0</v>
      </c>
      <c r="AS6">
        <f>D6*내역서!AS120</f>
        <v>0</v>
      </c>
      <c r="AT6">
        <f>D6*내역서!AT120</f>
        <v>0</v>
      </c>
      <c r="AU6">
        <f>D6*내역서!AU120</f>
        <v>0</v>
      </c>
      <c r="AV6">
        <f>D6*내역서!AV120</f>
        <v>0</v>
      </c>
    </row>
    <row r="7" spans="1:51" ht="21.9" customHeight="1" x14ac:dyDescent="0.4">
      <c r="A7" s="5" t="s">
        <v>712</v>
      </c>
      <c r="B7" s="7"/>
      <c r="C7" s="6" t="s">
        <v>51</v>
      </c>
      <c r="D7" s="9">
        <v>1</v>
      </c>
      <c r="E7" s="8">
        <f>내역서!F158</f>
        <v>40587225</v>
      </c>
      <c r="F7" s="8">
        <f>D7*E7</f>
        <v>40587225</v>
      </c>
      <c r="G7" s="8">
        <f>내역서!H158</f>
        <v>13005159</v>
      </c>
      <c r="H7" s="8">
        <f>D7*G7</f>
        <v>13005159</v>
      </c>
      <c r="I7" s="8">
        <f>내역서!J158</f>
        <v>0</v>
      </c>
      <c r="J7" s="8">
        <f>D7*I7</f>
        <v>0</v>
      </c>
      <c r="K7" s="8">
        <f t="shared" si="0"/>
        <v>53592384</v>
      </c>
      <c r="L7" s="8">
        <f t="shared" si="0"/>
        <v>53592384</v>
      </c>
      <c r="M7" s="7"/>
      <c r="Q7">
        <v>1</v>
      </c>
      <c r="R7">
        <f>D7*내역서!R158</f>
        <v>0</v>
      </c>
      <c r="S7">
        <f>D7*내역서!S158</f>
        <v>0</v>
      </c>
      <c r="T7">
        <f>D7*내역서!T158</f>
        <v>0</v>
      </c>
      <c r="U7">
        <f>D7*내역서!U158</f>
        <v>0</v>
      </c>
      <c r="V7">
        <f>D7*내역서!V158</f>
        <v>0</v>
      </c>
      <c r="W7">
        <f>D7*내역서!W158</f>
        <v>0</v>
      </c>
      <c r="X7">
        <f>D7*내역서!X158</f>
        <v>0</v>
      </c>
      <c r="Y7">
        <f>D7*내역서!Y158</f>
        <v>0</v>
      </c>
      <c r="Z7">
        <f>D7*내역서!Z158</f>
        <v>0</v>
      </c>
      <c r="AA7">
        <f>D7*내역서!AA158</f>
        <v>0</v>
      </c>
      <c r="AB7">
        <f>D7*내역서!AB158</f>
        <v>0</v>
      </c>
      <c r="AC7">
        <f>D7*내역서!AC158</f>
        <v>0</v>
      </c>
      <c r="AD7">
        <f>D7*내역서!AD158</f>
        <v>0</v>
      </c>
      <c r="AE7">
        <f>D7*내역서!AE158</f>
        <v>0</v>
      </c>
      <c r="AF7">
        <f>D7*내역서!AF158</f>
        <v>0</v>
      </c>
      <c r="AG7">
        <f>D7*내역서!AG158</f>
        <v>0</v>
      </c>
      <c r="AH7">
        <f>D7*내역서!AH158</f>
        <v>0</v>
      </c>
      <c r="AI7">
        <f>D7*내역서!AI158</f>
        <v>0</v>
      </c>
      <c r="AJ7">
        <f>D7*내역서!AJ158</f>
        <v>0</v>
      </c>
      <c r="AK7">
        <f>D7*내역서!AK158</f>
        <v>0</v>
      </c>
      <c r="AL7">
        <f>D7*내역서!AL158</f>
        <v>0</v>
      </c>
      <c r="AM7">
        <f>D7*내역서!AM158</f>
        <v>0</v>
      </c>
      <c r="AN7">
        <f>D7*내역서!AN158</f>
        <v>0</v>
      </c>
      <c r="AO7">
        <f>D7*내역서!AO158</f>
        <v>0</v>
      </c>
      <c r="AP7">
        <f>D7*내역서!AP158</f>
        <v>0</v>
      </c>
      <c r="AQ7">
        <f>D7*내역서!AQ158</f>
        <v>0</v>
      </c>
      <c r="AR7">
        <f>D7*내역서!AR158</f>
        <v>0</v>
      </c>
      <c r="AS7">
        <f>D7*내역서!AS158</f>
        <v>0</v>
      </c>
      <c r="AT7">
        <f>D7*내역서!AT158</f>
        <v>0</v>
      </c>
      <c r="AU7">
        <f>D7*내역서!AU158</f>
        <v>0</v>
      </c>
      <c r="AV7">
        <f>D7*내역서!AV158</f>
        <v>0</v>
      </c>
    </row>
    <row r="8" spans="1:51" ht="21.9" customHeight="1" x14ac:dyDescent="0.4">
      <c r="A8" s="5" t="s">
        <v>717</v>
      </c>
      <c r="B8" s="7"/>
      <c r="C8" s="6" t="s">
        <v>51</v>
      </c>
      <c r="D8" s="9">
        <v>1</v>
      </c>
      <c r="E8" s="8">
        <f>내역서!F196</f>
        <v>98124267</v>
      </c>
      <c r="F8" s="8">
        <f>D8*E8</f>
        <v>98124267</v>
      </c>
      <c r="G8" s="8">
        <f>내역서!H196</f>
        <v>21748661</v>
      </c>
      <c r="H8" s="8">
        <f>D8*G8</f>
        <v>21748661</v>
      </c>
      <c r="I8" s="8">
        <f>내역서!J196</f>
        <v>862416</v>
      </c>
      <c r="J8" s="8">
        <f>D8*I8</f>
        <v>862416</v>
      </c>
      <c r="K8" s="8">
        <f t="shared" si="0"/>
        <v>120735344</v>
      </c>
      <c r="L8" s="8">
        <f t="shared" si="0"/>
        <v>120735344</v>
      </c>
      <c r="M8" s="7"/>
      <c r="Q8">
        <v>1</v>
      </c>
      <c r="R8">
        <f>D8*내역서!R196</f>
        <v>862416</v>
      </c>
      <c r="S8">
        <f>D8*내역서!S196</f>
        <v>0</v>
      </c>
      <c r="T8">
        <f>D8*내역서!T196</f>
        <v>0</v>
      </c>
      <c r="U8">
        <f>D8*내역서!U196</f>
        <v>0</v>
      </c>
      <c r="V8">
        <f>D8*내역서!V196</f>
        <v>0</v>
      </c>
      <c r="W8">
        <f>D8*내역서!W196</f>
        <v>0</v>
      </c>
      <c r="X8">
        <f>D8*내역서!X196</f>
        <v>0</v>
      </c>
      <c r="Y8">
        <f>D8*내역서!Y196</f>
        <v>0</v>
      </c>
      <c r="Z8">
        <f>D8*내역서!Z196</f>
        <v>0</v>
      </c>
      <c r="AA8">
        <f>D8*내역서!AA196</f>
        <v>0</v>
      </c>
      <c r="AB8">
        <f>D8*내역서!AB196</f>
        <v>0</v>
      </c>
      <c r="AC8">
        <f>D8*내역서!AC196</f>
        <v>0</v>
      </c>
      <c r="AD8">
        <f>D8*내역서!AD196</f>
        <v>0</v>
      </c>
      <c r="AE8">
        <f>D8*내역서!AE196</f>
        <v>0</v>
      </c>
      <c r="AF8">
        <f>D8*내역서!AF196</f>
        <v>0</v>
      </c>
      <c r="AG8">
        <f>D8*내역서!AG196</f>
        <v>0</v>
      </c>
      <c r="AH8">
        <f>D8*내역서!AH196</f>
        <v>0</v>
      </c>
      <c r="AI8">
        <f>D8*내역서!AI196</f>
        <v>0</v>
      </c>
      <c r="AJ8">
        <f>D8*내역서!AJ196</f>
        <v>0</v>
      </c>
      <c r="AK8">
        <f>D8*내역서!AK196</f>
        <v>0</v>
      </c>
      <c r="AL8">
        <f>D8*내역서!AL196</f>
        <v>0</v>
      </c>
      <c r="AM8">
        <f>D8*내역서!AM196</f>
        <v>0</v>
      </c>
      <c r="AN8">
        <f>D8*내역서!AN196</f>
        <v>0</v>
      </c>
      <c r="AO8">
        <f>D8*내역서!AO196</f>
        <v>0</v>
      </c>
      <c r="AP8">
        <f>D8*내역서!AP196</f>
        <v>0</v>
      </c>
      <c r="AQ8">
        <f>D8*내역서!AQ196</f>
        <v>0</v>
      </c>
      <c r="AR8">
        <f>D8*내역서!AR196</f>
        <v>0</v>
      </c>
      <c r="AS8">
        <f>D8*내역서!AS196</f>
        <v>0</v>
      </c>
      <c r="AT8">
        <f>D8*내역서!AT196</f>
        <v>0</v>
      </c>
      <c r="AU8">
        <f>D8*내역서!AU196</f>
        <v>0</v>
      </c>
      <c r="AV8">
        <f>D8*내역서!AV196</f>
        <v>0</v>
      </c>
    </row>
    <row r="9" spans="1:51" ht="21.9" customHeight="1" x14ac:dyDescent="0.4">
      <c r="A9" s="5" t="s">
        <v>751</v>
      </c>
      <c r="B9" s="7"/>
      <c r="C9" s="6" t="s">
        <v>51</v>
      </c>
      <c r="D9" s="9">
        <v>1</v>
      </c>
      <c r="E9" s="8">
        <f>내역서!F215</f>
        <v>10624201</v>
      </c>
      <c r="F9" s="8">
        <f>D9*E9</f>
        <v>10624201</v>
      </c>
      <c r="G9" s="8">
        <f>내역서!H215</f>
        <v>3432100</v>
      </c>
      <c r="H9" s="8">
        <f>D9*G9</f>
        <v>3432100</v>
      </c>
      <c r="I9" s="8">
        <f>내역서!J215</f>
        <v>0</v>
      </c>
      <c r="J9" s="8">
        <f>D9*I9</f>
        <v>0</v>
      </c>
      <c r="K9" s="8">
        <f t="shared" si="0"/>
        <v>14056301</v>
      </c>
      <c r="L9" s="8">
        <f t="shared" si="0"/>
        <v>14056301</v>
      </c>
      <c r="M9" s="7"/>
      <c r="Q9">
        <v>1</v>
      </c>
      <c r="R9">
        <f>D9*내역서!R215</f>
        <v>0</v>
      </c>
      <c r="S9">
        <f>D9*내역서!S215</f>
        <v>0</v>
      </c>
      <c r="T9">
        <f>D9*내역서!T215</f>
        <v>0</v>
      </c>
      <c r="U9">
        <f>D9*내역서!U215</f>
        <v>0</v>
      </c>
      <c r="V9">
        <f>D9*내역서!V215</f>
        <v>0</v>
      </c>
      <c r="W9">
        <f>D9*내역서!W215</f>
        <v>0</v>
      </c>
      <c r="X9">
        <f>D9*내역서!X215</f>
        <v>0</v>
      </c>
      <c r="Y9">
        <f>D9*내역서!Y215</f>
        <v>0</v>
      </c>
      <c r="Z9">
        <f>D9*내역서!Z215</f>
        <v>0</v>
      </c>
      <c r="AA9">
        <f>D9*내역서!AA215</f>
        <v>0</v>
      </c>
      <c r="AB9">
        <f>D9*내역서!AB215</f>
        <v>0</v>
      </c>
      <c r="AC9">
        <f>D9*내역서!AC215</f>
        <v>0</v>
      </c>
      <c r="AD9">
        <f>D9*내역서!AD215</f>
        <v>0</v>
      </c>
      <c r="AE9">
        <f>D9*내역서!AE215</f>
        <v>0</v>
      </c>
      <c r="AF9">
        <f>D9*내역서!AF215</f>
        <v>0</v>
      </c>
      <c r="AG9">
        <f>D9*내역서!AG215</f>
        <v>0</v>
      </c>
      <c r="AH9">
        <f>D9*내역서!AH215</f>
        <v>0</v>
      </c>
      <c r="AI9">
        <f>D9*내역서!AI215</f>
        <v>0</v>
      </c>
      <c r="AJ9">
        <f>D9*내역서!AJ215</f>
        <v>0</v>
      </c>
      <c r="AK9">
        <f>D9*내역서!AK215</f>
        <v>0</v>
      </c>
      <c r="AL9">
        <f>D9*내역서!AL215</f>
        <v>0</v>
      </c>
      <c r="AM9">
        <f>D9*내역서!AM215</f>
        <v>0</v>
      </c>
      <c r="AN9">
        <f>D9*내역서!AN215</f>
        <v>0</v>
      </c>
      <c r="AO9">
        <f>D9*내역서!AO215</f>
        <v>0</v>
      </c>
      <c r="AP9">
        <f>D9*내역서!AP215</f>
        <v>0</v>
      </c>
      <c r="AQ9">
        <f>D9*내역서!AQ215</f>
        <v>0</v>
      </c>
      <c r="AR9">
        <f>D9*내역서!AR215</f>
        <v>0</v>
      </c>
      <c r="AS9">
        <f>D9*내역서!AS215</f>
        <v>0</v>
      </c>
      <c r="AT9">
        <f>D9*내역서!AT215</f>
        <v>0</v>
      </c>
      <c r="AU9">
        <f>D9*내역서!AU215</f>
        <v>0</v>
      </c>
      <c r="AV9">
        <f>D9*내역서!AV215</f>
        <v>0</v>
      </c>
    </row>
    <row r="10" spans="1:51" ht="21.9" customHeight="1" x14ac:dyDescent="0.4">
      <c r="A10" s="7"/>
      <c r="B10" s="7"/>
      <c r="C10" s="9"/>
      <c r="D10" s="9"/>
      <c r="E10" s="8"/>
      <c r="F10" s="8"/>
      <c r="G10" s="8"/>
      <c r="H10" s="8"/>
      <c r="I10" s="8"/>
      <c r="J10" s="8"/>
      <c r="K10" s="8"/>
      <c r="L10" s="8"/>
      <c r="M10" s="7"/>
    </row>
    <row r="11" spans="1:51" ht="21.9" customHeight="1" x14ac:dyDescent="0.4">
      <c r="A11" s="7"/>
      <c r="B11" s="7"/>
      <c r="C11" s="9"/>
      <c r="D11" s="9"/>
      <c r="E11" s="8"/>
      <c r="F11" s="8"/>
      <c r="G11" s="8"/>
      <c r="H11" s="8"/>
      <c r="I11" s="8"/>
      <c r="J11" s="8"/>
      <c r="K11" s="8"/>
      <c r="L11" s="8"/>
      <c r="M11" s="7"/>
    </row>
    <row r="12" spans="1:51" ht="21.9" customHeight="1" x14ac:dyDescent="0.4">
      <c r="A12" s="7"/>
      <c r="B12" s="7"/>
      <c r="C12" s="9"/>
      <c r="D12" s="9"/>
      <c r="E12" s="8"/>
      <c r="F12" s="8"/>
      <c r="G12" s="8"/>
      <c r="H12" s="8"/>
      <c r="I12" s="8"/>
      <c r="J12" s="8"/>
      <c r="K12" s="8"/>
      <c r="L12" s="8"/>
      <c r="M12" s="7"/>
    </row>
    <row r="13" spans="1:51" ht="21.9" customHeight="1" x14ac:dyDescent="0.4">
      <c r="A13" s="7"/>
      <c r="B13" s="7"/>
      <c r="C13" s="9"/>
      <c r="D13" s="9"/>
      <c r="E13" s="8"/>
      <c r="F13" s="8"/>
      <c r="G13" s="8"/>
      <c r="H13" s="8"/>
      <c r="I13" s="8"/>
      <c r="J13" s="8"/>
      <c r="K13" s="8"/>
      <c r="L13" s="8"/>
      <c r="M13" s="7"/>
    </row>
    <row r="14" spans="1:51" ht="21.9" customHeight="1" x14ac:dyDescent="0.4">
      <c r="A14" s="7"/>
      <c r="B14" s="7"/>
      <c r="C14" s="9"/>
      <c r="D14" s="9"/>
      <c r="E14" s="8"/>
      <c r="F14" s="8"/>
      <c r="G14" s="8"/>
      <c r="H14" s="8"/>
      <c r="I14" s="8"/>
      <c r="J14" s="8"/>
      <c r="K14" s="8"/>
      <c r="L14" s="8"/>
      <c r="M14" s="7"/>
    </row>
    <row r="15" spans="1:51" ht="21.9" customHeight="1" x14ac:dyDescent="0.4">
      <c r="A15" s="7"/>
      <c r="B15" s="7"/>
      <c r="C15" s="9"/>
      <c r="D15" s="9"/>
      <c r="E15" s="8"/>
      <c r="F15" s="8"/>
      <c r="G15" s="8"/>
      <c r="H15" s="8"/>
      <c r="I15" s="8"/>
      <c r="J15" s="8"/>
      <c r="K15" s="8"/>
      <c r="L15" s="8"/>
      <c r="M15" s="7"/>
    </row>
    <row r="16" spans="1:51" ht="21.9" customHeight="1" x14ac:dyDescent="0.4">
      <c r="A16" s="7"/>
      <c r="B16" s="7"/>
      <c r="C16" s="9"/>
      <c r="D16" s="9"/>
      <c r="E16" s="8"/>
      <c r="F16" s="8"/>
      <c r="G16" s="8"/>
      <c r="H16" s="8"/>
      <c r="I16" s="8"/>
      <c r="J16" s="8"/>
      <c r="K16" s="8"/>
      <c r="L16" s="8"/>
      <c r="M16" s="7"/>
    </row>
    <row r="17" spans="1:51" ht="21.9" customHeight="1" x14ac:dyDescent="0.4">
      <c r="A17" s="7"/>
      <c r="B17" s="7"/>
      <c r="C17" s="9"/>
      <c r="D17" s="9"/>
      <c r="E17" s="8"/>
      <c r="F17" s="8"/>
      <c r="G17" s="8"/>
      <c r="H17" s="8"/>
      <c r="I17" s="8"/>
      <c r="J17" s="8"/>
      <c r="K17" s="8"/>
      <c r="L17" s="8"/>
      <c r="M17" s="7"/>
    </row>
    <row r="18" spans="1:51" ht="21.9" customHeight="1" x14ac:dyDescent="0.4">
      <c r="A18" s="7"/>
      <c r="B18" s="7"/>
      <c r="C18" s="9"/>
      <c r="D18" s="9"/>
      <c r="E18" s="8"/>
      <c r="F18" s="8"/>
      <c r="G18" s="8"/>
      <c r="H18" s="8"/>
      <c r="I18" s="8"/>
      <c r="J18" s="8"/>
      <c r="K18" s="8"/>
      <c r="L18" s="8"/>
      <c r="M18" s="7"/>
    </row>
    <row r="19" spans="1:51" ht="21.9" customHeight="1" x14ac:dyDescent="0.4">
      <c r="A19" s="7"/>
      <c r="B19" s="7"/>
      <c r="C19" s="9"/>
      <c r="D19" s="9"/>
      <c r="E19" s="8"/>
      <c r="F19" s="8"/>
      <c r="G19" s="8"/>
      <c r="H19" s="8"/>
      <c r="I19" s="8"/>
      <c r="J19" s="8"/>
      <c r="K19" s="8"/>
      <c r="L19" s="8"/>
      <c r="M19" s="7"/>
    </row>
    <row r="20" spans="1:51" ht="21.9" customHeight="1" x14ac:dyDescent="0.4">
      <c r="A20" s="7"/>
      <c r="B20" s="7"/>
      <c r="C20" s="9"/>
      <c r="D20" s="9"/>
      <c r="E20" s="8"/>
      <c r="F20" s="8"/>
      <c r="G20" s="8"/>
      <c r="H20" s="8"/>
      <c r="I20" s="8"/>
      <c r="J20" s="8"/>
      <c r="K20" s="8"/>
      <c r="L20" s="8"/>
      <c r="M20" s="7"/>
    </row>
    <row r="21" spans="1:51" ht="21.9" customHeight="1" x14ac:dyDescent="0.4">
      <c r="A21" s="7"/>
      <c r="B21" s="7"/>
      <c r="C21" s="9"/>
      <c r="D21" s="9"/>
      <c r="E21" s="8"/>
      <c r="F21" s="8"/>
      <c r="G21" s="8"/>
      <c r="H21" s="8"/>
      <c r="I21" s="8"/>
      <c r="J21" s="8"/>
      <c r="K21" s="8"/>
      <c r="L21" s="8"/>
      <c r="M21" s="7"/>
    </row>
    <row r="22" spans="1:51" ht="21.9" customHeight="1" x14ac:dyDescent="0.4">
      <c r="A22" s="7"/>
      <c r="B22" s="7"/>
      <c r="C22" s="9"/>
      <c r="D22" s="9"/>
      <c r="E22" s="8"/>
      <c r="F22" s="8"/>
      <c r="G22" s="8"/>
      <c r="H22" s="8"/>
      <c r="I22" s="8"/>
      <c r="J22" s="8"/>
      <c r="K22" s="8"/>
      <c r="L22" s="8"/>
      <c r="M22" s="7"/>
    </row>
    <row r="23" spans="1:51" ht="21.9" customHeight="1" x14ac:dyDescent="0.4">
      <c r="A23" s="12" t="s">
        <v>372</v>
      </c>
      <c r="B23" s="13"/>
      <c r="C23" s="14"/>
      <c r="D23" s="14"/>
      <c r="E23" s="15"/>
      <c r="F23" s="15">
        <f>SUMIF(Q5:Q9, "1", F5:F9)</f>
        <v>412737919</v>
      </c>
      <c r="G23" s="15"/>
      <c r="H23" s="15">
        <f>SUMIF(Q5:Q9, "1", H5:H9)</f>
        <v>161824038</v>
      </c>
      <c r="I23" s="15"/>
      <c r="J23" s="15">
        <f>SUMIF(Q5:Q9, "1", J5:J9)</f>
        <v>1243431</v>
      </c>
      <c r="K23" s="15"/>
      <c r="L23" s="15">
        <f>F23+H23+J23</f>
        <v>575805388</v>
      </c>
      <c r="M23" s="13"/>
      <c r="R23">
        <f t="shared" ref="R23:AY23" si="1">SUM(R5:R9)</f>
        <v>1243431</v>
      </c>
      <c r="S23">
        <f t="shared" si="1"/>
        <v>0</v>
      </c>
      <c r="T23">
        <f t="shared" si="1"/>
        <v>0</v>
      </c>
      <c r="U23">
        <f t="shared" si="1"/>
        <v>0</v>
      </c>
      <c r="V23">
        <f t="shared" si="1"/>
        <v>0</v>
      </c>
      <c r="W23">
        <f t="shared" si="1"/>
        <v>0</v>
      </c>
      <c r="X23">
        <f t="shared" si="1"/>
        <v>0</v>
      </c>
      <c r="Y23">
        <f t="shared" si="1"/>
        <v>0</v>
      </c>
      <c r="Z23">
        <f t="shared" si="1"/>
        <v>0</v>
      </c>
      <c r="AA23">
        <f t="shared" si="1"/>
        <v>0</v>
      </c>
      <c r="AB23">
        <f t="shared" si="1"/>
        <v>0</v>
      </c>
      <c r="AC23">
        <f t="shared" si="1"/>
        <v>0</v>
      </c>
      <c r="AD23">
        <f t="shared" si="1"/>
        <v>0</v>
      </c>
      <c r="AE23">
        <f t="shared" si="1"/>
        <v>0</v>
      </c>
      <c r="AF23">
        <f t="shared" si="1"/>
        <v>0</v>
      </c>
      <c r="AG23">
        <f t="shared" si="1"/>
        <v>0</v>
      </c>
      <c r="AH23">
        <f t="shared" si="1"/>
        <v>0</v>
      </c>
      <c r="AI23">
        <f t="shared" si="1"/>
        <v>0</v>
      </c>
      <c r="AJ23">
        <f t="shared" si="1"/>
        <v>0</v>
      </c>
      <c r="AK23">
        <f t="shared" si="1"/>
        <v>0</v>
      </c>
      <c r="AL23">
        <f t="shared" si="1"/>
        <v>0</v>
      </c>
      <c r="AM23">
        <f t="shared" si="1"/>
        <v>0</v>
      </c>
      <c r="AN23">
        <f t="shared" si="1"/>
        <v>0</v>
      </c>
      <c r="AO23">
        <f t="shared" si="1"/>
        <v>0</v>
      </c>
      <c r="AP23">
        <f t="shared" si="1"/>
        <v>0</v>
      </c>
      <c r="AQ23">
        <f t="shared" si="1"/>
        <v>0</v>
      </c>
      <c r="AR23">
        <f t="shared" si="1"/>
        <v>0</v>
      </c>
      <c r="AS23">
        <f t="shared" si="1"/>
        <v>0</v>
      </c>
      <c r="AT23">
        <f t="shared" si="1"/>
        <v>0</v>
      </c>
      <c r="AU23">
        <f t="shared" si="1"/>
        <v>0</v>
      </c>
      <c r="AV23">
        <f t="shared" si="1"/>
        <v>0</v>
      </c>
      <c r="AW23">
        <f t="shared" si="1"/>
        <v>0</v>
      </c>
      <c r="AX23">
        <f t="shared" si="1"/>
        <v>0</v>
      </c>
      <c r="AY23">
        <f t="shared" si="1"/>
        <v>0</v>
      </c>
    </row>
  </sheetData>
  <mergeCells count="11">
    <mergeCell ref="K3:L3"/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</mergeCells>
  <phoneticPr fontId="1" type="noConversion"/>
  <conditionalFormatting sqref="A5:M23">
    <cfRule type="containsText" dxfId="17" priority="1" stopIfTrue="1" operator="containsText" text=".">
      <formula>NOT(ISERROR(SEARCH(".",A5)))</formula>
    </cfRule>
    <cfRule type="notContainsText" dxfId="16" priority="2" stopIfTrue="1" operator="notContains" text=".">
      <formula>ISERROR(SEARCH(".",A5))</formula>
    </cfRule>
  </conditionalFormatting>
  <printOptions horizontalCentered="1"/>
  <pageMargins left="0.70866141732283472" right="0.19685039370078741" top="0.59055118110236227" bottom="0.35433070866141736" header="0.31496062992125984" footer="0.15748031496062992"/>
  <pageSetup paperSize="9" orientation="landscape" r:id="rId1"/>
  <rowBreaks count="1" manualBreakCount="1">
    <brk id="2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B7"/>
  </sheetPr>
  <dimension ref="A1:AY215"/>
  <sheetViews>
    <sheetView view="pageBreakPreview" zoomScale="175" zoomScaleNormal="100" zoomScaleSheetLayoutView="175" workbookViewId="0">
      <pane xSplit="4" ySplit="4" topLeftCell="E161" activePane="bottomRight" state="frozen"/>
      <selection activeCell="F32" sqref="F32"/>
      <selection pane="topRight" activeCell="F32" sqref="F32"/>
      <selection pane="bottomLeft" activeCell="F32" sqref="F32"/>
      <selection pane="bottomRight" activeCell="A166" sqref="A166"/>
    </sheetView>
  </sheetViews>
  <sheetFormatPr defaultRowHeight="17.399999999999999" x14ac:dyDescent="0.4"/>
  <cols>
    <col min="1" max="1" width="18.59765625" style="1" customWidth="1"/>
    <col min="2" max="2" width="19.59765625" style="1" customWidth="1"/>
    <col min="3" max="3" width="3.59765625" style="2" customWidth="1"/>
    <col min="4" max="4" width="6.59765625" style="3" customWidth="1"/>
    <col min="5" max="5" width="7.59765625" style="3" customWidth="1"/>
    <col min="6" max="6" width="8.59765625" style="3" customWidth="1"/>
    <col min="7" max="7" width="7.59765625" style="3" customWidth="1"/>
    <col min="8" max="8" width="8.59765625" style="3" customWidth="1"/>
    <col min="9" max="9" width="6.59765625" style="3" customWidth="1"/>
    <col min="10" max="10" width="8.59765625" style="3" customWidth="1"/>
    <col min="11" max="11" width="7.59765625" style="3" customWidth="1"/>
    <col min="12" max="12" width="10.59765625" style="3" customWidth="1"/>
    <col min="13" max="13" width="8.59765625" style="1" customWidth="1"/>
    <col min="14" max="51" width="9" hidden="1" customWidth="1"/>
  </cols>
  <sheetData>
    <row r="1" spans="1:51" ht="30" customHeight="1" x14ac:dyDescent="0.4">
      <c r="A1" s="37" t="s">
        <v>577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51" ht="21.9" customHeight="1" x14ac:dyDescent="0.4">
      <c r="A2" s="38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51" ht="21.9" customHeight="1" x14ac:dyDescent="0.4">
      <c r="A3" s="46" t="s">
        <v>578</v>
      </c>
      <c r="B3" s="46" t="s">
        <v>579</v>
      </c>
      <c r="C3" s="46" t="s">
        <v>4</v>
      </c>
      <c r="D3" s="46" t="s">
        <v>342</v>
      </c>
      <c r="E3" s="46" t="s">
        <v>477</v>
      </c>
      <c r="F3" s="46"/>
      <c r="G3" s="46" t="s">
        <v>478</v>
      </c>
      <c r="H3" s="46"/>
      <c r="I3" s="46" t="s">
        <v>479</v>
      </c>
      <c r="J3" s="46"/>
      <c r="K3" s="46" t="s">
        <v>480</v>
      </c>
      <c r="L3" s="46"/>
      <c r="M3" s="46" t="s">
        <v>580</v>
      </c>
    </row>
    <row r="4" spans="1:51" ht="21.9" customHeight="1" x14ac:dyDescent="0.4">
      <c r="A4" s="46"/>
      <c r="B4" s="46"/>
      <c r="C4" s="46"/>
      <c r="D4" s="46"/>
      <c r="E4" s="4" t="s">
        <v>348</v>
      </c>
      <c r="F4" s="4" t="s">
        <v>349</v>
      </c>
      <c r="G4" s="4" t="s">
        <v>348</v>
      </c>
      <c r="H4" s="4" t="s">
        <v>349</v>
      </c>
      <c r="I4" s="4" t="s">
        <v>348</v>
      </c>
      <c r="J4" s="4" t="s">
        <v>349</v>
      </c>
      <c r="K4" s="4" t="s">
        <v>348</v>
      </c>
      <c r="L4" s="4" t="s">
        <v>349</v>
      </c>
      <c r="M4" s="46"/>
      <c r="N4" t="s">
        <v>350</v>
      </c>
      <c r="O4" t="s">
        <v>351</v>
      </c>
      <c r="P4" t="s">
        <v>352</v>
      </c>
      <c r="Q4" t="s">
        <v>353</v>
      </c>
      <c r="R4" t="s">
        <v>361</v>
      </c>
      <c r="S4" t="s">
        <v>581</v>
      </c>
      <c r="T4" t="s">
        <v>582</v>
      </c>
      <c r="U4" t="s">
        <v>583</v>
      </c>
      <c r="V4" t="s">
        <v>584</v>
      </c>
      <c r="W4" t="s">
        <v>585</v>
      </c>
      <c r="X4" t="s">
        <v>586</v>
      </c>
      <c r="Y4" t="s">
        <v>587</v>
      </c>
      <c r="Z4" t="s">
        <v>588</v>
      </c>
      <c r="AA4" t="s">
        <v>589</v>
      </c>
      <c r="AB4" t="s">
        <v>590</v>
      </c>
      <c r="AC4" t="s">
        <v>591</v>
      </c>
      <c r="AD4" t="s">
        <v>592</v>
      </c>
      <c r="AE4" t="s">
        <v>593</v>
      </c>
      <c r="AF4" t="s">
        <v>594</v>
      </c>
      <c r="AG4" t="s">
        <v>595</v>
      </c>
      <c r="AH4" t="s">
        <v>596</v>
      </c>
      <c r="AI4" t="s">
        <v>597</v>
      </c>
      <c r="AJ4" t="s">
        <v>598</v>
      </c>
      <c r="AK4" t="s">
        <v>599</v>
      </c>
      <c r="AL4" t="s">
        <v>600</v>
      </c>
      <c r="AM4" t="s">
        <v>601</v>
      </c>
      <c r="AN4" t="s">
        <v>602</v>
      </c>
      <c r="AO4" t="s">
        <v>603</v>
      </c>
      <c r="AP4" t="s">
        <v>604</v>
      </c>
      <c r="AQ4" t="s">
        <v>605</v>
      </c>
      <c r="AR4" t="s">
        <v>606</v>
      </c>
      <c r="AS4" t="s">
        <v>607</v>
      </c>
      <c r="AT4" t="s">
        <v>608</v>
      </c>
      <c r="AU4" t="s">
        <v>609</v>
      </c>
      <c r="AV4" t="s">
        <v>610</v>
      </c>
      <c r="AW4" t="s">
        <v>354</v>
      </c>
      <c r="AX4" t="s">
        <v>355</v>
      </c>
      <c r="AY4" t="s">
        <v>15</v>
      </c>
    </row>
    <row r="5" spans="1:51" ht="21.9" customHeight="1" x14ac:dyDescent="0.4">
      <c r="A5" s="58" t="s">
        <v>611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60"/>
    </row>
    <row r="6" spans="1:51" ht="21.9" customHeight="1" x14ac:dyDescent="0.4">
      <c r="A6" s="34" t="s">
        <v>612</v>
      </c>
      <c r="B6" s="35"/>
      <c r="C6" s="36" t="s">
        <v>359</v>
      </c>
      <c r="D6" s="33"/>
      <c r="E6" s="33"/>
      <c r="F6" s="33">
        <f>SUMIF(Q7:Q17, "1", F7:F17)</f>
        <v>3868857</v>
      </c>
      <c r="G6" s="33"/>
      <c r="H6" s="33">
        <f>SUMIF(Q7:Q17, "1", H7:H17)</f>
        <v>6203586</v>
      </c>
      <c r="I6" s="33"/>
      <c r="J6" s="33">
        <f>SUMIF(Q7:Q17, "1", J7:J17)</f>
        <v>176459</v>
      </c>
      <c r="K6" s="33">
        <f t="shared" ref="K6:K37" si="0">E6+G6+I6</f>
        <v>0</v>
      </c>
      <c r="L6" s="33">
        <f t="shared" ref="L6:L37" si="1">F6+H6+J6</f>
        <v>10248902</v>
      </c>
      <c r="M6" s="35"/>
      <c r="O6" t="str">
        <f>""</f>
        <v/>
      </c>
    </row>
    <row r="7" spans="1:51" ht="21.9" customHeight="1" x14ac:dyDescent="0.4">
      <c r="A7" s="5" t="s">
        <v>613</v>
      </c>
      <c r="B7" s="5" t="s">
        <v>110</v>
      </c>
      <c r="C7" s="6" t="s">
        <v>111</v>
      </c>
      <c r="D7" s="8">
        <v>14.7</v>
      </c>
      <c r="E7" s="8">
        <f>ROUNDDOWN(단가대비표!N45, 0)</f>
        <v>101520</v>
      </c>
      <c r="F7" s="8">
        <f t="shared" ref="F7:F17" si="2">ROUNDDOWN(D7*E7, 0)</f>
        <v>1492344</v>
      </c>
      <c r="G7" s="8">
        <v>0</v>
      </c>
      <c r="H7" s="8">
        <f t="shared" ref="H7:H17" si="3">ROUNDDOWN(D7*G7, 0)</f>
        <v>0</v>
      </c>
      <c r="I7" s="8">
        <v>0</v>
      </c>
      <c r="J7" s="8">
        <f t="shared" ref="J7:J17" si="4">ROUNDDOWN(D7*I7, 0)</f>
        <v>0</v>
      </c>
      <c r="K7" s="8">
        <f t="shared" si="0"/>
        <v>101520</v>
      </c>
      <c r="L7" s="8">
        <f t="shared" si="1"/>
        <v>1492344</v>
      </c>
      <c r="M7" s="7"/>
      <c r="O7" t="str">
        <f>"01"</f>
        <v>01</v>
      </c>
      <c r="P7" s="10" t="s">
        <v>361</v>
      </c>
      <c r="Q7">
        <v>1</v>
      </c>
      <c r="R7">
        <f t="shared" ref="R7:R17" si="5">IF(P7="기계경비", J7, 0)</f>
        <v>0</v>
      </c>
      <c r="S7">
        <f t="shared" ref="S7:S17" si="6">IF(P7="운반비", L7, 0)</f>
        <v>0</v>
      </c>
      <c r="T7">
        <f t="shared" ref="T7:T17" si="7">IF(P7="작업부산물", F7, 0)</f>
        <v>0</v>
      </c>
      <c r="U7">
        <f t="shared" ref="U7:U17" si="8">IF(P7="관급", F7, 0)</f>
        <v>0</v>
      </c>
      <c r="V7">
        <f t="shared" ref="V7:V17" si="9">IF(P7="외주비", J7, 0)</f>
        <v>0</v>
      </c>
      <c r="W7">
        <f t="shared" ref="W7:W17" si="10">IF(P7="장비비", J7, 0)</f>
        <v>0</v>
      </c>
      <c r="X7">
        <f t="shared" ref="X7:X17" si="11">IF(P7="폐기물처리비", L7, 0)</f>
        <v>0</v>
      </c>
      <c r="Y7">
        <f t="shared" ref="Y7:Y17" si="12">IF(P7="가설비", J7, 0)</f>
        <v>0</v>
      </c>
      <c r="Z7">
        <f t="shared" ref="Z7:Z17" si="13">IF(P7="잡비제외분", F7, 0)</f>
        <v>0</v>
      </c>
      <c r="AA7">
        <f t="shared" ref="AA7:AA17" si="14">IF(P7="사급자재대", L7, 0)</f>
        <v>0</v>
      </c>
      <c r="AB7">
        <f t="shared" ref="AB7:AB17" si="15">IF(P7="관급자재대", L7, 0)</f>
        <v>0</v>
      </c>
      <c r="AC7">
        <f t="shared" ref="AC7:AC17" si="16">IF(P7="고철처리비", L7, 0)</f>
        <v>0</v>
      </c>
      <c r="AD7">
        <f t="shared" ref="AD7:AD17" si="17">IF(P7="사용자항목2", L7, 0)</f>
        <v>0</v>
      </c>
      <c r="AE7">
        <f t="shared" ref="AE7:AE17" si="18">IF(P7="안전관리비", L7, 0)</f>
        <v>0</v>
      </c>
      <c r="AF7">
        <f t="shared" ref="AF7:AF17" si="19">IF(P7="품질관리비", L7, 0)</f>
        <v>0</v>
      </c>
      <c r="AG7">
        <f t="shared" ref="AG7:AG17" si="20">IF(P7="사용자항목5", L7, 0)</f>
        <v>0</v>
      </c>
      <c r="AH7">
        <f t="shared" ref="AH7:AH17" si="21">IF(P7="사용자항목6", L7, 0)</f>
        <v>0</v>
      </c>
      <c r="AI7">
        <f t="shared" ref="AI7:AI17" si="22">IF(P7="사용자항목7", L7, 0)</f>
        <v>0</v>
      </c>
      <c r="AJ7">
        <f t="shared" ref="AJ7:AJ17" si="23">IF(P7="관급자 관급 자재대", L7, 0)</f>
        <v>0</v>
      </c>
      <c r="AK7">
        <f t="shared" ref="AK7:AK17" si="24">IF(P7="전기공사", L7, 0)</f>
        <v>0</v>
      </c>
      <c r="AL7">
        <f t="shared" ref="AL7:AL17" si="25">IF(P7="석면분담금", L7, 0)</f>
        <v>0</v>
      </c>
      <c r="AM7">
        <f t="shared" ref="AM7:AM17" si="26">IF(P7="임금채권부담금", L7, 0)</f>
        <v>0</v>
      </c>
      <c r="AN7">
        <f t="shared" ref="AN7:AN17" si="27">IF(P7="건설기계대여보증수수료", L7, 0)</f>
        <v>0</v>
      </c>
      <c r="AO7">
        <f t="shared" ref="AO7:AO17" si="28">IF(P7="사용자항목13", L7, 0)</f>
        <v>0</v>
      </c>
      <c r="AP7">
        <f t="shared" ref="AP7:AP17" si="29">IF(P7="사용자항목14", L7, 0)</f>
        <v>0</v>
      </c>
      <c r="AQ7">
        <f t="shared" ref="AQ7:AQ17" si="30">IF(P7="사용자항목15", L7, 0)</f>
        <v>0</v>
      </c>
      <c r="AR7">
        <f t="shared" ref="AR7:AR17" si="31">IF(P7="사용자항목16", L7, 0)</f>
        <v>0</v>
      </c>
      <c r="AS7">
        <f t="shared" ref="AS7:AS17" si="32">IF(P7="사용자항목17", L7, 0)</f>
        <v>0</v>
      </c>
      <c r="AT7">
        <f t="shared" ref="AT7:AT17" si="33">IF(P7="사용자항목18", L7, 0)</f>
        <v>0</v>
      </c>
      <c r="AU7">
        <f t="shared" ref="AU7:AU17" si="34">IF(P7="사용자항목19", L7, 0)</f>
        <v>0</v>
      </c>
    </row>
    <row r="8" spans="1:51" ht="21.9" customHeight="1" x14ac:dyDescent="0.4">
      <c r="A8" s="5" t="s">
        <v>614</v>
      </c>
      <c r="B8" s="5" t="s">
        <v>234</v>
      </c>
      <c r="C8" s="6" t="s">
        <v>235</v>
      </c>
      <c r="D8" s="8">
        <v>34.1</v>
      </c>
      <c r="E8" s="8">
        <f>ROUNDDOWN(단가대비표!N106, 0)</f>
        <v>770</v>
      </c>
      <c r="F8" s="8">
        <f t="shared" si="2"/>
        <v>26257</v>
      </c>
      <c r="G8" s="8">
        <v>0</v>
      </c>
      <c r="H8" s="8">
        <f t="shared" si="3"/>
        <v>0</v>
      </c>
      <c r="I8" s="8">
        <v>0</v>
      </c>
      <c r="J8" s="8">
        <f t="shared" si="4"/>
        <v>0</v>
      </c>
      <c r="K8" s="8">
        <f t="shared" si="0"/>
        <v>770</v>
      </c>
      <c r="L8" s="8">
        <f t="shared" si="1"/>
        <v>26257</v>
      </c>
      <c r="M8" s="7"/>
      <c r="O8" t="str">
        <f>"01"</f>
        <v>01</v>
      </c>
      <c r="P8" s="10" t="s">
        <v>361</v>
      </c>
      <c r="Q8">
        <v>1</v>
      </c>
      <c r="R8">
        <f t="shared" si="5"/>
        <v>0</v>
      </c>
      <c r="S8">
        <f t="shared" si="6"/>
        <v>0</v>
      </c>
      <c r="T8">
        <f t="shared" si="7"/>
        <v>0</v>
      </c>
      <c r="U8">
        <f t="shared" si="8"/>
        <v>0</v>
      </c>
      <c r="V8">
        <f t="shared" si="9"/>
        <v>0</v>
      </c>
      <c r="W8">
        <f t="shared" si="10"/>
        <v>0</v>
      </c>
      <c r="X8">
        <f t="shared" si="11"/>
        <v>0</v>
      </c>
      <c r="Y8">
        <f t="shared" si="12"/>
        <v>0</v>
      </c>
      <c r="Z8">
        <f t="shared" si="13"/>
        <v>0</v>
      </c>
      <c r="AA8">
        <f t="shared" si="14"/>
        <v>0</v>
      </c>
      <c r="AB8">
        <f t="shared" si="15"/>
        <v>0</v>
      </c>
      <c r="AC8">
        <f t="shared" si="16"/>
        <v>0</v>
      </c>
      <c r="AD8">
        <f t="shared" si="17"/>
        <v>0</v>
      </c>
      <c r="AE8">
        <f t="shared" si="18"/>
        <v>0</v>
      </c>
      <c r="AF8">
        <f t="shared" si="19"/>
        <v>0</v>
      </c>
      <c r="AG8">
        <f t="shared" si="20"/>
        <v>0</v>
      </c>
      <c r="AH8">
        <f t="shared" si="21"/>
        <v>0</v>
      </c>
      <c r="AI8">
        <f t="shared" si="22"/>
        <v>0</v>
      </c>
      <c r="AJ8">
        <f t="shared" si="23"/>
        <v>0</v>
      </c>
      <c r="AK8">
        <f t="shared" si="24"/>
        <v>0</v>
      </c>
      <c r="AL8">
        <f t="shared" si="25"/>
        <v>0</v>
      </c>
      <c r="AM8">
        <f t="shared" si="26"/>
        <v>0</v>
      </c>
      <c r="AN8">
        <f t="shared" si="27"/>
        <v>0</v>
      </c>
      <c r="AO8">
        <f t="shared" si="28"/>
        <v>0</v>
      </c>
      <c r="AP8">
        <f t="shared" si="29"/>
        <v>0</v>
      </c>
      <c r="AQ8">
        <f t="shared" si="30"/>
        <v>0</v>
      </c>
      <c r="AR8">
        <f t="shared" si="31"/>
        <v>0</v>
      </c>
      <c r="AS8">
        <f t="shared" si="32"/>
        <v>0</v>
      </c>
      <c r="AT8">
        <f t="shared" si="33"/>
        <v>0</v>
      </c>
      <c r="AU8">
        <f t="shared" si="34"/>
        <v>0</v>
      </c>
    </row>
    <row r="9" spans="1:51" ht="21.9" customHeight="1" x14ac:dyDescent="0.4">
      <c r="A9" s="5" t="s">
        <v>615</v>
      </c>
      <c r="B9" s="5" t="s">
        <v>190</v>
      </c>
      <c r="C9" s="6" t="s">
        <v>191</v>
      </c>
      <c r="D9" s="8">
        <v>30.45</v>
      </c>
      <c r="E9" s="8">
        <f>ROUNDDOWN(단가대비표!N82, 0)</f>
        <v>6490</v>
      </c>
      <c r="F9" s="8">
        <f t="shared" si="2"/>
        <v>197620</v>
      </c>
      <c r="G9" s="8">
        <v>0</v>
      </c>
      <c r="H9" s="8">
        <f t="shared" si="3"/>
        <v>0</v>
      </c>
      <c r="I9" s="8">
        <v>0</v>
      </c>
      <c r="J9" s="8">
        <f t="shared" si="4"/>
        <v>0</v>
      </c>
      <c r="K9" s="8">
        <f t="shared" si="0"/>
        <v>6490</v>
      </c>
      <c r="L9" s="8">
        <f t="shared" si="1"/>
        <v>197620</v>
      </c>
      <c r="M9" s="7"/>
      <c r="O9" t="str">
        <f>"01"</f>
        <v>01</v>
      </c>
      <c r="P9" s="10" t="s">
        <v>361</v>
      </c>
      <c r="Q9">
        <v>1</v>
      </c>
      <c r="R9">
        <f t="shared" si="5"/>
        <v>0</v>
      </c>
      <c r="S9">
        <f t="shared" si="6"/>
        <v>0</v>
      </c>
      <c r="T9">
        <f t="shared" si="7"/>
        <v>0</v>
      </c>
      <c r="U9">
        <f t="shared" si="8"/>
        <v>0</v>
      </c>
      <c r="V9">
        <f t="shared" si="9"/>
        <v>0</v>
      </c>
      <c r="W9">
        <f t="shared" si="10"/>
        <v>0</v>
      </c>
      <c r="X9">
        <f t="shared" si="11"/>
        <v>0</v>
      </c>
      <c r="Y9">
        <f t="shared" si="12"/>
        <v>0</v>
      </c>
      <c r="Z9">
        <f t="shared" si="13"/>
        <v>0</v>
      </c>
      <c r="AA9">
        <f t="shared" si="14"/>
        <v>0</v>
      </c>
      <c r="AB9">
        <f t="shared" si="15"/>
        <v>0</v>
      </c>
      <c r="AC9">
        <f t="shared" si="16"/>
        <v>0</v>
      </c>
      <c r="AD9">
        <f t="shared" si="17"/>
        <v>0</v>
      </c>
      <c r="AE9">
        <f t="shared" si="18"/>
        <v>0</v>
      </c>
      <c r="AF9">
        <f t="shared" si="19"/>
        <v>0</v>
      </c>
      <c r="AG9">
        <f t="shared" si="20"/>
        <v>0</v>
      </c>
      <c r="AH9">
        <f t="shared" si="21"/>
        <v>0</v>
      </c>
      <c r="AI9">
        <f t="shared" si="22"/>
        <v>0</v>
      </c>
      <c r="AJ9">
        <f t="shared" si="23"/>
        <v>0</v>
      </c>
      <c r="AK9">
        <f t="shared" si="24"/>
        <v>0</v>
      </c>
      <c r="AL9">
        <f t="shared" si="25"/>
        <v>0</v>
      </c>
      <c r="AM9">
        <f t="shared" si="26"/>
        <v>0</v>
      </c>
      <c r="AN9">
        <f t="shared" si="27"/>
        <v>0</v>
      </c>
      <c r="AO9">
        <f t="shared" si="28"/>
        <v>0</v>
      </c>
      <c r="AP9">
        <f t="shared" si="29"/>
        <v>0</v>
      </c>
      <c r="AQ9">
        <f t="shared" si="30"/>
        <v>0</v>
      </c>
      <c r="AR9">
        <f t="shared" si="31"/>
        <v>0</v>
      </c>
      <c r="AS9">
        <f t="shared" si="32"/>
        <v>0</v>
      </c>
      <c r="AT9">
        <f t="shared" si="33"/>
        <v>0</v>
      </c>
      <c r="AU9">
        <f t="shared" si="34"/>
        <v>0</v>
      </c>
    </row>
    <row r="10" spans="1:51" ht="21.9" customHeight="1" x14ac:dyDescent="0.4">
      <c r="A10" s="5" t="s">
        <v>616</v>
      </c>
      <c r="B10" s="5" t="s">
        <v>528</v>
      </c>
      <c r="C10" s="6" t="s">
        <v>462</v>
      </c>
      <c r="D10" s="8">
        <v>5.07</v>
      </c>
      <c r="E10" s="8">
        <f>ROUNDDOWN(일위대가목록!G5, 0)</f>
        <v>2317</v>
      </c>
      <c r="F10" s="8">
        <f t="shared" si="2"/>
        <v>11747</v>
      </c>
      <c r="G10" s="8">
        <f>ROUNDDOWN(일위대가목록!I5, 0)</f>
        <v>10680</v>
      </c>
      <c r="H10" s="8">
        <f t="shared" si="3"/>
        <v>54147</v>
      </c>
      <c r="I10" s="8">
        <f>ROUNDDOWN(일위대가목록!K5, 0)</f>
        <v>2766</v>
      </c>
      <c r="J10" s="8">
        <f t="shared" si="4"/>
        <v>14023</v>
      </c>
      <c r="K10" s="8">
        <f t="shared" si="0"/>
        <v>15763</v>
      </c>
      <c r="L10" s="8">
        <f t="shared" si="1"/>
        <v>79917</v>
      </c>
      <c r="M10" s="5" t="s">
        <v>526</v>
      </c>
      <c r="O10" t="str">
        <f>""</f>
        <v/>
      </c>
      <c r="P10" s="10" t="s">
        <v>361</v>
      </c>
      <c r="Q10">
        <v>1</v>
      </c>
      <c r="R10">
        <f t="shared" si="5"/>
        <v>14023</v>
      </c>
      <c r="S10">
        <f t="shared" si="6"/>
        <v>0</v>
      </c>
      <c r="T10">
        <f t="shared" si="7"/>
        <v>0</v>
      </c>
      <c r="U10">
        <f t="shared" si="8"/>
        <v>0</v>
      </c>
      <c r="V10">
        <f t="shared" si="9"/>
        <v>0</v>
      </c>
      <c r="W10">
        <f t="shared" si="10"/>
        <v>0</v>
      </c>
      <c r="X10">
        <f t="shared" si="11"/>
        <v>0</v>
      </c>
      <c r="Y10">
        <f t="shared" si="12"/>
        <v>0</v>
      </c>
      <c r="Z10">
        <f t="shared" si="13"/>
        <v>0</v>
      </c>
      <c r="AA10">
        <f t="shared" si="14"/>
        <v>0</v>
      </c>
      <c r="AB10">
        <f t="shared" si="15"/>
        <v>0</v>
      </c>
      <c r="AC10">
        <f t="shared" si="16"/>
        <v>0</v>
      </c>
      <c r="AD10">
        <f t="shared" si="17"/>
        <v>0</v>
      </c>
      <c r="AE10">
        <f t="shared" si="18"/>
        <v>0</v>
      </c>
      <c r="AF10">
        <f t="shared" si="19"/>
        <v>0</v>
      </c>
      <c r="AG10">
        <f t="shared" si="20"/>
        <v>0</v>
      </c>
      <c r="AH10">
        <f t="shared" si="21"/>
        <v>0</v>
      </c>
      <c r="AI10">
        <f t="shared" si="22"/>
        <v>0</v>
      </c>
      <c r="AJ10">
        <f t="shared" si="23"/>
        <v>0</v>
      </c>
      <c r="AK10">
        <f t="shared" si="24"/>
        <v>0</v>
      </c>
      <c r="AL10">
        <f t="shared" si="25"/>
        <v>0</v>
      </c>
      <c r="AM10">
        <f t="shared" si="26"/>
        <v>0</v>
      </c>
      <c r="AN10">
        <f t="shared" si="27"/>
        <v>0</v>
      </c>
      <c r="AO10">
        <f t="shared" si="28"/>
        <v>0</v>
      </c>
      <c r="AP10">
        <f t="shared" si="29"/>
        <v>0</v>
      </c>
      <c r="AQ10">
        <f t="shared" si="30"/>
        <v>0</v>
      </c>
      <c r="AR10">
        <f t="shared" si="31"/>
        <v>0</v>
      </c>
      <c r="AS10">
        <f t="shared" si="32"/>
        <v>0</v>
      </c>
      <c r="AT10">
        <f t="shared" si="33"/>
        <v>0</v>
      </c>
      <c r="AU10">
        <f t="shared" si="34"/>
        <v>0</v>
      </c>
      <c r="AY10" s="10" t="s">
        <v>529</v>
      </c>
    </row>
    <row r="11" spans="1:51" ht="21.9" customHeight="1" x14ac:dyDescent="0.4">
      <c r="A11" s="5" t="s">
        <v>617</v>
      </c>
      <c r="B11" s="5" t="s">
        <v>532</v>
      </c>
      <c r="C11" s="6" t="s">
        <v>533</v>
      </c>
      <c r="D11" s="8">
        <v>0.316</v>
      </c>
      <c r="E11" s="8">
        <f>ROUNDDOWN(일위대가목록!G6, 0)</f>
        <v>19578</v>
      </c>
      <c r="F11" s="8">
        <f t="shared" si="2"/>
        <v>6186</v>
      </c>
      <c r="G11" s="8">
        <f>ROUNDDOWN(일위대가목록!I6, 0)</f>
        <v>217540</v>
      </c>
      <c r="H11" s="8">
        <f t="shared" si="3"/>
        <v>68742</v>
      </c>
      <c r="I11" s="8">
        <f>ROUNDDOWN(일위대가목록!K6, 2)</f>
        <v>0</v>
      </c>
      <c r="J11" s="8">
        <f t="shared" si="4"/>
        <v>0</v>
      </c>
      <c r="K11" s="8">
        <f t="shared" si="0"/>
        <v>237118</v>
      </c>
      <c r="L11" s="8">
        <f t="shared" si="1"/>
        <v>74928</v>
      </c>
      <c r="M11" s="5" t="s">
        <v>530</v>
      </c>
      <c r="O11" t="str">
        <f>""</f>
        <v/>
      </c>
      <c r="P11" s="10" t="s">
        <v>361</v>
      </c>
      <c r="Q11">
        <v>1</v>
      </c>
      <c r="R11">
        <f t="shared" si="5"/>
        <v>0</v>
      </c>
      <c r="S11">
        <f t="shared" si="6"/>
        <v>0</v>
      </c>
      <c r="T11">
        <f t="shared" si="7"/>
        <v>0</v>
      </c>
      <c r="U11">
        <f t="shared" si="8"/>
        <v>0</v>
      </c>
      <c r="V11">
        <f t="shared" si="9"/>
        <v>0</v>
      </c>
      <c r="W11">
        <f t="shared" si="10"/>
        <v>0</v>
      </c>
      <c r="X11">
        <f t="shared" si="11"/>
        <v>0</v>
      </c>
      <c r="Y11">
        <f t="shared" si="12"/>
        <v>0</v>
      </c>
      <c r="Z11">
        <f t="shared" si="13"/>
        <v>0</v>
      </c>
      <c r="AA11">
        <f t="shared" si="14"/>
        <v>0</v>
      </c>
      <c r="AB11">
        <f t="shared" si="15"/>
        <v>0</v>
      </c>
      <c r="AC11">
        <f t="shared" si="16"/>
        <v>0</v>
      </c>
      <c r="AD11">
        <f t="shared" si="17"/>
        <v>0</v>
      </c>
      <c r="AE11">
        <f t="shared" si="18"/>
        <v>0</v>
      </c>
      <c r="AF11">
        <f t="shared" si="19"/>
        <v>0</v>
      </c>
      <c r="AG11">
        <f t="shared" si="20"/>
        <v>0</v>
      </c>
      <c r="AH11">
        <f t="shared" si="21"/>
        <v>0</v>
      </c>
      <c r="AI11">
        <f t="shared" si="22"/>
        <v>0</v>
      </c>
      <c r="AJ11">
        <f t="shared" si="23"/>
        <v>0</v>
      </c>
      <c r="AK11">
        <f t="shared" si="24"/>
        <v>0</v>
      </c>
      <c r="AL11">
        <f t="shared" si="25"/>
        <v>0</v>
      </c>
      <c r="AM11">
        <f t="shared" si="26"/>
        <v>0</v>
      </c>
      <c r="AN11">
        <f t="shared" si="27"/>
        <v>0</v>
      </c>
      <c r="AO11">
        <f t="shared" si="28"/>
        <v>0</v>
      </c>
      <c r="AP11">
        <f t="shared" si="29"/>
        <v>0</v>
      </c>
      <c r="AQ11">
        <f t="shared" si="30"/>
        <v>0</v>
      </c>
      <c r="AR11">
        <f t="shared" si="31"/>
        <v>0</v>
      </c>
      <c r="AS11">
        <f t="shared" si="32"/>
        <v>0</v>
      </c>
      <c r="AT11">
        <f t="shared" si="33"/>
        <v>0</v>
      </c>
      <c r="AU11">
        <f t="shared" si="34"/>
        <v>0</v>
      </c>
      <c r="AY11" s="10" t="s">
        <v>534</v>
      </c>
    </row>
    <row r="12" spans="1:51" ht="21.9" customHeight="1" x14ac:dyDescent="0.4">
      <c r="A12" s="5" t="s">
        <v>618</v>
      </c>
      <c r="B12" s="5" t="s">
        <v>537</v>
      </c>
      <c r="C12" s="6" t="s">
        <v>538</v>
      </c>
      <c r="D12" s="8">
        <v>0.316</v>
      </c>
      <c r="E12" s="8">
        <f>ROUNDDOWN(일위대가목록!G7, 0)</f>
        <v>21474</v>
      </c>
      <c r="F12" s="8">
        <f t="shared" si="2"/>
        <v>6785</v>
      </c>
      <c r="G12" s="8">
        <f>ROUNDDOWN(일위대가목록!I7, 0)</f>
        <v>573529</v>
      </c>
      <c r="H12" s="8">
        <f t="shared" si="3"/>
        <v>181235</v>
      </c>
      <c r="I12" s="8">
        <f>ROUNDDOWN(일위대가목록!K7, 2)</f>
        <v>0</v>
      </c>
      <c r="J12" s="8">
        <f t="shared" si="4"/>
        <v>0</v>
      </c>
      <c r="K12" s="8">
        <f t="shared" si="0"/>
        <v>595003</v>
      </c>
      <c r="L12" s="8">
        <f t="shared" si="1"/>
        <v>188020</v>
      </c>
      <c r="M12" s="5" t="s">
        <v>535</v>
      </c>
      <c r="O12" t="str">
        <f>""</f>
        <v/>
      </c>
      <c r="P12" s="10" t="s">
        <v>361</v>
      </c>
      <c r="Q12">
        <v>1</v>
      </c>
      <c r="R12">
        <f t="shared" si="5"/>
        <v>0</v>
      </c>
      <c r="S12">
        <f t="shared" si="6"/>
        <v>0</v>
      </c>
      <c r="T12">
        <f t="shared" si="7"/>
        <v>0</v>
      </c>
      <c r="U12">
        <f t="shared" si="8"/>
        <v>0</v>
      </c>
      <c r="V12">
        <f t="shared" si="9"/>
        <v>0</v>
      </c>
      <c r="W12">
        <f t="shared" si="10"/>
        <v>0</v>
      </c>
      <c r="X12">
        <f t="shared" si="11"/>
        <v>0</v>
      </c>
      <c r="Y12">
        <f t="shared" si="12"/>
        <v>0</v>
      </c>
      <c r="Z12">
        <f t="shared" si="13"/>
        <v>0</v>
      </c>
      <c r="AA12">
        <f t="shared" si="14"/>
        <v>0</v>
      </c>
      <c r="AB12">
        <f t="shared" si="15"/>
        <v>0</v>
      </c>
      <c r="AC12">
        <f t="shared" si="16"/>
        <v>0</v>
      </c>
      <c r="AD12">
        <f t="shared" si="17"/>
        <v>0</v>
      </c>
      <c r="AE12">
        <f t="shared" si="18"/>
        <v>0</v>
      </c>
      <c r="AF12">
        <f t="shared" si="19"/>
        <v>0</v>
      </c>
      <c r="AG12">
        <f t="shared" si="20"/>
        <v>0</v>
      </c>
      <c r="AH12">
        <f t="shared" si="21"/>
        <v>0</v>
      </c>
      <c r="AI12">
        <f t="shared" si="22"/>
        <v>0</v>
      </c>
      <c r="AJ12">
        <f t="shared" si="23"/>
        <v>0</v>
      </c>
      <c r="AK12">
        <f t="shared" si="24"/>
        <v>0</v>
      </c>
      <c r="AL12">
        <f t="shared" si="25"/>
        <v>0</v>
      </c>
      <c r="AM12">
        <f t="shared" si="26"/>
        <v>0</v>
      </c>
      <c r="AN12">
        <f t="shared" si="27"/>
        <v>0</v>
      </c>
      <c r="AO12">
        <f t="shared" si="28"/>
        <v>0</v>
      </c>
      <c r="AP12">
        <f t="shared" si="29"/>
        <v>0</v>
      </c>
      <c r="AQ12">
        <f t="shared" si="30"/>
        <v>0</v>
      </c>
      <c r="AR12">
        <f t="shared" si="31"/>
        <v>0</v>
      </c>
      <c r="AS12">
        <f t="shared" si="32"/>
        <v>0</v>
      </c>
      <c r="AT12">
        <f t="shared" si="33"/>
        <v>0</v>
      </c>
      <c r="AU12">
        <f t="shared" si="34"/>
        <v>0</v>
      </c>
      <c r="AY12" s="10" t="s">
        <v>539</v>
      </c>
    </row>
    <row r="13" spans="1:51" ht="21.9" customHeight="1" x14ac:dyDescent="0.4">
      <c r="A13" s="5" t="s">
        <v>619</v>
      </c>
      <c r="B13" s="5" t="s">
        <v>542</v>
      </c>
      <c r="C13" s="6" t="s">
        <v>543</v>
      </c>
      <c r="D13" s="8">
        <v>232</v>
      </c>
      <c r="E13" s="8">
        <f>ROUNDDOWN(일위대가목록!G8, 0)</f>
        <v>3190</v>
      </c>
      <c r="F13" s="8">
        <f t="shared" si="2"/>
        <v>740080</v>
      </c>
      <c r="G13" s="8">
        <f>ROUNDDOWN(일위대가목록!I8, 0)</f>
        <v>4059</v>
      </c>
      <c r="H13" s="8">
        <f t="shared" si="3"/>
        <v>941688</v>
      </c>
      <c r="I13" s="8">
        <f>ROUNDDOWN(일위대가목록!K8, 2)</f>
        <v>0</v>
      </c>
      <c r="J13" s="8">
        <f t="shared" si="4"/>
        <v>0</v>
      </c>
      <c r="K13" s="8">
        <f t="shared" si="0"/>
        <v>7249</v>
      </c>
      <c r="L13" s="8">
        <f t="shared" si="1"/>
        <v>1681768</v>
      </c>
      <c r="M13" s="5" t="s">
        <v>540</v>
      </c>
      <c r="O13" t="str">
        <f>""</f>
        <v/>
      </c>
      <c r="P13" s="10" t="s">
        <v>361</v>
      </c>
      <c r="Q13">
        <v>1</v>
      </c>
      <c r="R13">
        <f t="shared" si="5"/>
        <v>0</v>
      </c>
      <c r="S13">
        <f t="shared" si="6"/>
        <v>0</v>
      </c>
      <c r="T13">
        <f t="shared" si="7"/>
        <v>0</v>
      </c>
      <c r="U13">
        <f t="shared" si="8"/>
        <v>0</v>
      </c>
      <c r="V13">
        <f t="shared" si="9"/>
        <v>0</v>
      </c>
      <c r="W13">
        <f t="shared" si="10"/>
        <v>0</v>
      </c>
      <c r="X13">
        <f t="shared" si="11"/>
        <v>0</v>
      </c>
      <c r="Y13">
        <f t="shared" si="12"/>
        <v>0</v>
      </c>
      <c r="Z13">
        <f t="shared" si="13"/>
        <v>0</v>
      </c>
      <c r="AA13">
        <f t="shared" si="14"/>
        <v>0</v>
      </c>
      <c r="AB13">
        <f t="shared" si="15"/>
        <v>0</v>
      </c>
      <c r="AC13">
        <f t="shared" si="16"/>
        <v>0</v>
      </c>
      <c r="AD13">
        <f t="shared" si="17"/>
        <v>0</v>
      </c>
      <c r="AE13">
        <f t="shared" si="18"/>
        <v>0</v>
      </c>
      <c r="AF13">
        <f t="shared" si="19"/>
        <v>0</v>
      </c>
      <c r="AG13">
        <f t="shared" si="20"/>
        <v>0</v>
      </c>
      <c r="AH13">
        <f t="shared" si="21"/>
        <v>0</v>
      </c>
      <c r="AI13">
        <f t="shared" si="22"/>
        <v>0</v>
      </c>
      <c r="AJ13">
        <f t="shared" si="23"/>
        <v>0</v>
      </c>
      <c r="AK13">
        <f t="shared" si="24"/>
        <v>0</v>
      </c>
      <c r="AL13">
        <f t="shared" si="25"/>
        <v>0</v>
      </c>
      <c r="AM13">
        <f t="shared" si="26"/>
        <v>0</v>
      </c>
      <c r="AN13">
        <f t="shared" si="27"/>
        <v>0</v>
      </c>
      <c r="AO13">
        <f t="shared" si="28"/>
        <v>0</v>
      </c>
      <c r="AP13">
        <f t="shared" si="29"/>
        <v>0</v>
      </c>
      <c r="AQ13">
        <f t="shared" si="30"/>
        <v>0</v>
      </c>
      <c r="AR13">
        <f t="shared" si="31"/>
        <v>0</v>
      </c>
      <c r="AS13">
        <f t="shared" si="32"/>
        <v>0</v>
      </c>
      <c r="AT13">
        <f t="shared" si="33"/>
        <v>0</v>
      </c>
      <c r="AU13">
        <f t="shared" si="34"/>
        <v>0</v>
      </c>
    </row>
    <row r="14" spans="1:51" ht="21.9" customHeight="1" x14ac:dyDescent="0.4">
      <c r="A14" s="5" t="s">
        <v>619</v>
      </c>
      <c r="B14" s="5" t="s">
        <v>545</v>
      </c>
      <c r="C14" s="6" t="s">
        <v>543</v>
      </c>
      <c r="D14" s="8">
        <v>290</v>
      </c>
      <c r="E14" s="8">
        <f>ROUNDDOWN(일위대가목록!G9, 0)</f>
        <v>4144</v>
      </c>
      <c r="F14" s="8">
        <f t="shared" si="2"/>
        <v>1201760</v>
      </c>
      <c r="G14" s="8">
        <f>ROUNDDOWN(일위대가목록!I9, 0)</f>
        <v>7443</v>
      </c>
      <c r="H14" s="8">
        <f t="shared" si="3"/>
        <v>2158470</v>
      </c>
      <c r="I14" s="8">
        <f>ROUNDDOWN(일위대가목록!K9, 2)</f>
        <v>0</v>
      </c>
      <c r="J14" s="8">
        <f t="shared" si="4"/>
        <v>0</v>
      </c>
      <c r="K14" s="8">
        <f t="shared" si="0"/>
        <v>11587</v>
      </c>
      <c r="L14" s="8">
        <f t="shared" si="1"/>
        <v>3360230</v>
      </c>
      <c r="M14" s="5" t="s">
        <v>544</v>
      </c>
      <c r="O14" t="str">
        <f>""</f>
        <v/>
      </c>
      <c r="P14" s="10" t="s">
        <v>361</v>
      </c>
      <c r="Q14">
        <v>1</v>
      </c>
      <c r="R14">
        <f t="shared" si="5"/>
        <v>0</v>
      </c>
      <c r="S14">
        <f t="shared" si="6"/>
        <v>0</v>
      </c>
      <c r="T14">
        <f t="shared" si="7"/>
        <v>0</v>
      </c>
      <c r="U14">
        <f t="shared" si="8"/>
        <v>0</v>
      </c>
      <c r="V14">
        <f t="shared" si="9"/>
        <v>0</v>
      </c>
      <c r="W14">
        <f t="shared" si="10"/>
        <v>0</v>
      </c>
      <c r="X14">
        <f t="shared" si="11"/>
        <v>0</v>
      </c>
      <c r="Y14">
        <f t="shared" si="12"/>
        <v>0</v>
      </c>
      <c r="Z14">
        <f t="shared" si="13"/>
        <v>0</v>
      </c>
      <c r="AA14">
        <f t="shared" si="14"/>
        <v>0</v>
      </c>
      <c r="AB14">
        <f t="shared" si="15"/>
        <v>0</v>
      </c>
      <c r="AC14">
        <f t="shared" si="16"/>
        <v>0</v>
      </c>
      <c r="AD14">
        <f t="shared" si="17"/>
        <v>0</v>
      </c>
      <c r="AE14">
        <f t="shared" si="18"/>
        <v>0</v>
      </c>
      <c r="AF14">
        <f t="shared" si="19"/>
        <v>0</v>
      </c>
      <c r="AG14">
        <f t="shared" si="20"/>
        <v>0</v>
      </c>
      <c r="AH14">
        <f t="shared" si="21"/>
        <v>0</v>
      </c>
      <c r="AI14">
        <f t="shared" si="22"/>
        <v>0</v>
      </c>
      <c r="AJ14">
        <f t="shared" si="23"/>
        <v>0</v>
      </c>
      <c r="AK14">
        <f t="shared" si="24"/>
        <v>0</v>
      </c>
      <c r="AL14">
        <f t="shared" si="25"/>
        <v>0</v>
      </c>
      <c r="AM14">
        <f t="shared" si="26"/>
        <v>0</v>
      </c>
      <c r="AN14">
        <f t="shared" si="27"/>
        <v>0</v>
      </c>
      <c r="AO14">
        <f t="shared" si="28"/>
        <v>0</v>
      </c>
      <c r="AP14">
        <f t="shared" si="29"/>
        <v>0</v>
      </c>
      <c r="AQ14">
        <f t="shared" si="30"/>
        <v>0</v>
      </c>
      <c r="AR14">
        <f t="shared" si="31"/>
        <v>0</v>
      </c>
      <c r="AS14">
        <f t="shared" si="32"/>
        <v>0</v>
      </c>
      <c r="AT14">
        <f t="shared" si="33"/>
        <v>0</v>
      </c>
      <c r="AU14">
        <f t="shared" si="34"/>
        <v>0</v>
      </c>
    </row>
    <row r="15" spans="1:51" ht="21.9" customHeight="1" x14ac:dyDescent="0.4">
      <c r="A15" s="5" t="s">
        <v>620</v>
      </c>
      <c r="B15" s="5" t="s">
        <v>461</v>
      </c>
      <c r="C15" s="6" t="s">
        <v>462</v>
      </c>
      <c r="D15" s="8">
        <v>148.47999999999999</v>
      </c>
      <c r="E15" s="8">
        <f>ROUNDDOWN(단가산출서목록!G5, 0)</f>
        <v>391</v>
      </c>
      <c r="F15" s="8">
        <f t="shared" si="2"/>
        <v>58055</v>
      </c>
      <c r="G15" s="8">
        <f>ROUNDDOWN(단가산출서목록!I5, 0)</f>
        <v>9931</v>
      </c>
      <c r="H15" s="8">
        <f t="shared" si="3"/>
        <v>1474554</v>
      </c>
      <c r="I15" s="8">
        <f>ROUNDDOWN(단가산출서목록!K5, 0)</f>
        <v>409</v>
      </c>
      <c r="J15" s="8">
        <f t="shared" si="4"/>
        <v>60728</v>
      </c>
      <c r="K15" s="8">
        <f t="shared" si="0"/>
        <v>10731</v>
      </c>
      <c r="L15" s="8">
        <f t="shared" si="1"/>
        <v>1593337</v>
      </c>
      <c r="M15" s="5" t="s">
        <v>459</v>
      </c>
      <c r="O15" t="str">
        <f>""</f>
        <v/>
      </c>
      <c r="P15" s="10" t="s">
        <v>361</v>
      </c>
      <c r="Q15">
        <v>1</v>
      </c>
      <c r="R15">
        <f t="shared" si="5"/>
        <v>60728</v>
      </c>
      <c r="S15">
        <f t="shared" si="6"/>
        <v>0</v>
      </c>
      <c r="T15">
        <f t="shared" si="7"/>
        <v>0</v>
      </c>
      <c r="U15">
        <f t="shared" si="8"/>
        <v>0</v>
      </c>
      <c r="V15">
        <f t="shared" si="9"/>
        <v>0</v>
      </c>
      <c r="W15">
        <f t="shared" si="10"/>
        <v>0</v>
      </c>
      <c r="X15">
        <f t="shared" si="11"/>
        <v>0</v>
      </c>
      <c r="Y15">
        <f t="shared" si="12"/>
        <v>0</v>
      </c>
      <c r="Z15">
        <f t="shared" si="13"/>
        <v>0</v>
      </c>
      <c r="AA15">
        <f t="shared" si="14"/>
        <v>0</v>
      </c>
      <c r="AB15">
        <f t="shared" si="15"/>
        <v>0</v>
      </c>
      <c r="AC15">
        <f t="shared" si="16"/>
        <v>0</v>
      </c>
      <c r="AD15">
        <f t="shared" si="17"/>
        <v>0</v>
      </c>
      <c r="AE15">
        <f t="shared" si="18"/>
        <v>0</v>
      </c>
      <c r="AF15">
        <f t="shared" si="19"/>
        <v>0</v>
      </c>
      <c r="AG15">
        <f t="shared" si="20"/>
        <v>0</v>
      </c>
      <c r="AH15">
        <f t="shared" si="21"/>
        <v>0</v>
      </c>
      <c r="AI15">
        <f t="shared" si="22"/>
        <v>0</v>
      </c>
      <c r="AJ15">
        <f t="shared" si="23"/>
        <v>0</v>
      </c>
      <c r="AK15">
        <f t="shared" si="24"/>
        <v>0</v>
      </c>
      <c r="AL15">
        <f t="shared" si="25"/>
        <v>0</v>
      </c>
      <c r="AM15">
        <f t="shared" si="26"/>
        <v>0</v>
      </c>
      <c r="AN15">
        <f t="shared" si="27"/>
        <v>0</v>
      </c>
      <c r="AO15">
        <f t="shared" si="28"/>
        <v>0</v>
      </c>
      <c r="AP15">
        <f t="shared" si="29"/>
        <v>0</v>
      </c>
      <c r="AQ15">
        <f t="shared" si="30"/>
        <v>0</v>
      </c>
      <c r="AR15">
        <f t="shared" si="31"/>
        <v>0</v>
      </c>
      <c r="AS15">
        <f t="shared" si="32"/>
        <v>0</v>
      </c>
      <c r="AT15">
        <f t="shared" si="33"/>
        <v>0</v>
      </c>
      <c r="AU15">
        <f t="shared" si="34"/>
        <v>0</v>
      </c>
    </row>
    <row r="16" spans="1:51" ht="21.9" customHeight="1" x14ac:dyDescent="0.4">
      <c r="A16" s="5" t="s">
        <v>621</v>
      </c>
      <c r="B16" s="5" t="s">
        <v>465</v>
      </c>
      <c r="C16" s="6" t="s">
        <v>462</v>
      </c>
      <c r="D16" s="8">
        <v>14.01</v>
      </c>
      <c r="E16" s="8">
        <f>ROUNDDOWN(단가산출서목록!G6, 0)</f>
        <v>2245</v>
      </c>
      <c r="F16" s="8">
        <f t="shared" si="2"/>
        <v>31452</v>
      </c>
      <c r="G16" s="8">
        <f>ROUNDDOWN(단가산출서목록!I6, 0)</f>
        <v>3950</v>
      </c>
      <c r="H16" s="8">
        <f t="shared" si="3"/>
        <v>55339</v>
      </c>
      <c r="I16" s="8">
        <f>ROUNDDOWN(단가산출서목록!K6, 0)</f>
        <v>1490</v>
      </c>
      <c r="J16" s="8">
        <f t="shared" si="4"/>
        <v>20874</v>
      </c>
      <c r="K16" s="8">
        <f t="shared" si="0"/>
        <v>7685</v>
      </c>
      <c r="L16" s="8">
        <f t="shared" si="1"/>
        <v>107665</v>
      </c>
      <c r="M16" s="5" t="s">
        <v>463</v>
      </c>
      <c r="O16" t="str">
        <f>""</f>
        <v/>
      </c>
      <c r="P16" s="10" t="s">
        <v>361</v>
      </c>
      <c r="Q16">
        <v>1</v>
      </c>
      <c r="R16">
        <f t="shared" si="5"/>
        <v>20874</v>
      </c>
      <c r="S16">
        <f t="shared" si="6"/>
        <v>0</v>
      </c>
      <c r="T16">
        <f t="shared" si="7"/>
        <v>0</v>
      </c>
      <c r="U16">
        <f t="shared" si="8"/>
        <v>0</v>
      </c>
      <c r="V16">
        <f t="shared" si="9"/>
        <v>0</v>
      </c>
      <c r="W16">
        <f t="shared" si="10"/>
        <v>0</v>
      </c>
      <c r="X16">
        <f t="shared" si="11"/>
        <v>0</v>
      </c>
      <c r="Y16">
        <f t="shared" si="12"/>
        <v>0</v>
      </c>
      <c r="Z16">
        <f t="shared" si="13"/>
        <v>0</v>
      </c>
      <c r="AA16">
        <f t="shared" si="14"/>
        <v>0</v>
      </c>
      <c r="AB16">
        <f t="shared" si="15"/>
        <v>0</v>
      </c>
      <c r="AC16">
        <f t="shared" si="16"/>
        <v>0</v>
      </c>
      <c r="AD16">
        <f t="shared" si="17"/>
        <v>0</v>
      </c>
      <c r="AE16">
        <f t="shared" si="18"/>
        <v>0</v>
      </c>
      <c r="AF16">
        <f t="shared" si="19"/>
        <v>0</v>
      </c>
      <c r="AG16">
        <f t="shared" si="20"/>
        <v>0</v>
      </c>
      <c r="AH16">
        <f t="shared" si="21"/>
        <v>0</v>
      </c>
      <c r="AI16">
        <f t="shared" si="22"/>
        <v>0</v>
      </c>
      <c r="AJ16">
        <f t="shared" si="23"/>
        <v>0</v>
      </c>
      <c r="AK16">
        <f t="shared" si="24"/>
        <v>0</v>
      </c>
      <c r="AL16">
        <f t="shared" si="25"/>
        <v>0</v>
      </c>
      <c r="AM16">
        <f t="shared" si="26"/>
        <v>0</v>
      </c>
      <c r="AN16">
        <f t="shared" si="27"/>
        <v>0</v>
      </c>
      <c r="AO16">
        <f t="shared" si="28"/>
        <v>0</v>
      </c>
      <c r="AP16">
        <f t="shared" si="29"/>
        <v>0</v>
      </c>
      <c r="AQ16">
        <f t="shared" si="30"/>
        <v>0</v>
      </c>
      <c r="AR16">
        <f t="shared" si="31"/>
        <v>0</v>
      </c>
      <c r="AS16">
        <f t="shared" si="32"/>
        <v>0</v>
      </c>
      <c r="AT16">
        <f t="shared" si="33"/>
        <v>0</v>
      </c>
      <c r="AU16">
        <f t="shared" si="34"/>
        <v>0</v>
      </c>
      <c r="AY16" s="10" t="s">
        <v>466</v>
      </c>
    </row>
    <row r="17" spans="1:47" ht="21.9" customHeight="1" x14ac:dyDescent="0.4">
      <c r="A17" s="5" t="s">
        <v>622</v>
      </c>
      <c r="B17" s="5" t="s">
        <v>469</v>
      </c>
      <c r="C17" s="6" t="s">
        <v>462</v>
      </c>
      <c r="D17" s="8">
        <v>134.5</v>
      </c>
      <c r="E17" s="8">
        <f>ROUNDDOWN(단가산출서목록!G7, 0)</f>
        <v>718</v>
      </c>
      <c r="F17" s="8">
        <f t="shared" si="2"/>
        <v>96571</v>
      </c>
      <c r="G17" s="8">
        <f>ROUNDDOWN(단가산출서목록!I7, 0)</f>
        <v>9438</v>
      </c>
      <c r="H17" s="8">
        <f t="shared" si="3"/>
        <v>1269411</v>
      </c>
      <c r="I17" s="8">
        <f>ROUNDDOWN(단가산출서목록!K7, 0)</f>
        <v>601</v>
      </c>
      <c r="J17" s="8">
        <f t="shared" si="4"/>
        <v>80834</v>
      </c>
      <c r="K17" s="8">
        <f t="shared" si="0"/>
        <v>10757</v>
      </c>
      <c r="L17" s="8">
        <f t="shared" si="1"/>
        <v>1446816</v>
      </c>
      <c r="M17" s="5" t="s">
        <v>467</v>
      </c>
      <c r="O17" t="str">
        <f>""</f>
        <v/>
      </c>
      <c r="P17" s="10" t="s">
        <v>361</v>
      </c>
      <c r="Q17">
        <v>1</v>
      </c>
      <c r="R17">
        <f t="shared" si="5"/>
        <v>80834</v>
      </c>
      <c r="S17">
        <f t="shared" si="6"/>
        <v>0</v>
      </c>
      <c r="T17">
        <f t="shared" si="7"/>
        <v>0</v>
      </c>
      <c r="U17">
        <f t="shared" si="8"/>
        <v>0</v>
      </c>
      <c r="V17">
        <f t="shared" si="9"/>
        <v>0</v>
      </c>
      <c r="W17">
        <f t="shared" si="10"/>
        <v>0</v>
      </c>
      <c r="X17">
        <f t="shared" si="11"/>
        <v>0</v>
      </c>
      <c r="Y17">
        <f t="shared" si="12"/>
        <v>0</v>
      </c>
      <c r="Z17">
        <f t="shared" si="13"/>
        <v>0</v>
      </c>
      <c r="AA17">
        <f t="shared" si="14"/>
        <v>0</v>
      </c>
      <c r="AB17">
        <f t="shared" si="15"/>
        <v>0</v>
      </c>
      <c r="AC17">
        <f t="shared" si="16"/>
        <v>0</v>
      </c>
      <c r="AD17">
        <f t="shared" si="17"/>
        <v>0</v>
      </c>
      <c r="AE17">
        <f t="shared" si="18"/>
        <v>0</v>
      </c>
      <c r="AF17">
        <f t="shared" si="19"/>
        <v>0</v>
      </c>
      <c r="AG17">
        <f t="shared" si="20"/>
        <v>0</v>
      </c>
      <c r="AH17">
        <f t="shared" si="21"/>
        <v>0</v>
      </c>
      <c r="AI17">
        <f t="shared" si="22"/>
        <v>0</v>
      </c>
      <c r="AJ17">
        <f t="shared" si="23"/>
        <v>0</v>
      </c>
      <c r="AK17">
        <f t="shared" si="24"/>
        <v>0</v>
      </c>
      <c r="AL17">
        <f t="shared" si="25"/>
        <v>0</v>
      </c>
      <c r="AM17">
        <f t="shared" si="26"/>
        <v>0</v>
      </c>
      <c r="AN17">
        <f t="shared" si="27"/>
        <v>0</v>
      </c>
      <c r="AO17">
        <f t="shared" si="28"/>
        <v>0</v>
      </c>
      <c r="AP17">
        <f t="shared" si="29"/>
        <v>0</v>
      </c>
      <c r="AQ17">
        <f t="shared" si="30"/>
        <v>0</v>
      </c>
      <c r="AR17">
        <f t="shared" si="31"/>
        <v>0</v>
      </c>
      <c r="AS17">
        <f t="shared" si="32"/>
        <v>0</v>
      </c>
      <c r="AT17">
        <f t="shared" si="33"/>
        <v>0</v>
      </c>
      <c r="AU17">
        <f t="shared" si="34"/>
        <v>0</v>
      </c>
    </row>
    <row r="18" spans="1:47" ht="21.9" customHeight="1" x14ac:dyDescent="0.4">
      <c r="A18" s="34" t="s">
        <v>623</v>
      </c>
      <c r="B18" s="35"/>
      <c r="C18" s="36" t="s">
        <v>359</v>
      </c>
      <c r="D18" s="33"/>
      <c r="E18" s="33"/>
      <c r="F18" s="33">
        <f>SUMIF(Q19:Q77, "1", F19:F77)</f>
        <v>202977071</v>
      </c>
      <c r="G18" s="33"/>
      <c r="H18" s="33">
        <f>SUMIF(Q19:Q77, "1", H19:H77)</f>
        <v>111649387</v>
      </c>
      <c r="I18" s="33"/>
      <c r="J18" s="33">
        <f>SUMIF(Q19:Q77, "1", J19:J77)</f>
        <v>0</v>
      </c>
      <c r="K18" s="33">
        <f t="shared" si="0"/>
        <v>0</v>
      </c>
      <c r="L18" s="33">
        <f t="shared" si="1"/>
        <v>314626458</v>
      </c>
      <c r="M18" s="35"/>
      <c r="O18" t="str">
        <f>""</f>
        <v/>
      </c>
    </row>
    <row r="19" spans="1:47" ht="21.9" customHeight="1" x14ac:dyDescent="0.4">
      <c r="A19" s="5" t="s">
        <v>624</v>
      </c>
      <c r="B19" s="5" t="s">
        <v>77</v>
      </c>
      <c r="C19" s="6" t="s">
        <v>78</v>
      </c>
      <c r="D19" s="8">
        <v>1953</v>
      </c>
      <c r="E19" s="8">
        <f>ROUNDDOWN(단가대비표!N100, 0)</f>
        <v>5450</v>
      </c>
      <c r="F19" s="8">
        <f t="shared" ref="F19:F50" si="35">ROUNDDOWN(D19*E19, 0)</f>
        <v>10643850</v>
      </c>
      <c r="G19" s="8">
        <v>0</v>
      </c>
      <c r="H19" s="8">
        <f t="shared" ref="H19:H50" si="36">ROUNDDOWN(D19*G19, 0)</f>
        <v>0</v>
      </c>
      <c r="I19" s="8">
        <v>0</v>
      </c>
      <c r="J19" s="8">
        <f t="shared" ref="J19:J50" si="37">ROUNDDOWN(D19*I19, 0)</f>
        <v>0</v>
      </c>
      <c r="K19" s="8">
        <f t="shared" si="0"/>
        <v>5450</v>
      </c>
      <c r="L19" s="8">
        <f t="shared" si="1"/>
        <v>10643850</v>
      </c>
      <c r="M19" s="5" t="s">
        <v>83</v>
      </c>
      <c r="O19" t="str">
        <f t="shared" ref="O19:O50" si="38">"01"</f>
        <v>01</v>
      </c>
      <c r="P19" s="10" t="s">
        <v>361</v>
      </c>
      <c r="Q19">
        <v>1</v>
      </c>
      <c r="R19">
        <f t="shared" ref="R19:R50" si="39">IF(P19="기계경비", J19, 0)</f>
        <v>0</v>
      </c>
      <c r="S19">
        <f t="shared" ref="S19:S50" si="40">IF(P19="운반비", L19, 0)</f>
        <v>0</v>
      </c>
      <c r="T19">
        <f t="shared" ref="T19:T50" si="41">IF(P19="작업부산물", F19, 0)</f>
        <v>0</v>
      </c>
      <c r="U19">
        <f t="shared" ref="U19:U50" si="42">IF(P19="관급", F19, 0)</f>
        <v>0</v>
      </c>
      <c r="V19">
        <f t="shared" ref="V19:V50" si="43">IF(P19="외주비", J19, 0)</f>
        <v>0</v>
      </c>
      <c r="W19">
        <f t="shared" ref="W19:W50" si="44">IF(P19="장비비", J19, 0)</f>
        <v>0</v>
      </c>
      <c r="X19">
        <f t="shared" ref="X19:X50" si="45">IF(P19="폐기물처리비", L19, 0)</f>
        <v>0</v>
      </c>
      <c r="Y19">
        <f t="shared" ref="Y19:Y50" si="46">IF(P19="가설비", J19, 0)</f>
        <v>0</v>
      </c>
      <c r="Z19">
        <f t="shared" ref="Z19:Z50" si="47">IF(P19="잡비제외분", F19, 0)</f>
        <v>0</v>
      </c>
      <c r="AA19">
        <f t="shared" ref="AA19:AA50" si="48">IF(P19="사급자재대", L19, 0)</f>
        <v>0</v>
      </c>
      <c r="AB19">
        <f t="shared" ref="AB19:AB50" si="49">IF(P19="관급자재대", L19, 0)</f>
        <v>0</v>
      </c>
      <c r="AC19">
        <f t="shared" ref="AC19:AC50" si="50">IF(P19="고철처리비", L19, 0)</f>
        <v>0</v>
      </c>
      <c r="AD19">
        <f t="shared" ref="AD19:AD50" si="51">IF(P19="사용자항목2", L19, 0)</f>
        <v>0</v>
      </c>
      <c r="AE19">
        <f t="shared" ref="AE19:AE50" si="52">IF(P19="안전관리비", L19, 0)</f>
        <v>0</v>
      </c>
      <c r="AF19">
        <f t="shared" ref="AF19:AF50" si="53">IF(P19="품질관리비", L19, 0)</f>
        <v>0</v>
      </c>
      <c r="AG19">
        <f t="shared" ref="AG19:AG50" si="54">IF(P19="사용자항목5", L19, 0)</f>
        <v>0</v>
      </c>
      <c r="AH19">
        <f t="shared" ref="AH19:AH50" si="55">IF(P19="사용자항목6", L19, 0)</f>
        <v>0</v>
      </c>
      <c r="AI19">
        <f t="shared" ref="AI19:AI50" si="56">IF(P19="사용자항목7", L19, 0)</f>
        <v>0</v>
      </c>
      <c r="AJ19">
        <f t="shared" ref="AJ19:AJ50" si="57">IF(P19="관급자 관급 자재대", L19, 0)</f>
        <v>0</v>
      </c>
      <c r="AK19">
        <f t="shared" ref="AK19:AK50" si="58">IF(P19="전기공사", L19, 0)</f>
        <v>0</v>
      </c>
      <c r="AL19">
        <f t="shared" ref="AL19:AL50" si="59">IF(P19="석면분담금", L19, 0)</f>
        <v>0</v>
      </c>
      <c r="AM19">
        <f t="shared" ref="AM19:AM50" si="60">IF(P19="임금채권부담금", L19, 0)</f>
        <v>0</v>
      </c>
      <c r="AN19">
        <f t="shared" ref="AN19:AN50" si="61">IF(P19="건설기계대여보증수수료", L19, 0)</f>
        <v>0</v>
      </c>
      <c r="AO19">
        <f t="shared" ref="AO19:AO50" si="62">IF(P19="사용자항목13", L19, 0)</f>
        <v>0</v>
      </c>
      <c r="AP19">
        <f t="shared" ref="AP19:AP50" si="63">IF(P19="사용자항목14", L19, 0)</f>
        <v>0</v>
      </c>
      <c r="AQ19">
        <f t="shared" ref="AQ19:AQ50" si="64">IF(P19="사용자항목15", L19, 0)</f>
        <v>0</v>
      </c>
      <c r="AR19">
        <f t="shared" ref="AR19:AR50" si="65">IF(P19="사용자항목16", L19, 0)</f>
        <v>0</v>
      </c>
      <c r="AS19">
        <f t="shared" ref="AS19:AS50" si="66">IF(P19="사용자항목17", L19, 0)</f>
        <v>0</v>
      </c>
      <c r="AT19">
        <f t="shared" ref="AT19:AT50" si="67">IF(P19="사용자항목18", L19, 0)</f>
        <v>0</v>
      </c>
      <c r="AU19">
        <f t="shared" ref="AU19:AU50" si="68">IF(P19="사용자항목19", L19, 0)</f>
        <v>0</v>
      </c>
    </row>
    <row r="20" spans="1:47" ht="21.9" customHeight="1" x14ac:dyDescent="0.4">
      <c r="A20" s="5" t="s">
        <v>625</v>
      </c>
      <c r="B20" s="5" t="s">
        <v>77</v>
      </c>
      <c r="C20" s="6" t="s">
        <v>78</v>
      </c>
      <c r="D20" s="8">
        <v>639.45000000000005</v>
      </c>
      <c r="E20" s="8">
        <f>ROUNDDOWN(단가대비표!N61, 0)</f>
        <v>5450</v>
      </c>
      <c r="F20" s="8">
        <f t="shared" si="35"/>
        <v>3485002</v>
      </c>
      <c r="G20" s="8">
        <v>0</v>
      </c>
      <c r="H20" s="8">
        <f t="shared" si="36"/>
        <v>0</v>
      </c>
      <c r="I20" s="8">
        <v>0</v>
      </c>
      <c r="J20" s="8">
        <f t="shared" si="37"/>
        <v>0</v>
      </c>
      <c r="K20" s="8">
        <f t="shared" si="0"/>
        <v>5450</v>
      </c>
      <c r="L20" s="8">
        <f t="shared" si="1"/>
        <v>3485002</v>
      </c>
      <c r="M20" s="5" t="s">
        <v>83</v>
      </c>
      <c r="O20" t="str">
        <f t="shared" si="38"/>
        <v>01</v>
      </c>
      <c r="P20" s="10" t="s">
        <v>361</v>
      </c>
      <c r="Q20">
        <v>1</v>
      </c>
      <c r="R20">
        <f t="shared" si="39"/>
        <v>0</v>
      </c>
      <c r="S20">
        <f t="shared" si="40"/>
        <v>0</v>
      </c>
      <c r="T20">
        <f t="shared" si="41"/>
        <v>0</v>
      </c>
      <c r="U20">
        <f t="shared" si="42"/>
        <v>0</v>
      </c>
      <c r="V20">
        <f t="shared" si="43"/>
        <v>0</v>
      </c>
      <c r="W20">
        <f t="shared" si="44"/>
        <v>0</v>
      </c>
      <c r="X20">
        <f t="shared" si="45"/>
        <v>0</v>
      </c>
      <c r="Y20">
        <f t="shared" si="46"/>
        <v>0</v>
      </c>
      <c r="Z20">
        <f t="shared" si="47"/>
        <v>0</v>
      </c>
      <c r="AA20">
        <f t="shared" si="48"/>
        <v>0</v>
      </c>
      <c r="AB20">
        <f t="shared" si="49"/>
        <v>0</v>
      </c>
      <c r="AC20">
        <f t="shared" si="50"/>
        <v>0</v>
      </c>
      <c r="AD20">
        <f t="shared" si="51"/>
        <v>0</v>
      </c>
      <c r="AE20">
        <f t="shared" si="52"/>
        <v>0</v>
      </c>
      <c r="AF20">
        <f t="shared" si="53"/>
        <v>0</v>
      </c>
      <c r="AG20">
        <f t="shared" si="54"/>
        <v>0</v>
      </c>
      <c r="AH20">
        <f t="shared" si="55"/>
        <v>0</v>
      </c>
      <c r="AI20">
        <f t="shared" si="56"/>
        <v>0</v>
      </c>
      <c r="AJ20">
        <f t="shared" si="57"/>
        <v>0</v>
      </c>
      <c r="AK20">
        <f t="shared" si="58"/>
        <v>0</v>
      </c>
      <c r="AL20">
        <f t="shared" si="59"/>
        <v>0</v>
      </c>
      <c r="AM20">
        <f t="shared" si="60"/>
        <v>0</v>
      </c>
      <c r="AN20">
        <f t="shared" si="61"/>
        <v>0</v>
      </c>
      <c r="AO20">
        <f t="shared" si="62"/>
        <v>0</v>
      </c>
      <c r="AP20">
        <f t="shared" si="63"/>
        <v>0</v>
      </c>
      <c r="AQ20">
        <f t="shared" si="64"/>
        <v>0</v>
      </c>
      <c r="AR20">
        <f t="shared" si="65"/>
        <v>0</v>
      </c>
      <c r="AS20">
        <f t="shared" si="66"/>
        <v>0</v>
      </c>
      <c r="AT20">
        <f t="shared" si="67"/>
        <v>0</v>
      </c>
      <c r="AU20">
        <f t="shared" si="68"/>
        <v>0</v>
      </c>
    </row>
    <row r="21" spans="1:47" ht="21.9" customHeight="1" x14ac:dyDescent="0.4">
      <c r="A21" s="5" t="s">
        <v>626</v>
      </c>
      <c r="B21" s="5" t="s">
        <v>77</v>
      </c>
      <c r="C21" s="6" t="s">
        <v>78</v>
      </c>
      <c r="D21" s="8">
        <v>2050.65</v>
      </c>
      <c r="E21" s="8">
        <f>ROUNDDOWN(단가대비표!N101, 0)</f>
        <v>5450</v>
      </c>
      <c r="F21" s="8">
        <f t="shared" si="35"/>
        <v>11176042</v>
      </c>
      <c r="G21" s="8">
        <v>0</v>
      </c>
      <c r="H21" s="8">
        <f t="shared" si="36"/>
        <v>0</v>
      </c>
      <c r="I21" s="8">
        <v>0</v>
      </c>
      <c r="J21" s="8">
        <f t="shared" si="37"/>
        <v>0</v>
      </c>
      <c r="K21" s="8">
        <f t="shared" si="0"/>
        <v>5450</v>
      </c>
      <c r="L21" s="8">
        <f t="shared" si="1"/>
        <v>11176042</v>
      </c>
      <c r="M21" s="5" t="s">
        <v>83</v>
      </c>
      <c r="O21" t="str">
        <f t="shared" si="38"/>
        <v>01</v>
      </c>
      <c r="P21" s="10" t="s">
        <v>361</v>
      </c>
      <c r="Q21">
        <v>1</v>
      </c>
      <c r="R21">
        <f t="shared" si="39"/>
        <v>0</v>
      </c>
      <c r="S21">
        <f t="shared" si="40"/>
        <v>0</v>
      </c>
      <c r="T21">
        <f t="shared" si="41"/>
        <v>0</v>
      </c>
      <c r="U21">
        <f t="shared" si="42"/>
        <v>0</v>
      </c>
      <c r="V21">
        <f t="shared" si="43"/>
        <v>0</v>
      </c>
      <c r="W21">
        <f t="shared" si="44"/>
        <v>0</v>
      </c>
      <c r="X21">
        <f t="shared" si="45"/>
        <v>0</v>
      </c>
      <c r="Y21">
        <f t="shared" si="46"/>
        <v>0</v>
      </c>
      <c r="Z21">
        <f t="shared" si="47"/>
        <v>0</v>
      </c>
      <c r="AA21">
        <f t="shared" si="48"/>
        <v>0</v>
      </c>
      <c r="AB21">
        <f t="shared" si="49"/>
        <v>0</v>
      </c>
      <c r="AC21">
        <f t="shared" si="50"/>
        <v>0</v>
      </c>
      <c r="AD21">
        <f t="shared" si="51"/>
        <v>0</v>
      </c>
      <c r="AE21">
        <f t="shared" si="52"/>
        <v>0</v>
      </c>
      <c r="AF21">
        <f t="shared" si="53"/>
        <v>0</v>
      </c>
      <c r="AG21">
        <f t="shared" si="54"/>
        <v>0</v>
      </c>
      <c r="AH21">
        <f t="shared" si="55"/>
        <v>0</v>
      </c>
      <c r="AI21">
        <f t="shared" si="56"/>
        <v>0</v>
      </c>
      <c r="AJ21">
        <f t="shared" si="57"/>
        <v>0</v>
      </c>
      <c r="AK21">
        <f t="shared" si="58"/>
        <v>0</v>
      </c>
      <c r="AL21">
        <f t="shared" si="59"/>
        <v>0</v>
      </c>
      <c r="AM21">
        <f t="shared" si="60"/>
        <v>0</v>
      </c>
      <c r="AN21">
        <f t="shared" si="61"/>
        <v>0</v>
      </c>
      <c r="AO21">
        <f t="shared" si="62"/>
        <v>0</v>
      </c>
      <c r="AP21">
        <f t="shared" si="63"/>
        <v>0</v>
      </c>
      <c r="AQ21">
        <f t="shared" si="64"/>
        <v>0</v>
      </c>
      <c r="AR21">
        <f t="shared" si="65"/>
        <v>0</v>
      </c>
      <c r="AS21">
        <f t="shared" si="66"/>
        <v>0</v>
      </c>
      <c r="AT21">
        <f t="shared" si="67"/>
        <v>0</v>
      </c>
      <c r="AU21">
        <f t="shared" si="68"/>
        <v>0</v>
      </c>
    </row>
    <row r="22" spans="1:47" ht="21.9" customHeight="1" x14ac:dyDescent="0.4">
      <c r="A22" s="5" t="s">
        <v>627</v>
      </c>
      <c r="B22" s="5" t="s">
        <v>77</v>
      </c>
      <c r="C22" s="6" t="s">
        <v>78</v>
      </c>
      <c r="D22" s="8">
        <v>882</v>
      </c>
      <c r="E22" s="8">
        <f>ROUNDDOWN(단가대비표!N30, 0)</f>
        <v>5450</v>
      </c>
      <c r="F22" s="8">
        <f t="shared" si="35"/>
        <v>4806900</v>
      </c>
      <c r="G22" s="8">
        <v>0</v>
      </c>
      <c r="H22" s="8">
        <f t="shared" si="36"/>
        <v>0</v>
      </c>
      <c r="I22" s="8">
        <v>0</v>
      </c>
      <c r="J22" s="8">
        <f t="shared" si="37"/>
        <v>0</v>
      </c>
      <c r="K22" s="8">
        <f t="shared" si="0"/>
        <v>5450</v>
      </c>
      <c r="L22" s="8">
        <f t="shared" si="1"/>
        <v>4806900</v>
      </c>
      <c r="M22" s="5" t="s">
        <v>83</v>
      </c>
      <c r="O22" t="str">
        <f t="shared" si="38"/>
        <v>01</v>
      </c>
      <c r="P22" s="10" t="s">
        <v>361</v>
      </c>
      <c r="Q22">
        <v>1</v>
      </c>
      <c r="R22">
        <f t="shared" si="39"/>
        <v>0</v>
      </c>
      <c r="S22">
        <f t="shared" si="40"/>
        <v>0</v>
      </c>
      <c r="T22">
        <f t="shared" si="41"/>
        <v>0</v>
      </c>
      <c r="U22">
        <f t="shared" si="42"/>
        <v>0</v>
      </c>
      <c r="V22">
        <f t="shared" si="43"/>
        <v>0</v>
      </c>
      <c r="W22">
        <f t="shared" si="44"/>
        <v>0</v>
      </c>
      <c r="X22">
        <f t="shared" si="45"/>
        <v>0</v>
      </c>
      <c r="Y22">
        <f t="shared" si="46"/>
        <v>0</v>
      </c>
      <c r="Z22">
        <f t="shared" si="47"/>
        <v>0</v>
      </c>
      <c r="AA22">
        <f t="shared" si="48"/>
        <v>0</v>
      </c>
      <c r="AB22">
        <f t="shared" si="49"/>
        <v>0</v>
      </c>
      <c r="AC22">
        <f t="shared" si="50"/>
        <v>0</v>
      </c>
      <c r="AD22">
        <f t="shared" si="51"/>
        <v>0</v>
      </c>
      <c r="AE22">
        <f t="shared" si="52"/>
        <v>0</v>
      </c>
      <c r="AF22">
        <f t="shared" si="53"/>
        <v>0</v>
      </c>
      <c r="AG22">
        <f t="shared" si="54"/>
        <v>0</v>
      </c>
      <c r="AH22">
        <f t="shared" si="55"/>
        <v>0</v>
      </c>
      <c r="AI22">
        <f t="shared" si="56"/>
        <v>0</v>
      </c>
      <c r="AJ22">
        <f t="shared" si="57"/>
        <v>0</v>
      </c>
      <c r="AK22">
        <f t="shared" si="58"/>
        <v>0</v>
      </c>
      <c r="AL22">
        <f t="shared" si="59"/>
        <v>0</v>
      </c>
      <c r="AM22">
        <f t="shared" si="60"/>
        <v>0</v>
      </c>
      <c r="AN22">
        <f t="shared" si="61"/>
        <v>0</v>
      </c>
      <c r="AO22">
        <f t="shared" si="62"/>
        <v>0</v>
      </c>
      <c r="AP22">
        <f t="shared" si="63"/>
        <v>0</v>
      </c>
      <c r="AQ22">
        <f t="shared" si="64"/>
        <v>0</v>
      </c>
      <c r="AR22">
        <f t="shared" si="65"/>
        <v>0</v>
      </c>
      <c r="AS22">
        <f t="shared" si="66"/>
        <v>0</v>
      </c>
      <c r="AT22">
        <f t="shared" si="67"/>
        <v>0</v>
      </c>
      <c r="AU22">
        <f t="shared" si="68"/>
        <v>0</v>
      </c>
    </row>
    <row r="23" spans="1:47" ht="21.9" customHeight="1" x14ac:dyDescent="0.4">
      <c r="A23" s="5" t="s">
        <v>628</v>
      </c>
      <c r="B23" s="5" t="s">
        <v>77</v>
      </c>
      <c r="C23" s="6" t="s">
        <v>78</v>
      </c>
      <c r="D23" s="8">
        <v>294</v>
      </c>
      <c r="E23" s="8">
        <f>ROUNDDOWN(단가대비표!N31, 0)</f>
        <v>5450</v>
      </c>
      <c r="F23" s="8">
        <f t="shared" si="35"/>
        <v>1602300</v>
      </c>
      <c r="G23" s="8">
        <v>0</v>
      </c>
      <c r="H23" s="8">
        <f t="shared" si="36"/>
        <v>0</v>
      </c>
      <c r="I23" s="8">
        <v>0</v>
      </c>
      <c r="J23" s="8">
        <f t="shared" si="37"/>
        <v>0</v>
      </c>
      <c r="K23" s="8">
        <f t="shared" si="0"/>
        <v>5450</v>
      </c>
      <c r="L23" s="8">
        <f t="shared" si="1"/>
        <v>1602300</v>
      </c>
      <c r="M23" s="5" t="s">
        <v>83</v>
      </c>
      <c r="O23" t="str">
        <f t="shared" si="38"/>
        <v>01</v>
      </c>
      <c r="P23" s="10" t="s">
        <v>361</v>
      </c>
      <c r="Q23">
        <v>1</v>
      </c>
      <c r="R23">
        <f t="shared" si="39"/>
        <v>0</v>
      </c>
      <c r="S23">
        <f t="shared" si="40"/>
        <v>0</v>
      </c>
      <c r="T23">
        <f t="shared" si="41"/>
        <v>0</v>
      </c>
      <c r="U23">
        <f t="shared" si="42"/>
        <v>0</v>
      </c>
      <c r="V23">
        <f t="shared" si="43"/>
        <v>0</v>
      </c>
      <c r="W23">
        <f t="shared" si="44"/>
        <v>0</v>
      </c>
      <c r="X23">
        <f t="shared" si="45"/>
        <v>0</v>
      </c>
      <c r="Y23">
        <f t="shared" si="46"/>
        <v>0</v>
      </c>
      <c r="Z23">
        <f t="shared" si="47"/>
        <v>0</v>
      </c>
      <c r="AA23">
        <f t="shared" si="48"/>
        <v>0</v>
      </c>
      <c r="AB23">
        <f t="shared" si="49"/>
        <v>0</v>
      </c>
      <c r="AC23">
        <f t="shared" si="50"/>
        <v>0</v>
      </c>
      <c r="AD23">
        <f t="shared" si="51"/>
        <v>0</v>
      </c>
      <c r="AE23">
        <f t="shared" si="52"/>
        <v>0</v>
      </c>
      <c r="AF23">
        <f t="shared" si="53"/>
        <v>0</v>
      </c>
      <c r="AG23">
        <f t="shared" si="54"/>
        <v>0</v>
      </c>
      <c r="AH23">
        <f t="shared" si="55"/>
        <v>0</v>
      </c>
      <c r="AI23">
        <f t="shared" si="56"/>
        <v>0</v>
      </c>
      <c r="AJ23">
        <f t="shared" si="57"/>
        <v>0</v>
      </c>
      <c r="AK23">
        <f t="shared" si="58"/>
        <v>0</v>
      </c>
      <c r="AL23">
        <f t="shared" si="59"/>
        <v>0</v>
      </c>
      <c r="AM23">
        <f t="shared" si="60"/>
        <v>0</v>
      </c>
      <c r="AN23">
        <f t="shared" si="61"/>
        <v>0</v>
      </c>
      <c r="AO23">
        <f t="shared" si="62"/>
        <v>0</v>
      </c>
      <c r="AP23">
        <f t="shared" si="63"/>
        <v>0</v>
      </c>
      <c r="AQ23">
        <f t="shared" si="64"/>
        <v>0</v>
      </c>
      <c r="AR23">
        <f t="shared" si="65"/>
        <v>0</v>
      </c>
      <c r="AS23">
        <f t="shared" si="66"/>
        <v>0</v>
      </c>
      <c r="AT23">
        <f t="shared" si="67"/>
        <v>0</v>
      </c>
      <c r="AU23">
        <f t="shared" si="68"/>
        <v>0</v>
      </c>
    </row>
    <row r="24" spans="1:47" ht="21.9" customHeight="1" x14ac:dyDescent="0.4">
      <c r="A24" s="5" t="s">
        <v>629</v>
      </c>
      <c r="B24" s="5" t="s">
        <v>77</v>
      </c>
      <c r="C24" s="6" t="s">
        <v>78</v>
      </c>
      <c r="D24" s="8">
        <v>907.2</v>
      </c>
      <c r="E24" s="8">
        <f>ROUNDDOWN(단가대비표!N49, 0)</f>
        <v>5450</v>
      </c>
      <c r="F24" s="8">
        <f t="shared" si="35"/>
        <v>4944240</v>
      </c>
      <c r="G24" s="8">
        <v>0</v>
      </c>
      <c r="H24" s="8">
        <f t="shared" si="36"/>
        <v>0</v>
      </c>
      <c r="I24" s="8">
        <v>0</v>
      </c>
      <c r="J24" s="8">
        <f t="shared" si="37"/>
        <v>0</v>
      </c>
      <c r="K24" s="8">
        <f t="shared" si="0"/>
        <v>5450</v>
      </c>
      <c r="L24" s="8">
        <f t="shared" si="1"/>
        <v>4944240</v>
      </c>
      <c r="M24" s="5" t="s">
        <v>83</v>
      </c>
      <c r="O24" t="str">
        <f t="shared" si="38"/>
        <v>01</v>
      </c>
      <c r="P24" s="10" t="s">
        <v>361</v>
      </c>
      <c r="Q24">
        <v>1</v>
      </c>
      <c r="R24">
        <f t="shared" si="39"/>
        <v>0</v>
      </c>
      <c r="S24">
        <f t="shared" si="40"/>
        <v>0</v>
      </c>
      <c r="T24">
        <f t="shared" si="41"/>
        <v>0</v>
      </c>
      <c r="U24">
        <f t="shared" si="42"/>
        <v>0</v>
      </c>
      <c r="V24">
        <f t="shared" si="43"/>
        <v>0</v>
      </c>
      <c r="W24">
        <f t="shared" si="44"/>
        <v>0</v>
      </c>
      <c r="X24">
        <f t="shared" si="45"/>
        <v>0</v>
      </c>
      <c r="Y24">
        <f t="shared" si="46"/>
        <v>0</v>
      </c>
      <c r="Z24">
        <f t="shared" si="47"/>
        <v>0</v>
      </c>
      <c r="AA24">
        <f t="shared" si="48"/>
        <v>0</v>
      </c>
      <c r="AB24">
        <f t="shared" si="49"/>
        <v>0</v>
      </c>
      <c r="AC24">
        <f t="shared" si="50"/>
        <v>0</v>
      </c>
      <c r="AD24">
        <f t="shared" si="51"/>
        <v>0</v>
      </c>
      <c r="AE24">
        <f t="shared" si="52"/>
        <v>0</v>
      </c>
      <c r="AF24">
        <f t="shared" si="53"/>
        <v>0</v>
      </c>
      <c r="AG24">
        <f t="shared" si="54"/>
        <v>0</v>
      </c>
      <c r="AH24">
        <f t="shared" si="55"/>
        <v>0</v>
      </c>
      <c r="AI24">
        <f t="shared" si="56"/>
        <v>0</v>
      </c>
      <c r="AJ24">
        <f t="shared" si="57"/>
        <v>0</v>
      </c>
      <c r="AK24">
        <f t="shared" si="58"/>
        <v>0</v>
      </c>
      <c r="AL24">
        <f t="shared" si="59"/>
        <v>0</v>
      </c>
      <c r="AM24">
        <f t="shared" si="60"/>
        <v>0</v>
      </c>
      <c r="AN24">
        <f t="shared" si="61"/>
        <v>0</v>
      </c>
      <c r="AO24">
        <f t="shared" si="62"/>
        <v>0</v>
      </c>
      <c r="AP24">
        <f t="shared" si="63"/>
        <v>0</v>
      </c>
      <c r="AQ24">
        <f t="shared" si="64"/>
        <v>0</v>
      </c>
      <c r="AR24">
        <f t="shared" si="65"/>
        <v>0</v>
      </c>
      <c r="AS24">
        <f t="shared" si="66"/>
        <v>0</v>
      </c>
      <c r="AT24">
        <f t="shared" si="67"/>
        <v>0</v>
      </c>
      <c r="AU24">
        <f t="shared" si="68"/>
        <v>0</v>
      </c>
    </row>
    <row r="25" spans="1:47" ht="21.9" customHeight="1" x14ac:dyDescent="0.4">
      <c r="A25" s="5" t="s">
        <v>629</v>
      </c>
      <c r="B25" s="5" t="s">
        <v>37</v>
      </c>
      <c r="C25" s="6" t="s">
        <v>38</v>
      </c>
      <c r="D25" s="8">
        <v>1092</v>
      </c>
      <c r="E25" s="8">
        <f>ROUNDDOWN(단가대비표!N48, 0)</f>
        <v>2230</v>
      </c>
      <c r="F25" s="8">
        <f t="shared" si="35"/>
        <v>2435160</v>
      </c>
      <c r="G25" s="8">
        <v>0</v>
      </c>
      <c r="H25" s="8">
        <f t="shared" si="36"/>
        <v>0</v>
      </c>
      <c r="I25" s="8">
        <v>0</v>
      </c>
      <c r="J25" s="8">
        <f t="shared" si="37"/>
        <v>0</v>
      </c>
      <c r="K25" s="8">
        <f t="shared" si="0"/>
        <v>2230</v>
      </c>
      <c r="L25" s="8">
        <f t="shared" si="1"/>
        <v>2435160</v>
      </c>
      <c r="M25" s="7"/>
      <c r="O25" t="str">
        <f t="shared" si="38"/>
        <v>01</v>
      </c>
      <c r="P25" s="10" t="s">
        <v>361</v>
      </c>
      <c r="Q25">
        <v>1</v>
      </c>
      <c r="R25">
        <f t="shared" si="39"/>
        <v>0</v>
      </c>
      <c r="S25">
        <f t="shared" si="40"/>
        <v>0</v>
      </c>
      <c r="T25">
        <f t="shared" si="41"/>
        <v>0</v>
      </c>
      <c r="U25">
        <f t="shared" si="42"/>
        <v>0</v>
      </c>
      <c r="V25">
        <f t="shared" si="43"/>
        <v>0</v>
      </c>
      <c r="W25">
        <f t="shared" si="44"/>
        <v>0</v>
      </c>
      <c r="X25">
        <f t="shared" si="45"/>
        <v>0</v>
      </c>
      <c r="Y25">
        <f t="shared" si="46"/>
        <v>0</v>
      </c>
      <c r="Z25">
        <f t="shared" si="47"/>
        <v>0</v>
      </c>
      <c r="AA25">
        <f t="shared" si="48"/>
        <v>0</v>
      </c>
      <c r="AB25">
        <f t="shared" si="49"/>
        <v>0</v>
      </c>
      <c r="AC25">
        <f t="shared" si="50"/>
        <v>0</v>
      </c>
      <c r="AD25">
        <f t="shared" si="51"/>
        <v>0</v>
      </c>
      <c r="AE25">
        <f t="shared" si="52"/>
        <v>0</v>
      </c>
      <c r="AF25">
        <f t="shared" si="53"/>
        <v>0</v>
      </c>
      <c r="AG25">
        <f t="shared" si="54"/>
        <v>0</v>
      </c>
      <c r="AH25">
        <f t="shared" si="55"/>
        <v>0</v>
      </c>
      <c r="AI25">
        <f t="shared" si="56"/>
        <v>0</v>
      </c>
      <c r="AJ25">
        <f t="shared" si="57"/>
        <v>0</v>
      </c>
      <c r="AK25">
        <f t="shared" si="58"/>
        <v>0</v>
      </c>
      <c r="AL25">
        <f t="shared" si="59"/>
        <v>0</v>
      </c>
      <c r="AM25">
        <f t="shared" si="60"/>
        <v>0</v>
      </c>
      <c r="AN25">
        <f t="shared" si="61"/>
        <v>0</v>
      </c>
      <c r="AO25">
        <f t="shared" si="62"/>
        <v>0</v>
      </c>
      <c r="AP25">
        <f t="shared" si="63"/>
        <v>0</v>
      </c>
      <c r="AQ25">
        <f t="shared" si="64"/>
        <v>0</v>
      </c>
      <c r="AR25">
        <f t="shared" si="65"/>
        <v>0</v>
      </c>
      <c r="AS25">
        <f t="shared" si="66"/>
        <v>0</v>
      </c>
      <c r="AT25">
        <f t="shared" si="67"/>
        <v>0</v>
      </c>
      <c r="AU25">
        <f t="shared" si="68"/>
        <v>0</v>
      </c>
    </row>
    <row r="26" spans="1:47" ht="21.9" customHeight="1" x14ac:dyDescent="0.4">
      <c r="A26" s="5" t="s">
        <v>630</v>
      </c>
      <c r="B26" s="5" t="s">
        <v>37</v>
      </c>
      <c r="C26" s="6" t="s">
        <v>38</v>
      </c>
      <c r="D26" s="8">
        <v>10584</v>
      </c>
      <c r="E26" s="8">
        <f>ROUNDDOWN(단가대비표!N67, 0)</f>
        <v>2230</v>
      </c>
      <c r="F26" s="8">
        <f t="shared" si="35"/>
        <v>23602320</v>
      </c>
      <c r="G26" s="8">
        <v>0</v>
      </c>
      <c r="H26" s="8">
        <f t="shared" si="36"/>
        <v>0</v>
      </c>
      <c r="I26" s="8">
        <v>0</v>
      </c>
      <c r="J26" s="8">
        <f t="shared" si="37"/>
        <v>0</v>
      </c>
      <c r="K26" s="8">
        <f t="shared" si="0"/>
        <v>2230</v>
      </c>
      <c r="L26" s="8">
        <f t="shared" si="1"/>
        <v>23602320</v>
      </c>
      <c r="M26" s="7"/>
      <c r="O26" t="str">
        <f t="shared" si="38"/>
        <v>01</v>
      </c>
      <c r="P26" s="10" t="s">
        <v>361</v>
      </c>
      <c r="Q26">
        <v>1</v>
      </c>
      <c r="R26">
        <f t="shared" si="39"/>
        <v>0</v>
      </c>
      <c r="S26">
        <f t="shared" si="40"/>
        <v>0</v>
      </c>
      <c r="T26">
        <f t="shared" si="41"/>
        <v>0</v>
      </c>
      <c r="U26">
        <f t="shared" si="42"/>
        <v>0</v>
      </c>
      <c r="V26">
        <f t="shared" si="43"/>
        <v>0</v>
      </c>
      <c r="W26">
        <f t="shared" si="44"/>
        <v>0</v>
      </c>
      <c r="X26">
        <f t="shared" si="45"/>
        <v>0</v>
      </c>
      <c r="Y26">
        <f t="shared" si="46"/>
        <v>0</v>
      </c>
      <c r="Z26">
        <f t="shared" si="47"/>
        <v>0</v>
      </c>
      <c r="AA26">
        <f t="shared" si="48"/>
        <v>0</v>
      </c>
      <c r="AB26">
        <f t="shared" si="49"/>
        <v>0</v>
      </c>
      <c r="AC26">
        <f t="shared" si="50"/>
        <v>0</v>
      </c>
      <c r="AD26">
        <f t="shared" si="51"/>
        <v>0</v>
      </c>
      <c r="AE26">
        <f t="shared" si="52"/>
        <v>0</v>
      </c>
      <c r="AF26">
        <f t="shared" si="53"/>
        <v>0</v>
      </c>
      <c r="AG26">
        <f t="shared" si="54"/>
        <v>0</v>
      </c>
      <c r="AH26">
        <f t="shared" si="55"/>
        <v>0</v>
      </c>
      <c r="AI26">
        <f t="shared" si="56"/>
        <v>0</v>
      </c>
      <c r="AJ26">
        <f t="shared" si="57"/>
        <v>0</v>
      </c>
      <c r="AK26">
        <f t="shared" si="58"/>
        <v>0</v>
      </c>
      <c r="AL26">
        <f t="shared" si="59"/>
        <v>0</v>
      </c>
      <c r="AM26">
        <f t="shared" si="60"/>
        <v>0</v>
      </c>
      <c r="AN26">
        <f t="shared" si="61"/>
        <v>0</v>
      </c>
      <c r="AO26">
        <f t="shared" si="62"/>
        <v>0</v>
      </c>
      <c r="AP26">
        <f t="shared" si="63"/>
        <v>0</v>
      </c>
      <c r="AQ26">
        <f t="shared" si="64"/>
        <v>0</v>
      </c>
      <c r="AR26">
        <f t="shared" si="65"/>
        <v>0</v>
      </c>
      <c r="AS26">
        <f t="shared" si="66"/>
        <v>0</v>
      </c>
      <c r="AT26">
        <f t="shared" si="67"/>
        <v>0</v>
      </c>
      <c r="AU26">
        <f t="shared" si="68"/>
        <v>0</v>
      </c>
    </row>
    <row r="27" spans="1:47" ht="21.9" customHeight="1" x14ac:dyDescent="0.4">
      <c r="A27" s="5" t="s">
        <v>630</v>
      </c>
      <c r="B27" s="5" t="s">
        <v>37</v>
      </c>
      <c r="C27" s="6" t="s">
        <v>38</v>
      </c>
      <c r="D27" s="8">
        <v>2058</v>
      </c>
      <c r="E27" s="8">
        <f>ROUNDDOWN(단가대비표!N67, 0)</f>
        <v>2230</v>
      </c>
      <c r="F27" s="8">
        <f t="shared" si="35"/>
        <v>4589340</v>
      </c>
      <c r="G27" s="8">
        <v>0</v>
      </c>
      <c r="H27" s="8">
        <f t="shared" si="36"/>
        <v>0</v>
      </c>
      <c r="I27" s="8">
        <v>0</v>
      </c>
      <c r="J27" s="8">
        <f t="shared" si="37"/>
        <v>0</v>
      </c>
      <c r="K27" s="8">
        <f t="shared" si="0"/>
        <v>2230</v>
      </c>
      <c r="L27" s="8">
        <f t="shared" si="1"/>
        <v>4589340</v>
      </c>
      <c r="M27" s="7"/>
      <c r="O27" t="str">
        <f t="shared" si="38"/>
        <v>01</v>
      </c>
      <c r="P27" s="10" t="s">
        <v>361</v>
      </c>
      <c r="Q27">
        <v>1</v>
      </c>
      <c r="R27">
        <f t="shared" si="39"/>
        <v>0</v>
      </c>
      <c r="S27">
        <f t="shared" si="40"/>
        <v>0</v>
      </c>
      <c r="T27">
        <f t="shared" si="41"/>
        <v>0</v>
      </c>
      <c r="U27">
        <f t="shared" si="42"/>
        <v>0</v>
      </c>
      <c r="V27">
        <f t="shared" si="43"/>
        <v>0</v>
      </c>
      <c r="W27">
        <f t="shared" si="44"/>
        <v>0</v>
      </c>
      <c r="X27">
        <f t="shared" si="45"/>
        <v>0</v>
      </c>
      <c r="Y27">
        <f t="shared" si="46"/>
        <v>0</v>
      </c>
      <c r="Z27">
        <f t="shared" si="47"/>
        <v>0</v>
      </c>
      <c r="AA27">
        <f t="shared" si="48"/>
        <v>0</v>
      </c>
      <c r="AB27">
        <f t="shared" si="49"/>
        <v>0</v>
      </c>
      <c r="AC27">
        <f t="shared" si="50"/>
        <v>0</v>
      </c>
      <c r="AD27">
        <f t="shared" si="51"/>
        <v>0</v>
      </c>
      <c r="AE27">
        <f t="shared" si="52"/>
        <v>0</v>
      </c>
      <c r="AF27">
        <f t="shared" si="53"/>
        <v>0</v>
      </c>
      <c r="AG27">
        <f t="shared" si="54"/>
        <v>0</v>
      </c>
      <c r="AH27">
        <f t="shared" si="55"/>
        <v>0</v>
      </c>
      <c r="AI27">
        <f t="shared" si="56"/>
        <v>0</v>
      </c>
      <c r="AJ27">
        <f t="shared" si="57"/>
        <v>0</v>
      </c>
      <c r="AK27">
        <f t="shared" si="58"/>
        <v>0</v>
      </c>
      <c r="AL27">
        <f t="shared" si="59"/>
        <v>0</v>
      </c>
      <c r="AM27">
        <f t="shared" si="60"/>
        <v>0</v>
      </c>
      <c r="AN27">
        <f t="shared" si="61"/>
        <v>0</v>
      </c>
      <c r="AO27">
        <f t="shared" si="62"/>
        <v>0</v>
      </c>
      <c r="AP27">
        <f t="shared" si="63"/>
        <v>0</v>
      </c>
      <c r="AQ27">
        <f t="shared" si="64"/>
        <v>0</v>
      </c>
      <c r="AR27">
        <f t="shared" si="65"/>
        <v>0</v>
      </c>
      <c r="AS27">
        <f t="shared" si="66"/>
        <v>0</v>
      </c>
      <c r="AT27">
        <f t="shared" si="67"/>
        <v>0</v>
      </c>
      <c r="AU27">
        <f t="shared" si="68"/>
        <v>0</v>
      </c>
    </row>
    <row r="28" spans="1:47" ht="21.9" customHeight="1" x14ac:dyDescent="0.4">
      <c r="A28" s="5" t="s">
        <v>631</v>
      </c>
      <c r="B28" s="5" t="s">
        <v>37</v>
      </c>
      <c r="C28" s="6" t="s">
        <v>38</v>
      </c>
      <c r="D28" s="8">
        <v>117.6</v>
      </c>
      <c r="E28" s="8">
        <f>ROUNDDOWN(단가대비표!N68, 0)</f>
        <v>2230</v>
      </c>
      <c r="F28" s="8">
        <f t="shared" si="35"/>
        <v>262248</v>
      </c>
      <c r="G28" s="8">
        <v>0</v>
      </c>
      <c r="H28" s="8">
        <f t="shared" si="36"/>
        <v>0</v>
      </c>
      <c r="I28" s="8">
        <v>0</v>
      </c>
      <c r="J28" s="8">
        <f t="shared" si="37"/>
        <v>0</v>
      </c>
      <c r="K28" s="8">
        <f t="shared" si="0"/>
        <v>2230</v>
      </c>
      <c r="L28" s="8">
        <f t="shared" si="1"/>
        <v>262248</v>
      </c>
      <c r="M28" s="7"/>
      <c r="O28" t="str">
        <f t="shared" si="38"/>
        <v>01</v>
      </c>
      <c r="P28" s="10" t="s">
        <v>361</v>
      </c>
      <c r="Q28">
        <v>1</v>
      </c>
      <c r="R28">
        <f t="shared" si="39"/>
        <v>0</v>
      </c>
      <c r="S28">
        <f t="shared" si="40"/>
        <v>0</v>
      </c>
      <c r="T28">
        <f t="shared" si="41"/>
        <v>0</v>
      </c>
      <c r="U28">
        <f t="shared" si="42"/>
        <v>0</v>
      </c>
      <c r="V28">
        <f t="shared" si="43"/>
        <v>0</v>
      </c>
      <c r="W28">
        <f t="shared" si="44"/>
        <v>0</v>
      </c>
      <c r="X28">
        <f t="shared" si="45"/>
        <v>0</v>
      </c>
      <c r="Y28">
        <f t="shared" si="46"/>
        <v>0</v>
      </c>
      <c r="Z28">
        <f t="shared" si="47"/>
        <v>0</v>
      </c>
      <c r="AA28">
        <f t="shared" si="48"/>
        <v>0</v>
      </c>
      <c r="AB28">
        <f t="shared" si="49"/>
        <v>0</v>
      </c>
      <c r="AC28">
        <f t="shared" si="50"/>
        <v>0</v>
      </c>
      <c r="AD28">
        <f t="shared" si="51"/>
        <v>0</v>
      </c>
      <c r="AE28">
        <f t="shared" si="52"/>
        <v>0</v>
      </c>
      <c r="AF28">
        <f t="shared" si="53"/>
        <v>0</v>
      </c>
      <c r="AG28">
        <f t="shared" si="54"/>
        <v>0</v>
      </c>
      <c r="AH28">
        <f t="shared" si="55"/>
        <v>0</v>
      </c>
      <c r="AI28">
        <f t="shared" si="56"/>
        <v>0</v>
      </c>
      <c r="AJ28">
        <f t="shared" si="57"/>
        <v>0</v>
      </c>
      <c r="AK28">
        <f t="shared" si="58"/>
        <v>0</v>
      </c>
      <c r="AL28">
        <f t="shared" si="59"/>
        <v>0</v>
      </c>
      <c r="AM28">
        <f t="shared" si="60"/>
        <v>0</v>
      </c>
      <c r="AN28">
        <f t="shared" si="61"/>
        <v>0</v>
      </c>
      <c r="AO28">
        <f t="shared" si="62"/>
        <v>0</v>
      </c>
      <c r="AP28">
        <f t="shared" si="63"/>
        <v>0</v>
      </c>
      <c r="AQ28">
        <f t="shared" si="64"/>
        <v>0</v>
      </c>
      <c r="AR28">
        <f t="shared" si="65"/>
        <v>0</v>
      </c>
      <c r="AS28">
        <f t="shared" si="66"/>
        <v>0</v>
      </c>
      <c r="AT28">
        <f t="shared" si="67"/>
        <v>0</v>
      </c>
      <c r="AU28">
        <f t="shared" si="68"/>
        <v>0</v>
      </c>
    </row>
    <row r="29" spans="1:47" ht="21.9" customHeight="1" x14ac:dyDescent="0.4">
      <c r="A29" s="5" t="s">
        <v>632</v>
      </c>
      <c r="B29" s="5" t="s">
        <v>37</v>
      </c>
      <c r="C29" s="6" t="s">
        <v>38</v>
      </c>
      <c r="D29" s="8">
        <v>619.5</v>
      </c>
      <c r="E29" s="8">
        <f>ROUNDDOWN(단가대비표!N15, 0)</f>
        <v>2230</v>
      </c>
      <c r="F29" s="8">
        <f t="shared" si="35"/>
        <v>1381485</v>
      </c>
      <c r="G29" s="8">
        <v>0</v>
      </c>
      <c r="H29" s="8">
        <f t="shared" si="36"/>
        <v>0</v>
      </c>
      <c r="I29" s="8">
        <v>0</v>
      </c>
      <c r="J29" s="8">
        <f t="shared" si="37"/>
        <v>0</v>
      </c>
      <c r="K29" s="8">
        <f t="shared" si="0"/>
        <v>2230</v>
      </c>
      <c r="L29" s="8">
        <f t="shared" si="1"/>
        <v>1381485</v>
      </c>
      <c r="M29" s="7"/>
      <c r="O29" t="str">
        <f t="shared" si="38"/>
        <v>01</v>
      </c>
      <c r="P29" s="10" t="s">
        <v>361</v>
      </c>
      <c r="Q29">
        <v>1</v>
      </c>
      <c r="R29">
        <f t="shared" si="39"/>
        <v>0</v>
      </c>
      <c r="S29">
        <f t="shared" si="40"/>
        <v>0</v>
      </c>
      <c r="T29">
        <f t="shared" si="41"/>
        <v>0</v>
      </c>
      <c r="U29">
        <f t="shared" si="42"/>
        <v>0</v>
      </c>
      <c r="V29">
        <f t="shared" si="43"/>
        <v>0</v>
      </c>
      <c r="W29">
        <f t="shared" si="44"/>
        <v>0</v>
      </c>
      <c r="X29">
        <f t="shared" si="45"/>
        <v>0</v>
      </c>
      <c r="Y29">
        <f t="shared" si="46"/>
        <v>0</v>
      </c>
      <c r="Z29">
        <f t="shared" si="47"/>
        <v>0</v>
      </c>
      <c r="AA29">
        <f t="shared" si="48"/>
        <v>0</v>
      </c>
      <c r="AB29">
        <f t="shared" si="49"/>
        <v>0</v>
      </c>
      <c r="AC29">
        <f t="shared" si="50"/>
        <v>0</v>
      </c>
      <c r="AD29">
        <f t="shared" si="51"/>
        <v>0</v>
      </c>
      <c r="AE29">
        <f t="shared" si="52"/>
        <v>0</v>
      </c>
      <c r="AF29">
        <f t="shared" si="53"/>
        <v>0</v>
      </c>
      <c r="AG29">
        <f t="shared" si="54"/>
        <v>0</v>
      </c>
      <c r="AH29">
        <f t="shared" si="55"/>
        <v>0</v>
      </c>
      <c r="AI29">
        <f t="shared" si="56"/>
        <v>0</v>
      </c>
      <c r="AJ29">
        <f t="shared" si="57"/>
        <v>0</v>
      </c>
      <c r="AK29">
        <f t="shared" si="58"/>
        <v>0</v>
      </c>
      <c r="AL29">
        <f t="shared" si="59"/>
        <v>0</v>
      </c>
      <c r="AM29">
        <f t="shared" si="60"/>
        <v>0</v>
      </c>
      <c r="AN29">
        <f t="shared" si="61"/>
        <v>0</v>
      </c>
      <c r="AO29">
        <f t="shared" si="62"/>
        <v>0</v>
      </c>
      <c r="AP29">
        <f t="shared" si="63"/>
        <v>0</v>
      </c>
      <c r="AQ29">
        <f t="shared" si="64"/>
        <v>0</v>
      </c>
      <c r="AR29">
        <f t="shared" si="65"/>
        <v>0</v>
      </c>
      <c r="AS29">
        <f t="shared" si="66"/>
        <v>0</v>
      </c>
      <c r="AT29">
        <f t="shared" si="67"/>
        <v>0</v>
      </c>
      <c r="AU29">
        <f t="shared" si="68"/>
        <v>0</v>
      </c>
    </row>
    <row r="30" spans="1:47" ht="21.9" customHeight="1" x14ac:dyDescent="0.4">
      <c r="A30" s="5" t="s">
        <v>633</v>
      </c>
      <c r="B30" s="5" t="s">
        <v>37</v>
      </c>
      <c r="C30" s="6" t="s">
        <v>38</v>
      </c>
      <c r="D30" s="8">
        <v>123.9</v>
      </c>
      <c r="E30" s="8">
        <f>ROUNDDOWN(단가대비표!N14, 0)</f>
        <v>2230</v>
      </c>
      <c r="F30" s="8">
        <f t="shared" si="35"/>
        <v>276297</v>
      </c>
      <c r="G30" s="8">
        <v>0</v>
      </c>
      <c r="H30" s="8">
        <f t="shared" si="36"/>
        <v>0</v>
      </c>
      <c r="I30" s="8">
        <v>0</v>
      </c>
      <c r="J30" s="8">
        <f t="shared" si="37"/>
        <v>0</v>
      </c>
      <c r="K30" s="8">
        <f t="shared" si="0"/>
        <v>2230</v>
      </c>
      <c r="L30" s="8">
        <f t="shared" si="1"/>
        <v>276297</v>
      </c>
      <c r="M30" s="7"/>
      <c r="O30" t="str">
        <f t="shared" si="38"/>
        <v>01</v>
      </c>
      <c r="P30" s="10" t="s">
        <v>361</v>
      </c>
      <c r="Q30">
        <v>1</v>
      </c>
      <c r="R30">
        <f t="shared" si="39"/>
        <v>0</v>
      </c>
      <c r="S30">
        <f t="shared" si="40"/>
        <v>0</v>
      </c>
      <c r="T30">
        <f t="shared" si="41"/>
        <v>0</v>
      </c>
      <c r="U30">
        <f t="shared" si="42"/>
        <v>0</v>
      </c>
      <c r="V30">
        <f t="shared" si="43"/>
        <v>0</v>
      </c>
      <c r="W30">
        <f t="shared" si="44"/>
        <v>0</v>
      </c>
      <c r="X30">
        <f t="shared" si="45"/>
        <v>0</v>
      </c>
      <c r="Y30">
        <f t="shared" si="46"/>
        <v>0</v>
      </c>
      <c r="Z30">
        <f t="shared" si="47"/>
        <v>0</v>
      </c>
      <c r="AA30">
        <f t="shared" si="48"/>
        <v>0</v>
      </c>
      <c r="AB30">
        <f t="shared" si="49"/>
        <v>0</v>
      </c>
      <c r="AC30">
        <f t="shared" si="50"/>
        <v>0</v>
      </c>
      <c r="AD30">
        <f t="shared" si="51"/>
        <v>0</v>
      </c>
      <c r="AE30">
        <f t="shared" si="52"/>
        <v>0</v>
      </c>
      <c r="AF30">
        <f t="shared" si="53"/>
        <v>0</v>
      </c>
      <c r="AG30">
        <f t="shared" si="54"/>
        <v>0</v>
      </c>
      <c r="AH30">
        <f t="shared" si="55"/>
        <v>0</v>
      </c>
      <c r="AI30">
        <f t="shared" si="56"/>
        <v>0</v>
      </c>
      <c r="AJ30">
        <f t="shared" si="57"/>
        <v>0</v>
      </c>
      <c r="AK30">
        <f t="shared" si="58"/>
        <v>0</v>
      </c>
      <c r="AL30">
        <f t="shared" si="59"/>
        <v>0</v>
      </c>
      <c r="AM30">
        <f t="shared" si="60"/>
        <v>0</v>
      </c>
      <c r="AN30">
        <f t="shared" si="61"/>
        <v>0</v>
      </c>
      <c r="AO30">
        <f t="shared" si="62"/>
        <v>0</v>
      </c>
      <c r="AP30">
        <f t="shared" si="63"/>
        <v>0</v>
      </c>
      <c r="AQ30">
        <f t="shared" si="64"/>
        <v>0</v>
      </c>
      <c r="AR30">
        <f t="shared" si="65"/>
        <v>0</v>
      </c>
      <c r="AS30">
        <f t="shared" si="66"/>
        <v>0</v>
      </c>
      <c r="AT30">
        <f t="shared" si="67"/>
        <v>0</v>
      </c>
      <c r="AU30">
        <f t="shared" si="68"/>
        <v>0</v>
      </c>
    </row>
    <row r="31" spans="1:47" ht="21.9" customHeight="1" x14ac:dyDescent="0.4">
      <c r="A31" s="5" t="s">
        <v>634</v>
      </c>
      <c r="B31" s="5" t="s">
        <v>45</v>
      </c>
      <c r="C31" s="6" t="s">
        <v>38</v>
      </c>
      <c r="D31" s="8">
        <v>840</v>
      </c>
      <c r="E31" s="8">
        <f>ROUNDDOWN(단가대비표!N105, 0)</f>
        <v>1600</v>
      </c>
      <c r="F31" s="8">
        <f t="shared" si="35"/>
        <v>1344000</v>
      </c>
      <c r="G31" s="8">
        <v>0</v>
      </c>
      <c r="H31" s="8">
        <f t="shared" si="36"/>
        <v>0</v>
      </c>
      <c r="I31" s="8">
        <v>0</v>
      </c>
      <c r="J31" s="8">
        <f t="shared" si="37"/>
        <v>0</v>
      </c>
      <c r="K31" s="8">
        <f t="shared" si="0"/>
        <v>1600</v>
      </c>
      <c r="L31" s="8">
        <f t="shared" si="1"/>
        <v>1344000</v>
      </c>
      <c r="M31" s="7"/>
      <c r="O31" t="str">
        <f t="shared" si="38"/>
        <v>01</v>
      </c>
      <c r="P31" s="10" t="s">
        <v>361</v>
      </c>
      <c r="Q31">
        <v>1</v>
      </c>
      <c r="R31">
        <f t="shared" si="39"/>
        <v>0</v>
      </c>
      <c r="S31">
        <f t="shared" si="40"/>
        <v>0</v>
      </c>
      <c r="T31">
        <f t="shared" si="41"/>
        <v>0</v>
      </c>
      <c r="U31">
        <f t="shared" si="42"/>
        <v>0</v>
      </c>
      <c r="V31">
        <f t="shared" si="43"/>
        <v>0</v>
      </c>
      <c r="W31">
        <f t="shared" si="44"/>
        <v>0</v>
      </c>
      <c r="X31">
        <f t="shared" si="45"/>
        <v>0</v>
      </c>
      <c r="Y31">
        <f t="shared" si="46"/>
        <v>0</v>
      </c>
      <c r="Z31">
        <f t="shared" si="47"/>
        <v>0</v>
      </c>
      <c r="AA31">
        <f t="shared" si="48"/>
        <v>0</v>
      </c>
      <c r="AB31">
        <f t="shared" si="49"/>
        <v>0</v>
      </c>
      <c r="AC31">
        <f t="shared" si="50"/>
        <v>0</v>
      </c>
      <c r="AD31">
        <f t="shared" si="51"/>
        <v>0</v>
      </c>
      <c r="AE31">
        <f t="shared" si="52"/>
        <v>0</v>
      </c>
      <c r="AF31">
        <f t="shared" si="53"/>
        <v>0</v>
      </c>
      <c r="AG31">
        <f t="shared" si="54"/>
        <v>0</v>
      </c>
      <c r="AH31">
        <f t="shared" si="55"/>
        <v>0</v>
      </c>
      <c r="AI31">
        <f t="shared" si="56"/>
        <v>0</v>
      </c>
      <c r="AJ31">
        <f t="shared" si="57"/>
        <v>0</v>
      </c>
      <c r="AK31">
        <f t="shared" si="58"/>
        <v>0</v>
      </c>
      <c r="AL31">
        <f t="shared" si="59"/>
        <v>0</v>
      </c>
      <c r="AM31">
        <f t="shared" si="60"/>
        <v>0</v>
      </c>
      <c r="AN31">
        <f t="shared" si="61"/>
        <v>0</v>
      </c>
      <c r="AO31">
        <f t="shared" si="62"/>
        <v>0</v>
      </c>
      <c r="AP31">
        <f t="shared" si="63"/>
        <v>0</v>
      </c>
      <c r="AQ31">
        <f t="shared" si="64"/>
        <v>0</v>
      </c>
      <c r="AR31">
        <f t="shared" si="65"/>
        <v>0</v>
      </c>
      <c r="AS31">
        <f t="shared" si="66"/>
        <v>0</v>
      </c>
      <c r="AT31">
        <f t="shared" si="67"/>
        <v>0</v>
      </c>
      <c r="AU31">
        <f t="shared" si="68"/>
        <v>0</v>
      </c>
    </row>
    <row r="32" spans="1:47" ht="21.9" customHeight="1" x14ac:dyDescent="0.4">
      <c r="A32" s="5" t="s">
        <v>635</v>
      </c>
      <c r="B32" s="5" t="s">
        <v>45</v>
      </c>
      <c r="C32" s="6" t="s">
        <v>38</v>
      </c>
      <c r="D32" s="8">
        <v>1050</v>
      </c>
      <c r="E32" s="8">
        <f>ROUNDDOWN(단가대비표!N47, 0)</f>
        <v>1600</v>
      </c>
      <c r="F32" s="8">
        <f t="shared" si="35"/>
        <v>1680000</v>
      </c>
      <c r="G32" s="8">
        <v>0</v>
      </c>
      <c r="H32" s="8">
        <f t="shared" si="36"/>
        <v>0</v>
      </c>
      <c r="I32" s="8">
        <v>0</v>
      </c>
      <c r="J32" s="8">
        <f t="shared" si="37"/>
        <v>0</v>
      </c>
      <c r="K32" s="8">
        <f t="shared" si="0"/>
        <v>1600</v>
      </c>
      <c r="L32" s="8">
        <f t="shared" si="1"/>
        <v>1680000</v>
      </c>
      <c r="M32" s="7"/>
      <c r="O32" t="str">
        <f t="shared" si="38"/>
        <v>01</v>
      </c>
      <c r="P32" s="10" t="s">
        <v>361</v>
      </c>
      <c r="Q32">
        <v>1</v>
      </c>
      <c r="R32">
        <f t="shared" si="39"/>
        <v>0</v>
      </c>
      <c r="S32">
        <f t="shared" si="40"/>
        <v>0</v>
      </c>
      <c r="T32">
        <f t="shared" si="41"/>
        <v>0</v>
      </c>
      <c r="U32">
        <f t="shared" si="42"/>
        <v>0</v>
      </c>
      <c r="V32">
        <f t="shared" si="43"/>
        <v>0</v>
      </c>
      <c r="W32">
        <f t="shared" si="44"/>
        <v>0</v>
      </c>
      <c r="X32">
        <f t="shared" si="45"/>
        <v>0</v>
      </c>
      <c r="Y32">
        <f t="shared" si="46"/>
        <v>0</v>
      </c>
      <c r="Z32">
        <f t="shared" si="47"/>
        <v>0</v>
      </c>
      <c r="AA32">
        <f t="shared" si="48"/>
        <v>0</v>
      </c>
      <c r="AB32">
        <f t="shared" si="49"/>
        <v>0</v>
      </c>
      <c r="AC32">
        <f t="shared" si="50"/>
        <v>0</v>
      </c>
      <c r="AD32">
        <f t="shared" si="51"/>
        <v>0</v>
      </c>
      <c r="AE32">
        <f t="shared" si="52"/>
        <v>0</v>
      </c>
      <c r="AF32">
        <f t="shared" si="53"/>
        <v>0</v>
      </c>
      <c r="AG32">
        <f t="shared" si="54"/>
        <v>0</v>
      </c>
      <c r="AH32">
        <f t="shared" si="55"/>
        <v>0</v>
      </c>
      <c r="AI32">
        <f t="shared" si="56"/>
        <v>0</v>
      </c>
      <c r="AJ32">
        <f t="shared" si="57"/>
        <v>0</v>
      </c>
      <c r="AK32">
        <f t="shared" si="58"/>
        <v>0</v>
      </c>
      <c r="AL32">
        <f t="shared" si="59"/>
        <v>0</v>
      </c>
      <c r="AM32">
        <f t="shared" si="60"/>
        <v>0</v>
      </c>
      <c r="AN32">
        <f t="shared" si="61"/>
        <v>0</v>
      </c>
      <c r="AO32">
        <f t="shared" si="62"/>
        <v>0</v>
      </c>
      <c r="AP32">
        <f t="shared" si="63"/>
        <v>0</v>
      </c>
      <c r="AQ32">
        <f t="shared" si="64"/>
        <v>0</v>
      </c>
      <c r="AR32">
        <f t="shared" si="65"/>
        <v>0</v>
      </c>
      <c r="AS32">
        <f t="shared" si="66"/>
        <v>0</v>
      </c>
      <c r="AT32">
        <f t="shared" si="67"/>
        <v>0</v>
      </c>
      <c r="AU32">
        <f t="shared" si="68"/>
        <v>0</v>
      </c>
    </row>
    <row r="33" spans="1:47" ht="21.9" customHeight="1" x14ac:dyDescent="0.4">
      <c r="A33" s="5" t="s">
        <v>636</v>
      </c>
      <c r="B33" s="5" t="s">
        <v>45</v>
      </c>
      <c r="C33" s="6" t="s">
        <v>38</v>
      </c>
      <c r="D33" s="8">
        <v>7087.5</v>
      </c>
      <c r="E33" s="8">
        <f>ROUNDDOWN(단가대비표!N17, 0)</f>
        <v>1600</v>
      </c>
      <c r="F33" s="8">
        <f t="shared" si="35"/>
        <v>11340000</v>
      </c>
      <c r="G33" s="8">
        <v>0</v>
      </c>
      <c r="H33" s="8">
        <f t="shared" si="36"/>
        <v>0</v>
      </c>
      <c r="I33" s="8">
        <v>0</v>
      </c>
      <c r="J33" s="8">
        <f t="shared" si="37"/>
        <v>0</v>
      </c>
      <c r="K33" s="8">
        <f t="shared" si="0"/>
        <v>1600</v>
      </c>
      <c r="L33" s="8">
        <f t="shared" si="1"/>
        <v>11340000</v>
      </c>
      <c r="M33" s="7"/>
      <c r="O33" t="str">
        <f t="shared" si="38"/>
        <v>01</v>
      </c>
      <c r="P33" s="10" t="s">
        <v>361</v>
      </c>
      <c r="Q33">
        <v>1</v>
      </c>
      <c r="R33">
        <f t="shared" si="39"/>
        <v>0</v>
      </c>
      <c r="S33">
        <f t="shared" si="40"/>
        <v>0</v>
      </c>
      <c r="T33">
        <f t="shared" si="41"/>
        <v>0</v>
      </c>
      <c r="U33">
        <f t="shared" si="42"/>
        <v>0</v>
      </c>
      <c r="V33">
        <f t="shared" si="43"/>
        <v>0</v>
      </c>
      <c r="W33">
        <f t="shared" si="44"/>
        <v>0</v>
      </c>
      <c r="X33">
        <f t="shared" si="45"/>
        <v>0</v>
      </c>
      <c r="Y33">
        <f t="shared" si="46"/>
        <v>0</v>
      </c>
      <c r="Z33">
        <f t="shared" si="47"/>
        <v>0</v>
      </c>
      <c r="AA33">
        <f t="shared" si="48"/>
        <v>0</v>
      </c>
      <c r="AB33">
        <f t="shared" si="49"/>
        <v>0</v>
      </c>
      <c r="AC33">
        <f t="shared" si="50"/>
        <v>0</v>
      </c>
      <c r="AD33">
        <f t="shared" si="51"/>
        <v>0</v>
      </c>
      <c r="AE33">
        <f t="shared" si="52"/>
        <v>0</v>
      </c>
      <c r="AF33">
        <f t="shared" si="53"/>
        <v>0</v>
      </c>
      <c r="AG33">
        <f t="shared" si="54"/>
        <v>0</v>
      </c>
      <c r="AH33">
        <f t="shared" si="55"/>
        <v>0</v>
      </c>
      <c r="AI33">
        <f t="shared" si="56"/>
        <v>0</v>
      </c>
      <c r="AJ33">
        <f t="shared" si="57"/>
        <v>0</v>
      </c>
      <c r="AK33">
        <f t="shared" si="58"/>
        <v>0</v>
      </c>
      <c r="AL33">
        <f t="shared" si="59"/>
        <v>0</v>
      </c>
      <c r="AM33">
        <f t="shared" si="60"/>
        <v>0</v>
      </c>
      <c r="AN33">
        <f t="shared" si="61"/>
        <v>0</v>
      </c>
      <c r="AO33">
        <f t="shared" si="62"/>
        <v>0</v>
      </c>
      <c r="AP33">
        <f t="shared" si="63"/>
        <v>0</v>
      </c>
      <c r="AQ33">
        <f t="shared" si="64"/>
        <v>0</v>
      </c>
      <c r="AR33">
        <f t="shared" si="65"/>
        <v>0</v>
      </c>
      <c r="AS33">
        <f t="shared" si="66"/>
        <v>0</v>
      </c>
      <c r="AT33">
        <f t="shared" si="67"/>
        <v>0</v>
      </c>
      <c r="AU33">
        <f t="shared" si="68"/>
        <v>0</v>
      </c>
    </row>
    <row r="34" spans="1:47" ht="21.9" customHeight="1" x14ac:dyDescent="0.4">
      <c r="A34" s="5" t="s">
        <v>637</v>
      </c>
      <c r="B34" s="5" t="s">
        <v>45</v>
      </c>
      <c r="C34" s="6" t="s">
        <v>38</v>
      </c>
      <c r="D34" s="8">
        <v>2436</v>
      </c>
      <c r="E34" s="8">
        <f>ROUNDDOWN(단가대비표!N21, 0)</f>
        <v>1600</v>
      </c>
      <c r="F34" s="8">
        <f t="shared" si="35"/>
        <v>3897600</v>
      </c>
      <c r="G34" s="8">
        <v>0</v>
      </c>
      <c r="H34" s="8">
        <f t="shared" si="36"/>
        <v>0</v>
      </c>
      <c r="I34" s="8">
        <v>0</v>
      </c>
      <c r="J34" s="8">
        <f t="shared" si="37"/>
        <v>0</v>
      </c>
      <c r="K34" s="8">
        <f t="shared" si="0"/>
        <v>1600</v>
      </c>
      <c r="L34" s="8">
        <f t="shared" si="1"/>
        <v>3897600</v>
      </c>
      <c r="M34" s="7"/>
      <c r="O34" t="str">
        <f t="shared" si="38"/>
        <v>01</v>
      </c>
      <c r="P34" s="10" t="s">
        <v>361</v>
      </c>
      <c r="Q34">
        <v>1</v>
      </c>
      <c r="R34">
        <f t="shared" si="39"/>
        <v>0</v>
      </c>
      <c r="S34">
        <f t="shared" si="40"/>
        <v>0</v>
      </c>
      <c r="T34">
        <f t="shared" si="41"/>
        <v>0</v>
      </c>
      <c r="U34">
        <f t="shared" si="42"/>
        <v>0</v>
      </c>
      <c r="V34">
        <f t="shared" si="43"/>
        <v>0</v>
      </c>
      <c r="W34">
        <f t="shared" si="44"/>
        <v>0</v>
      </c>
      <c r="X34">
        <f t="shared" si="45"/>
        <v>0</v>
      </c>
      <c r="Y34">
        <f t="shared" si="46"/>
        <v>0</v>
      </c>
      <c r="Z34">
        <f t="shared" si="47"/>
        <v>0</v>
      </c>
      <c r="AA34">
        <f t="shared" si="48"/>
        <v>0</v>
      </c>
      <c r="AB34">
        <f t="shared" si="49"/>
        <v>0</v>
      </c>
      <c r="AC34">
        <f t="shared" si="50"/>
        <v>0</v>
      </c>
      <c r="AD34">
        <f t="shared" si="51"/>
        <v>0</v>
      </c>
      <c r="AE34">
        <f t="shared" si="52"/>
        <v>0</v>
      </c>
      <c r="AF34">
        <f t="shared" si="53"/>
        <v>0</v>
      </c>
      <c r="AG34">
        <f t="shared" si="54"/>
        <v>0</v>
      </c>
      <c r="AH34">
        <f t="shared" si="55"/>
        <v>0</v>
      </c>
      <c r="AI34">
        <f t="shared" si="56"/>
        <v>0</v>
      </c>
      <c r="AJ34">
        <f t="shared" si="57"/>
        <v>0</v>
      </c>
      <c r="AK34">
        <f t="shared" si="58"/>
        <v>0</v>
      </c>
      <c r="AL34">
        <f t="shared" si="59"/>
        <v>0</v>
      </c>
      <c r="AM34">
        <f t="shared" si="60"/>
        <v>0</v>
      </c>
      <c r="AN34">
        <f t="shared" si="61"/>
        <v>0</v>
      </c>
      <c r="AO34">
        <f t="shared" si="62"/>
        <v>0</v>
      </c>
      <c r="AP34">
        <f t="shared" si="63"/>
        <v>0</v>
      </c>
      <c r="AQ34">
        <f t="shared" si="64"/>
        <v>0</v>
      </c>
      <c r="AR34">
        <f t="shared" si="65"/>
        <v>0</v>
      </c>
      <c r="AS34">
        <f t="shared" si="66"/>
        <v>0</v>
      </c>
      <c r="AT34">
        <f t="shared" si="67"/>
        <v>0</v>
      </c>
      <c r="AU34">
        <f t="shared" si="68"/>
        <v>0</v>
      </c>
    </row>
    <row r="35" spans="1:47" ht="21.9" customHeight="1" x14ac:dyDescent="0.4">
      <c r="A35" s="5" t="s">
        <v>637</v>
      </c>
      <c r="B35" s="5" t="s">
        <v>54</v>
      </c>
      <c r="C35" s="6" t="s">
        <v>38</v>
      </c>
      <c r="D35" s="8">
        <v>357</v>
      </c>
      <c r="E35" s="8">
        <f>ROUNDDOWN(단가대비표!N22, 0)</f>
        <v>2010</v>
      </c>
      <c r="F35" s="8">
        <f t="shared" si="35"/>
        <v>717570</v>
      </c>
      <c r="G35" s="8">
        <v>0</v>
      </c>
      <c r="H35" s="8">
        <f t="shared" si="36"/>
        <v>0</v>
      </c>
      <c r="I35" s="8">
        <v>0</v>
      </c>
      <c r="J35" s="8">
        <f t="shared" si="37"/>
        <v>0</v>
      </c>
      <c r="K35" s="8">
        <f t="shared" si="0"/>
        <v>2010</v>
      </c>
      <c r="L35" s="8">
        <f t="shared" si="1"/>
        <v>717570</v>
      </c>
      <c r="M35" s="7"/>
      <c r="O35" t="str">
        <f t="shared" si="38"/>
        <v>01</v>
      </c>
      <c r="P35" s="10" t="s">
        <v>361</v>
      </c>
      <c r="Q35">
        <v>1</v>
      </c>
      <c r="R35">
        <f t="shared" si="39"/>
        <v>0</v>
      </c>
      <c r="S35">
        <f t="shared" si="40"/>
        <v>0</v>
      </c>
      <c r="T35">
        <f t="shared" si="41"/>
        <v>0</v>
      </c>
      <c r="U35">
        <f t="shared" si="42"/>
        <v>0</v>
      </c>
      <c r="V35">
        <f t="shared" si="43"/>
        <v>0</v>
      </c>
      <c r="W35">
        <f t="shared" si="44"/>
        <v>0</v>
      </c>
      <c r="X35">
        <f t="shared" si="45"/>
        <v>0</v>
      </c>
      <c r="Y35">
        <f t="shared" si="46"/>
        <v>0</v>
      </c>
      <c r="Z35">
        <f t="shared" si="47"/>
        <v>0</v>
      </c>
      <c r="AA35">
        <f t="shared" si="48"/>
        <v>0</v>
      </c>
      <c r="AB35">
        <f t="shared" si="49"/>
        <v>0</v>
      </c>
      <c r="AC35">
        <f t="shared" si="50"/>
        <v>0</v>
      </c>
      <c r="AD35">
        <f t="shared" si="51"/>
        <v>0</v>
      </c>
      <c r="AE35">
        <f t="shared" si="52"/>
        <v>0</v>
      </c>
      <c r="AF35">
        <f t="shared" si="53"/>
        <v>0</v>
      </c>
      <c r="AG35">
        <f t="shared" si="54"/>
        <v>0</v>
      </c>
      <c r="AH35">
        <f t="shared" si="55"/>
        <v>0</v>
      </c>
      <c r="AI35">
        <f t="shared" si="56"/>
        <v>0</v>
      </c>
      <c r="AJ35">
        <f t="shared" si="57"/>
        <v>0</v>
      </c>
      <c r="AK35">
        <f t="shared" si="58"/>
        <v>0</v>
      </c>
      <c r="AL35">
        <f t="shared" si="59"/>
        <v>0</v>
      </c>
      <c r="AM35">
        <f t="shared" si="60"/>
        <v>0</v>
      </c>
      <c r="AN35">
        <f t="shared" si="61"/>
        <v>0</v>
      </c>
      <c r="AO35">
        <f t="shared" si="62"/>
        <v>0</v>
      </c>
      <c r="AP35">
        <f t="shared" si="63"/>
        <v>0</v>
      </c>
      <c r="AQ35">
        <f t="shared" si="64"/>
        <v>0</v>
      </c>
      <c r="AR35">
        <f t="shared" si="65"/>
        <v>0</v>
      </c>
      <c r="AS35">
        <f t="shared" si="66"/>
        <v>0</v>
      </c>
      <c r="AT35">
        <f t="shared" si="67"/>
        <v>0</v>
      </c>
      <c r="AU35">
        <f t="shared" si="68"/>
        <v>0</v>
      </c>
    </row>
    <row r="36" spans="1:47" ht="21.9" customHeight="1" x14ac:dyDescent="0.4">
      <c r="A36" s="5" t="s">
        <v>638</v>
      </c>
      <c r="B36" s="5" t="s">
        <v>17</v>
      </c>
      <c r="C36" s="6" t="s">
        <v>67</v>
      </c>
      <c r="D36" s="8">
        <v>820</v>
      </c>
      <c r="E36" s="8">
        <f>ROUNDDOWN(단가대비표!N136, 0)</f>
        <v>5410</v>
      </c>
      <c r="F36" s="8">
        <f t="shared" si="35"/>
        <v>4436200</v>
      </c>
      <c r="G36" s="8"/>
      <c r="H36" s="8">
        <f t="shared" si="36"/>
        <v>0</v>
      </c>
      <c r="I36" s="8"/>
      <c r="J36" s="8">
        <f t="shared" si="37"/>
        <v>0</v>
      </c>
      <c r="K36" s="8">
        <f t="shared" si="0"/>
        <v>5410</v>
      </c>
      <c r="L36" s="8">
        <f t="shared" si="1"/>
        <v>4436200</v>
      </c>
      <c r="M36" s="7"/>
      <c r="O36" t="str">
        <f t="shared" si="38"/>
        <v>01</v>
      </c>
      <c r="P36" s="10" t="s">
        <v>361</v>
      </c>
      <c r="Q36">
        <v>1</v>
      </c>
      <c r="R36">
        <f t="shared" si="39"/>
        <v>0</v>
      </c>
      <c r="S36">
        <f t="shared" si="40"/>
        <v>0</v>
      </c>
      <c r="T36">
        <f t="shared" si="41"/>
        <v>0</v>
      </c>
      <c r="U36">
        <f t="shared" si="42"/>
        <v>0</v>
      </c>
      <c r="V36">
        <f t="shared" si="43"/>
        <v>0</v>
      </c>
      <c r="W36">
        <f t="shared" si="44"/>
        <v>0</v>
      </c>
      <c r="X36">
        <f t="shared" si="45"/>
        <v>0</v>
      </c>
      <c r="Y36">
        <f t="shared" si="46"/>
        <v>0</v>
      </c>
      <c r="Z36">
        <f t="shared" si="47"/>
        <v>0</v>
      </c>
      <c r="AA36">
        <f t="shared" si="48"/>
        <v>0</v>
      </c>
      <c r="AB36">
        <f t="shared" si="49"/>
        <v>0</v>
      </c>
      <c r="AC36">
        <f t="shared" si="50"/>
        <v>0</v>
      </c>
      <c r="AD36">
        <f t="shared" si="51"/>
        <v>0</v>
      </c>
      <c r="AE36">
        <f t="shared" si="52"/>
        <v>0</v>
      </c>
      <c r="AF36">
        <f t="shared" si="53"/>
        <v>0</v>
      </c>
      <c r="AG36">
        <f t="shared" si="54"/>
        <v>0</v>
      </c>
      <c r="AH36">
        <f t="shared" si="55"/>
        <v>0</v>
      </c>
      <c r="AI36">
        <f t="shared" si="56"/>
        <v>0</v>
      </c>
      <c r="AJ36">
        <f t="shared" si="57"/>
        <v>0</v>
      </c>
      <c r="AK36">
        <f t="shared" si="58"/>
        <v>0</v>
      </c>
      <c r="AL36">
        <f t="shared" si="59"/>
        <v>0</v>
      </c>
      <c r="AM36">
        <f t="shared" si="60"/>
        <v>0</v>
      </c>
      <c r="AN36">
        <f t="shared" si="61"/>
        <v>0</v>
      </c>
      <c r="AO36">
        <f t="shared" si="62"/>
        <v>0</v>
      </c>
      <c r="AP36">
        <f t="shared" si="63"/>
        <v>0</v>
      </c>
      <c r="AQ36">
        <f t="shared" si="64"/>
        <v>0</v>
      </c>
      <c r="AR36">
        <f t="shared" si="65"/>
        <v>0</v>
      </c>
      <c r="AS36">
        <f t="shared" si="66"/>
        <v>0</v>
      </c>
      <c r="AT36">
        <f t="shared" si="67"/>
        <v>0</v>
      </c>
      <c r="AU36">
        <f t="shared" si="68"/>
        <v>0</v>
      </c>
    </row>
    <row r="37" spans="1:47" ht="21.9" customHeight="1" x14ac:dyDescent="0.4">
      <c r="A37" s="5" t="s">
        <v>639</v>
      </c>
      <c r="B37" s="5" t="s">
        <v>17</v>
      </c>
      <c r="C37" s="6" t="s">
        <v>18</v>
      </c>
      <c r="D37" s="8">
        <v>310</v>
      </c>
      <c r="E37" s="8">
        <f>ROUNDDOWN(단가대비표!N5, 0)</f>
        <v>6450</v>
      </c>
      <c r="F37" s="8">
        <f t="shared" si="35"/>
        <v>1999500</v>
      </c>
      <c r="G37" s="8"/>
      <c r="H37" s="8">
        <f t="shared" si="36"/>
        <v>0</v>
      </c>
      <c r="I37" s="8"/>
      <c r="J37" s="8">
        <f t="shared" si="37"/>
        <v>0</v>
      </c>
      <c r="K37" s="8">
        <f t="shared" si="0"/>
        <v>6450</v>
      </c>
      <c r="L37" s="8">
        <f t="shared" si="1"/>
        <v>1999500</v>
      </c>
      <c r="M37" s="7"/>
      <c r="O37" t="str">
        <f t="shared" si="38"/>
        <v>01</v>
      </c>
      <c r="P37" s="10" t="s">
        <v>361</v>
      </c>
      <c r="Q37">
        <v>1</v>
      </c>
      <c r="R37">
        <f t="shared" si="39"/>
        <v>0</v>
      </c>
      <c r="S37">
        <f t="shared" si="40"/>
        <v>0</v>
      </c>
      <c r="T37">
        <f t="shared" si="41"/>
        <v>0</v>
      </c>
      <c r="U37">
        <f t="shared" si="42"/>
        <v>0</v>
      </c>
      <c r="V37">
        <f t="shared" si="43"/>
        <v>0</v>
      </c>
      <c r="W37">
        <f t="shared" si="44"/>
        <v>0</v>
      </c>
      <c r="X37">
        <f t="shared" si="45"/>
        <v>0</v>
      </c>
      <c r="Y37">
        <f t="shared" si="46"/>
        <v>0</v>
      </c>
      <c r="Z37">
        <f t="shared" si="47"/>
        <v>0</v>
      </c>
      <c r="AA37">
        <f t="shared" si="48"/>
        <v>0</v>
      </c>
      <c r="AB37">
        <f t="shared" si="49"/>
        <v>0</v>
      </c>
      <c r="AC37">
        <f t="shared" si="50"/>
        <v>0</v>
      </c>
      <c r="AD37">
        <f t="shared" si="51"/>
        <v>0</v>
      </c>
      <c r="AE37">
        <f t="shared" si="52"/>
        <v>0</v>
      </c>
      <c r="AF37">
        <f t="shared" si="53"/>
        <v>0</v>
      </c>
      <c r="AG37">
        <f t="shared" si="54"/>
        <v>0</v>
      </c>
      <c r="AH37">
        <f t="shared" si="55"/>
        <v>0</v>
      </c>
      <c r="AI37">
        <f t="shared" si="56"/>
        <v>0</v>
      </c>
      <c r="AJ37">
        <f t="shared" si="57"/>
        <v>0</v>
      </c>
      <c r="AK37">
        <f t="shared" si="58"/>
        <v>0</v>
      </c>
      <c r="AL37">
        <f t="shared" si="59"/>
        <v>0</v>
      </c>
      <c r="AM37">
        <f t="shared" si="60"/>
        <v>0</v>
      </c>
      <c r="AN37">
        <f t="shared" si="61"/>
        <v>0</v>
      </c>
      <c r="AO37">
        <f t="shared" si="62"/>
        <v>0</v>
      </c>
      <c r="AP37">
        <f t="shared" si="63"/>
        <v>0</v>
      </c>
      <c r="AQ37">
        <f t="shared" si="64"/>
        <v>0</v>
      </c>
      <c r="AR37">
        <f t="shared" si="65"/>
        <v>0</v>
      </c>
      <c r="AS37">
        <f t="shared" si="66"/>
        <v>0</v>
      </c>
      <c r="AT37">
        <f t="shared" si="67"/>
        <v>0</v>
      </c>
      <c r="AU37">
        <f t="shared" si="68"/>
        <v>0</v>
      </c>
    </row>
    <row r="38" spans="1:47" ht="21.9" customHeight="1" x14ac:dyDescent="0.4">
      <c r="A38" s="5" t="s">
        <v>640</v>
      </c>
      <c r="B38" s="5" t="s">
        <v>23</v>
      </c>
      <c r="C38" s="6" t="s">
        <v>18</v>
      </c>
      <c r="D38" s="8">
        <v>120</v>
      </c>
      <c r="E38" s="8">
        <f>ROUNDDOWN(단가대비표!N35, 0)</f>
        <v>3430</v>
      </c>
      <c r="F38" s="8">
        <f t="shared" si="35"/>
        <v>411600</v>
      </c>
      <c r="G38" s="8"/>
      <c r="H38" s="8">
        <f t="shared" si="36"/>
        <v>0</v>
      </c>
      <c r="I38" s="8"/>
      <c r="J38" s="8">
        <f t="shared" si="37"/>
        <v>0</v>
      </c>
      <c r="K38" s="8">
        <f t="shared" ref="K38:K69" si="69">E38+G38+I38</f>
        <v>3430</v>
      </c>
      <c r="L38" s="8">
        <f t="shared" ref="L38:L69" si="70">F38+H38+J38</f>
        <v>411600</v>
      </c>
      <c r="M38" s="7"/>
      <c r="O38" t="str">
        <f t="shared" si="38"/>
        <v>01</v>
      </c>
      <c r="P38" s="10" t="s">
        <v>361</v>
      </c>
      <c r="Q38">
        <v>1</v>
      </c>
      <c r="R38">
        <f t="shared" si="39"/>
        <v>0</v>
      </c>
      <c r="S38">
        <f t="shared" si="40"/>
        <v>0</v>
      </c>
      <c r="T38">
        <f t="shared" si="41"/>
        <v>0</v>
      </c>
      <c r="U38">
        <f t="shared" si="42"/>
        <v>0</v>
      </c>
      <c r="V38">
        <f t="shared" si="43"/>
        <v>0</v>
      </c>
      <c r="W38">
        <f t="shared" si="44"/>
        <v>0</v>
      </c>
      <c r="X38">
        <f t="shared" si="45"/>
        <v>0</v>
      </c>
      <c r="Y38">
        <f t="shared" si="46"/>
        <v>0</v>
      </c>
      <c r="Z38">
        <f t="shared" si="47"/>
        <v>0</v>
      </c>
      <c r="AA38">
        <f t="shared" si="48"/>
        <v>0</v>
      </c>
      <c r="AB38">
        <f t="shared" si="49"/>
        <v>0</v>
      </c>
      <c r="AC38">
        <f t="shared" si="50"/>
        <v>0</v>
      </c>
      <c r="AD38">
        <f t="shared" si="51"/>
        <v>0</v>
      </c>
      <c r="AE38">
        <f t="shared" si="52"/>
        <v>0</v>
      </c>
      <c r="AF38">
        <f t="shared" si="53"/>
        <v>0</v>
      </c>
      <c r="AG38">
        <f t="shared" si="54"/>
        <v>0</v>
      </c>
      <c r="AH38">
        <f t="shared" si="55"/>
        <v>0</v>
      </c>
      <c r="AI38">
        <f t="shared" si="56"/>
        <v>0</v>
      </c>
      <c r="AJ38">
        <f t="shared" si="57"/>
        <v>0</v>
      </c>
      <c r="AK38">
        <f t="shared" si="58"/>
        <v>0</v>
      </c>
      <c r="AL38">
        <f t="shared" si="59"/>
        <v>0</v>
      </c>
      <c r="AM38">
        <f t="shared" si="60"/>
        <v>0</v>
      </c>
      <c r="AN38">
        <f t="shared" si="61"/>
        <v>0</v>
      </c>
      <c r="AO38">
        <f t="shared" si="62"/>
        <v>0</v>
      </c>
      <c r="AP38">
        <f t="shared" si="63"/>
        <v>0</v>
      </c>
      <c r="AQ38">
        <f t="shared" si="64"/>
        <v>0</v>
      </c>
      <c r="AR38">
        <f t="shared" si="65"/>
        <v>0</v>
      </c>
      <c r="AS38">
        <f t="shared" si="66"/>
        <v>0</v>
      </c>
      <c r="AT38">
        <f t="shared" si="67"/>
        <v>0</v>
      </c>
      <c r="AU38">
        <f t="shared" si="68"/>
        <v>0</v>
      </c>
    </row>
    <row r="39" spans="1:47" ht="21.9" customHeight="1" x14ac:dyDescent="0.4">
      <c r="A39" s="5" t="s">
        <v>641</v>
      </c>
      <c r="B39" s="5" t="s">
        <v>23</v>
      </c>
      <c r="C39" s="6" t="s">
        <v>18</v>
      </c>
      <c r="D39" s="8">
        <v>1400</v>
      </c>
      <c r="E39" s="8">
        <f>ROUNDDOWN(단가대비표!N7, 0)</f>
        <v>3640</v>
      </c>
      <c r="F39" s="8">
        <f t="shared" si="35"/>
        <v>5096000</v>
      </c>
      <c r="G39" s="8"/>
      <c r="H39" s="8">
        <f t="shared" si="36"/>
        <v>0</v>
      </c>
      <c r="I39" s="8"/>
      <c r="J39" s="8">
        <f t="shared" si="37"/>
        <v>0</v>
      </c>
      <c r="K39" s="8">
        <f t="shared" si="69"/>
        <v>3640</v>
      </c>
      <c r="L39" s="8">
        <f t="shared" si="70"/>
        <v>5096000</v>
      </c>
      <c r="M39" s="7"/>
      <c r="O39" t="str">
        <f t="shared" si="38"/>
        <v>01</v>
      </c>
      <c r="P39" s="10" t="s">
        <v>361</v>
      </c>
      <c r="Q39">
        <v>1</v>
      </c>
      <c r="R39">
        <f t="shared" si="39"/>
        <v>0</v>
      </c>
      <c r="S39">
        <f t="shared" si="40"/>
        <v>0</v>
      </c>
      <c r="T39">
        <f t="shared" si="41"/>
        <v>0</v>
      </c>
      <c r="U39">
        <f t="shared" si="42"/>
        <v>0</v>
      </c>
      <c r="V39">
        <f t="shared" si="43"/>
        <v>0</v>
      </c>
      <c r="W39">
        <f t="shared" si="44"/>
        <v>0</v>
      </c>
      <c r="X39">
        <f t="shared" si="45"/>
        <v>0</v>
      </c>
      <c r="Y39">
        <f t="shared" si="46"/>
        <v>0</v>
      </c>
      <c r="Z39">
        <f t="shared" si="47"/>
        <v>0</v>
      </c>
      <c r="AA39">
        <f t="shared" si="48"/>
        <v>0</v>
      </c>
      <c r="AB39">
        <f t="shared" si="49"/>
        <v>0</v>
      </c>
      <c r="AC39">
        <f t="shared" si="50"/>
        <v>0</v>
      </c>
      <c r="AD39">
        <f t="shared" si="51"/>
        <v>0</v>
      </c>
      <c r="AE39">
        <f t="shared" si="52"/>
        <v>0</v>
      </c>
      <c r="AF39">
        <f t="shared" si="53"/>
        <v>0</v>
      </c>
      <c r="AG39">
        <f t="shared" si="54"/>
        <v>0</v>
      </c>
      <c r="AH39">
        <f t="shared" si="55"/>
        <v>0</v>
      </c>
      <c r="AI39">
        <f t="shared" si="56"/>
        <v>0</v>
      </c>
      <c r="AJ39">
        <f t="shared" si="57"/>
        <v>0</v>
      </c>
      <c r="AK39">
        <f t="shared" si="58"/>
        <v>0</v>
      </c>
      <c r="AL39">
        <f t="shared" si="59"/>
        <v>0</v>
      </c>
      <c r="AM39">
        <f t="shared" si="60"/>
        <v>0</v>
      </c>
      <c r="AN39">
        <f t="shared" si="61"/>
        <v>0</v>
      </c>
      <c r="AO39">
        <f t="shared" si="62"/>
        <v>0</v>
      </c>
      <c r="AP39">
        <f t="shared" si="63"/>
        <v>0</v>
      </c>
      <c r="AQ39">
        <f t="shared" si="64"/>
        <v>0</v>
      </c>
      <c r="AR39">
        <f t="shared" si="65"/>
        <v>0</v>
      </c>
      <c r="AS39">
        <f t="shared" si="66"/>
        <v>0</v>
      </c>
      <c r="AT39">
        <f t="shared" si="67"/>
        <v>0</v>
      </c>
      <c r="AU39">
        <f t="shared" si="68"/>
        <v>0</v>
      </c>
    </row>
    <row r="40" spans="1:47" ht="21.9" customHeight="1" x14ac:dyDescent="0.4">
      <c r="A40" s="5" t="s">
        <v>642</v>
      </c>
      <c r="B40" s="5" t="s">
        <v>48</v>
      </c>
      <c r="C40" s="6" t="s">
        <v>18</v>
      </c>
      <c r="D40" s="8">
        <v>300</v>
      </c>
      <c r="E40" s="8">
        <f>ROUNDDOWN(단가대비표!N135, 0)</f>
        <v>260</v>
      </c>
      <c r="F40" s="8">
        <f t="shared" si="35"/>
        <v>78000</v>
      </c>
      <c r="G40" s="8"/>
      <c r="H40" s="8">
        <f t="shared" si="36"/>
        <v>0</v>
      </c>
      <c r="I40" s="8"/>
      <c r="J40" s="8">
        <f t="shared" si="37"/>
        <v>0</v>
      </c>
      <c r="K40" s="8">
        <f t="shared" si="69"/>
        <v>260</v>
      </c>
      <c r="L40" s="8">
        <f t="shared" si="70"/>
        <v>78000</v>
      </c>
      <c r="M40" s="7"/>
      <c r="O40" t="str">
        <f t="shared" si="38"/>
        <v>01</v>
      </c>
      <c r="P40" s="10" t="s">
        <v>361</v>
      </c>
      <c r="Q40">
        <v>1</v>
      </c>
      <c r="R40">
        <f t="shared" si="39"/>
        <v>0</v>
      </c>
      <c r="S40">
        <f t="shared" si="40"/>
        <v>0</v>
      </c>
      <c r="T40">
        <f t="shared" si="41"/>
        <v>0</v>
      </c>
      <c r="U40">
        <f t="shared" si="42"/>
        <v>0</v>
      </c>
      <c r="V40">
        <f t="shared" si="43"/>
        <v>0</v>
      </c>
      <c r="W40">
        <f t="shared" si="44"/>
        <v>0</v>
      </c>
      <c r="X40">
        <f t="shared" si="45"/>
        <v>0</v>
      </c>
      <c r="Y40">
        <f t="shared" si="46"/>
        <v>0</v>
      </c>
      <c r="Z40">
        <f t="shared" si="47"/>
        <v>0</v>
      </c>
      <c r="AA40">
        <f t="shared" si="48"/>
        <v>0</v>
      </c>
      <c r="AB40">
        <f t="shared" si="49"/>
        <v>0</v>
      </c>
      <c r="AC40">
        <f t="shared" si="50"/>
        <v>0</v>
      </c>
      <c r="AD40">
        <f t="shared" si="51"/>
        <v>0</v>
      </c>
      <c r="AE40">
        <f t="shared" si="52"/>
        <v>0</v>
      </c>
      <c r="AF40">
        <f t="shared" si="53"/>
        <v>0</v>
      </c>
      <c r="AG40">
        <f t="shared" si="54"/>
        <v>0</v>
      </c>
      <c r="AH40">
        <f t="shared" si="55"/>
        <v>0</v>
      </c>
      <c r="AI40">
        <f t="shared" si="56"/>
        <v>0</v>
      </c>
      <c r="AJ40">
        <f t="shared" si="57"/>
        <v>0</v>
      </c>
      <c r="AK40">
        <f t="shared" si="58"/>
        <v>0</v>
      </c>
      <c r="AL40">
        <f t="shared" si="59"/>
        <v>0</v>
      </c>
      <c r="AM40">
        <f t="shared" si="60"/>
        <v>0</v>
      </c>
      <c r="AN40">
        <f t="shared" si="61"/>
        <v>0</v>
      </c>
      <c r="AO40">
        <f t="shared" si="62"/>
        <v>0</v>
      </c>
      <c r="AP40">
        <f t="shared" si="63"/>
        <v>0</v>
      </c>
      <c r="AQ40">
        <f t="shared" si="64"/>
        <v>0</v>
      </c>
      <c r="AR40">
        <f t="shared" si="65"/>
        <v>0</v>
      </c>
      <c r="AS40">
        <f t="shared" si="66"/>
        <v>0</v>
      </c>
      <c r="AT40">
        <f t="shared" si="67"/>
        <v>0</v>
      </c>
      <c r="AU40">
        <f t="shared" si="68"/>
        <v>0</v>
      </c>
    </row>
    <row r="41" spans="1:47" ht="21.9" customHeight="1" x14ac:dyDescent="0.4">
      <c r="A41" s="5" t="s">
        <v>643</v>
      </c>
      <c r="B41" s="5" t="s">
        <v>87</v>
      </c>
      <c r="C41" s="6" t="s">
        <v>18</v>
      </c>
      <c r="D41" s="8">
        <v>560</v>
      </c>
      <c r="E41" s="8">
        <f>ROUNDDOWN(단가대비표!N33, 0)</f>
        <v>13730</v>
      </c>
      <c r="F41" s="8">
        <f t="shared" si="35"/>
        <v>7688800</v>
      </c>
      <c r="G41" s="8"/>
      <c r="H41" s="8">
        <f t="shared" si="36"/>
        <v>0</v>
      </c>
      <c r="I41" s="8"/>
      <c r="J41" s="8">
        <f t="shared" si="37"/>
        <v>0</v>
      </c>
      <c r="K41" s="8">
        <f t="shared" si="69"/>
        <v>13730</v>
      </c>
      <c r="L41" s="8">
        <f t="shared" si="70"/>
        <v>7688800</v>
      </c>
      <c r="M41" s="7"/>
      <c r="O41" t="str">
        <f t="shared" si="38"/>
        <v>01</v>
      </c>
      <c r="P41" s="10" t="s">
        <v>361</v>
      </c>
      <c r="Q41">
        <v>1</v>
      </c>
      <c r="R41">
        <f t="shared" si="39"/>
        <v>0</v>
      </c>
      <c r="S41">
        <f t="shared" si="40"/>
        <v>0</v>
      </c>
      <c r="T41">
        <f t="shared" si="41"/>
        <v>0</v>
      </c>
      <c r="U41">
        <f t="shared" si="42"/>
        <v>0</v>
      </c>
      <c r="V41">
        <f t="shared" si="43"/>
        <v>0</v>
      </c>
      <c r="W41">
        <f t="shared" si="44"/>
        <v>0</v>
      </c>
      <c r="X41">
        <f t="shared" si="45"/>
        <v>0</v>
      </c>
      <c r="Y41">
        <f t="shared" si="46"/>
        <v>0</v>
      </c>
      <c r="Z41">
        <f t="shared" si="47"/>
        <v>0</v>
      </c>
      <c r="AA41">
        <f t="shared" si="48"/>
        <v>0</v>
      </c>
      <c r="AB41">
        <f t="shared" si="49"/>
        <v>0</v>
      </c>
      <c r="AC41">
        <f t="shared" si="50"/>
        <v>0</v>
      </c>
      <c r="AD41">
        <f t="shared" si="51"/>
        <v>0</v>
      </c>
      <c r="AE41">
        <f t="shared" si="52"/>
        <v>0</v>
      </c>
      <c r="AF41">
        <f t="shared" si="53"/>
        <v>0</v>
      </c>
      <c r="AG41">
        <f t="shared" si="54"/>
        <v>0</v>
      </c>
      <c r="AH41">
        <f t="shared" si="55"/>
        <v>0</v>
      </c>
      <c r="AI41">
        <f t="shared" si="56"/>
        <v>0</v>
      </c>
      <c r="AJ41">
        <f t="shared" si="57"/>
        <v>0</v>
      </c>
      <c r="AK41">
        <f t="shared" si="58"/>
        <v>0</v>
      </c>
      <c r="AL41">
        <f t="shared" si="59"/>
        <v>0</v>
      </c>
      <c r="AM41">
        <f t="shared" si="60"/>
        <v>0</v>
      </c>
      <c r="AN41">
        <f t="shared" si="61"/>
        <v>0</v>
      </c>
      <c r="AO41">
        <f t="shared" si="62"/>
        <v>0</v>
      </c>
      <c r="AP41">
        <f t="shared" si="63"/>
        <v>0</v>
      </c>
      <c r="AQ41">
        <f t="shared" si="64"/>
        <v>0</v>
      </c>
      <c r="AR41">
        <f t="shared" si="65"/>
        <v>0</v>
      </c>
      <c r="AS41">
        <f t="shared" si="66"/>
        <v>0</v>
      </c>
      <c r="AT41">
        <f t="shared" si="67"/>
        <v>0</v>
      </c>
      <c r="AU41">
        <f t="shared" si="68"/>
        <v>0</v>
      </c>
    </row>
    <row r="42" spans="1:47" ht="21.9" customHeight="1" x14ac:dyDescent="0.4">
      <c r="A42" s="5" t="s">
        <v>644</v>
      </c>
      <c r="B42" s="5" t="s">
        <v>17</v>
      </c>
      <c r="C42" s="6" t="s">
        <v>18</v>
      </c>
      <c r="D42" s="8">
        <v>1120</v>
      </c>
      <c r="E42" s="8">
        <f>ROUNDDOWN(단가대비표!N102, 0)</f>
        <v>1560</v>
      </c>
      <c r="F42" s="8">
        <f t="shared" si="35"/>
        <v>1747200</v>
      </c>
      <c r="G42" s="8"/>
      <c r="H42" s="8">
        <f t="shared" si="36"/>
        <v>0</v>
      </c>
      <c r="I42" s="8"/>
      <c r="J42" s="8">
        <f t="shared" si="37"/>
        <v>0</v>
      </c>
      <c r="K42" s="8">
        <f t="shared" si="69"/>
        <v>1560</v>
      </c>
      <c r="L42" s="8">
        <f t="shared" si="70"/>
        <v>1747200</v>
      </c>
      <c r="M42" s="7"/>
      <c r="O42" t="str">
        <f t="shared" si="38"/>
        <v>01</v>
      </c>
      <c r="P42" s="10" t="s">
        <v>361</v>
      </c>
      <c r="Q42">
        <v>1</v>
      </c>
      <c r="R42">
        <f t="shared" si="39"/>
        <v>0</v>
      </c>
      <c r="S42">
        <f t="shared" si="40"/>
        <v>0</v>
      </c>
      <c r="T42">
        <f t="shared" si="41"/>
        <v>0</v>
      </c>
      <c r="U42">
        <f t="shared" si="42"/>
        <v>0</v>
      </c>
      <c r="V42">
        <f t="shared" si="43"/>
        <v>0</v>
      </c>
      <c r="W42">
        <f t="shared" si="44"/>
        <v>0</v>
      </c>
      <c r="X42">
        <f t="shared" si="45"/>
        <v>0</v>
      </c>
      <c r="Y42">
        <f t="shared" si="46"/>
        <v>0</v>
      </c>
      <c r="Z42">
        <f t="shared" si="47"/>
        <v>0</v>
      </c>
      <c r="AA42">
        <f t="shared" si="48"/>
        <v>0</v>
      </c>
      <c r="AB42">
        <f t="shared" si="49"/>
        <v>0</v>
      </c>
      <c r="AC42">
        <f t="shared" si="50"/>
        <v>0</v>
      </c>
      <c r="AD42">
        <f t="shared" si="51"/>
        <v>0</v>
      </c>
      <c r="AE42">
        <f t="shared" si="52"/>
        <v>0</v>
      </c>
      <c r="AF42">
        <f t="shared" si="53"/>
        <v>0</v>
      </c>
      <c r="AG42">
        <f t="shared" si="54"/>
        <v>0</v>
      </c>
      <c r="AH42">
        <f t="shared" si="55"/>
        <v>0</v>
      </c>
      <c r="AI42">
        <f t="shared" si="56"/>
        <v>0</v>
      </c>
      <c r="AJ42">
        <f t="shared" si="57"/>
        <v>0</v>
      </c>
      <c r="AK42">
        <f t="shared" si="58"/>
        <v>0</v>
      </c>
      <c r="AL42">
        <f t="shared" si="59"/>
        <v>0</v>
      </c>
      <c r="AM42">
        <f t="shared" si="60"/>
        <v>0</v>
      </c>
      <c r="AN42">
        <f t="shared" si="61"/>
        <v>0</v>
      </c>
      <c r="AO42">
        <f t="shared" si="62"/>
        <v>0</v>
      </c>
      <c r="AP42">
        <f t="shared" si="63"/>
        <v>0</v>
      </c>
      <c r="AQ42">
        <f t="shared" si="64"/>
        <v>0</v>
      </c>
      <c r="AR42">
        <f t="shared" si="65"/>
        <v>0</v>
      </c>
      <c r="AS42">
        <f t="shared" si="66"/>
        <v>0</v>
      </c>
      <c r="AT42">
        <f t="shared" si="67"/>
        <v>0</v>
      </c>
      <c r="AU42">
        <f t="shared" si="68"/>
        <v>0</v>
      </c>
    </row>
    <row r="43" spans="1:47" ht="21.9" customHeight="1" x14ac:dyDescent="0.4">
      <c r="A43" s="5" t="s">
        <v>645</v>
      </c>
      <c r="B43" s="5" t="s">
        <v>252</v>
      </c>
      <c r="C43" s="6" t="s">
        <v>18</v>
      </c>
      <c r="D43" s="8">
        <v>36</v>
      </c>
      <c r="E43" s="8">
        <f>ROUNDDOWN(단가대비표!N111, 0)</f>
        <v>49920</v>
      </c>
      <c r="F43" s="8">
        <f t="shared" si="35"/>
        <v>1797120</v>
      </c>
      <c r="G43" s="8"/>
      <c r="H43" s="8">
        <f t="shared" si="36"/>
        <v>0</v>
      </c>
      <c r="I43" s="8"/>
      <c r="J43" s="8">
        <f t="shared" si="37"/>
        <v>0</v>
      </c>
      <c r="K43" s="8">
        <f t="shared" si="69"/>
        <v>49920</v>
      </c>
      <c r="L43" s="8">
        <f t="shared" si="70"/>
        <v>1797120</v>
      </c>
      <c r="M43" s="7"/>
      <c r="O43" t="str">
        <f t="shared" si="38"/>
        <v>01</v>
      </c>
      <c r="P43" s="10" t="s">
        <v>361</v>
      </c>
      <c r="Q43">
        <v>1</v>
      </c>
      <c r="R43">
        <f t="shared" si="39"/>
        <v>0</v>
      </c>
      <c r="S43">
        <f t="shared" si="40"/>
        <v>0</v>
      </c>
      <c r="T43">
        <f t="shared" si="41"/>
        <v>0</v>
      </c>
      <c r="U43">
        <f t="shared" si="42"/>
        <v>0</v>
      </c>
      <c r="V43">
        <f t="shared" si="43"/>
        <v>0</v>
      </c>
      <c r="W43">
        <f t="shared" si="44"/>
        <v>0</v>
      </c>
      <c r="X43">
        <f t="shared" si="45"/>
        <v>0</v>
      </c>
      <c r="Y43">
        <f t="shared" si="46"/>
        <v>0</v>
      </c>
      <c r="Z43">
        <f t="shared" si="47"/>
        <v>0</v>
      </c>
      <c r="AA43">
        <f t="shared" si="48"/>
        <v>0</v>
      </c>
      <c r="AB43">
        <f t="shared" si="49"/>
        <v>0</v>
      </c>
      <c r="AC43">
        <f t="shared" si="50"/>
        <v>0</v>
      </c>
      <c r="AD43">
        <f t="shared" si="51"/>
        <v>0</v>
      </c>
      <c r="AE43">
        <f t="shared" si="52"/>
        <v>0</v>
      </c>
      <c r="AF43">
        <f t="shared" si="53"/>
        <v>0</v>
      </c>
      <c r="AG43">
        <f t="shared" si="54"/>
        <v>0</v>
      </c>
      <c r="AH43">
        <f t="shared" si="55"/>
        <v>0</v>
      </c>
      <c r="AI43">
        <f t="shared" si="56"/>
        <v>0</v>
      </c>
      <c r="AJ43">
        <f t="shared" si="57"/>
        <v>0</v>
      </c>
      <c r="AK43">
        <f t="shared" si="58"/>
        <v>0</v>
      </c>
      <c r="AL43">
        <f t="shared" si="59"/>
        <v>0</v>
      </c>
      <c r="AM43">
        <f t="shared" si="60"/>
        <v>0</v>
      </c>
      <c r="AN43">
        <f t="shared" si="61"/>
        <v>0</v>
      </c>
      <c r="AO43">
        <f t="shared" si="62"/>
        <v>0</v>
      </c>
      <c r="AP43">
        <f t="shared" si="63"/>
        <v>0</v>
      </c>
      <c r="AQ43">
        <f t="shared" si="64"/>
        <v>0</v>
      </c>
      <c r="AR43">
        <f t="shared" si="65"/>
        <v>0</v>
      </c>
      <c r="AS43">
        <f t="shared" si="66"/>
        <v>0</v>
      </c>
      <c r="AT43">
        <f t="shared" si="67"/>
        <v>0</v>
      </c>
      <c r="AU43">
        <f t="shared" si="68"/>
        <v>0</v>
      </c>
    </row>
    <row r="44" spans="1:47" ht="21.9" customHeight="1" x14ac:dyDescent="0.4">
      <c r="A44" s="5" t="s">
        <v>646</v>
      </c>
      <c r="B44" s="5" t="s">
        <v>256</v>
      </c>
      <c r="C44" s="6" t="s">
        <v>18</v>
      </c>
      <c r="D44" s="8">
        <v>72</v>
      </c>
      <c r="E44" s="8">
        <f>ROUNDDOWN(단가대비표!N113, 0)</f>
        <v>3120</v>
      </c>
      <c r="F44" s="8">
        <f t="shared" si="35"/>
        <v>224640</v>
      </c>
      <c r="G44" s="8"/>
      <c r="H44" s="8">
        <f t="shared" si="36"/>
        <v>0</v>
      </c>
      <c r="I44" s="8"/>
      <c r="J44" s="8">
        <f t="shared" si="37"/>
        <v>0</v>
      </c>
      <c r="K44" s="8">
        <f t="shared" si="69"/>
        <v>3120</v>
      </c>
      <c r="L44" s="8">
        <f t="shared" si="70"/>
        <v>224640</v>
      </c>
      <c r="M44" s="7"/>
      <c r="O44" t="str">
        <f t="shared" si="38"/>
        <v>01</v>
      </c>
      <c r="P44" s="10" t="s">
        <v>361</v>
      </c>
      <c r="Q44">
        <v>1</v>
      </c>
      <c r="R44">
        <f t="shared" si="39"/>
        <v>0</v>
      </c>
      <c r="S44">
        <f t="shared" si="40"/>
        <v>0</v>
      </c>
      <c r="T44">
        <f t="shared" si="41"/>
        <v>0</v>
      </c>
      <c r="U44">
        <f t="shared" si="42"/>
        <v>0</v>
      </c>
      <c r="V44">
        <f t="shared" si="43"/>
        <v>0</v>
      </c>
      <c r="W44">
        <f t="shared" si="44"/>
        <v>0</v>
      </c>
      <c r="X44">
        <f t="shared" si="45"/>
        <v>0</v>
      </c>
      <c r="Y44">
        <f t="shared" si="46"/>
        <v>0</v>
      </c>
      <c r="Z44">
        <f t="shared" si="47"/>
        <v>0</v>
      </c>
      <c r="AA44">
        <f t="shared" si="48"/>
        <v>0</v>
      </c>
      <c r="AB44">
        <f t="shared" si="49"/>
        <v>0</v>
      </c>
      <c r="AC44">
        <f t="shared" si="50"/>
        <v>0</v>
      </c>
      <c r="AD44">
        <f t="shared" si="51"/>
        <v>0</v>
      </c>
      <c r="AE44">
        <f t="shared" si="52"/>
        <v>0</v>
      </c>
      <c r="AF44">
        <f t="shared" si="53"/>
        <v>0</v>
      </c>
      <c r="AG44">
        <f t="shared" si="54"/>
        <v>0</v>
      </c>
      <c r="AH44">
        <f t="shared" si="55"/>
        <v>0</v>
      </c>
      <c r="AI44">
        <f t="shared" si="56"/>
        <v>0</v>
      </c>
      <c r="AJ44">
        <f t="shared" si="57"/>
        <v>0</v>
      </c>
      <c r="AK44">
        <f t="shared" si="58"/>
        <v>0</v>
      </c>
      <c r="AL44">
        <f t="shared" si="59"/>
        <v>0</v>
      </c>
      <c r="AM44">
        <f t="shared" si="60"/>
        <v>0</v>
      </c>
      <c r="AN44">
        <f t="shared" si="61"/>
        <v>0</v>
      </c>
      <c r="AO44">
        <f t="shared" si="62"/>
        <v>0</v>
      </c>
      <c r="AP44">
        <f t="shared" si="63"/>
        <v>0</v>
      </c>
      <c r="AQ44">
        <f t="shared" si="64"/>
        <v>0</v>
      </c>
      <c r="AR44">
        <f t="shared" si="65"/>
        <v>0</v>
      </c>
      <c r="AS44">
        <f t="shared" si="66"/>
        <v>0</v>
      </c>
      <c r="AT44">
        <f t="shared" si="67"/>
        <v>0</v>
      </c>
      <c r="AU44">
        <f t="shared" si="68"/>
        <v>0</v>
      </c>
    </row>
    <row r="45" spans="1:47" ht="21.9" customHeight="1" x14ac:dyDescent="0.4">
      <c r="A45" s="5" t="s">
        <v>647</v>
      </c>
      <c r="B45" s="5" t="s">
        <v>254</v>
      </c>
      <c r="C45" s="6" t="s">
        <v>18</v>
      </c>
      <c r="D45" s="8">
        <v>36</v>
      </c>
      <c r="E45" s="8">
        <f>ROUNDDOWN(단가대비표!N112, 0)</f>
        <v>1040</v>
      </c>
      <c r="F45" s="8">
        <f t="shared" si="35"/>
        <v>37440</v>
      </c>
      <c r="G45" s="8"/>
      <c r="H45" s="8">
        <f t="shared" si="36"/>
        <v>0</v>
      </c>
      <c r="I45" s="8"/>
      <c r="J45" s="8">
        <f t="shared" si="37"/>
        <v>0</v>
      </c>
      <c r="K45" s="8">
        <f t="shared" si="69"/>
        <v>1040</v>
      </c>
      <c r="L45" s="8">
        <f t="shared" si="70"/>
        <v>37440</v>
      </c>
      <c r="M45" s="7"/>
      <c r="O45" t="str">
        <f t="shared" si="38"/>
        <v>01</v>
      </c>
      <c r="P45" s="10" t="s">
        <v>361</v>
      </c>
      <c r="Q45">
        <v>1</v>
      </c>
      <c r="R45">
        <f t="shared" si="39"/>
        <v>0</v>
      </c>
      <c r="S45">
        <f t="shared" si="40"/>
        <v>0</v>
      </c>
      <c r="T45">
        <f t="shared" si="41"/>
        <v>0</v>
      </c>
      <c r="U45">
        <f t="shared" si="42"/>
        <v>0</v>
      </c>
      <c r="V45">
        <f t="shared" si="43"/>
        <v>0</v>
      </c>
      <c r="W45">
        <f t="shared" si="44"/>
        <v>0</v>
      </c>
      <c r="X45">
        <f t="shared" si="45"/>
        <v>0</v>
      </c>
      <c r="Y45">
        <f t="shared" si="46"/>
        <v>0</v>
      </c>
      <c r="Z45">
        <f t="shared" si="47"/>
        <v>0</v>
      </c>
      <c r="AA45">
        <f t="shared" si="48"/>
        <v>0</v>
      </c>
      <c r="AB45">
        <f t="shared" si="49"/>
        <v>0</v>
      </c>
      <c r="AC45">
        <f t="shared" si="50"/>
        <v>0</v>
      </c>
      <c r="AD45">
        <f t="shared" si="51"/>
        <v>0</v>
      </c>
      <c r="AE45">
        <f t="shared" si="52"/>
        <v>0</v>
      </c>
      <c r="AF45">
        <f t="shared" si="53"/>
        <v>0</v>
      </c>
      <c r="AG45">
        <f t="shared" si="54"/>
        <v>0</v>
      </c>
      <c r="AH45">
        <f t="shared" si="55"/>
        <v>0</v>
      </c>
      <c r="AI45">
        <f t="shared" si="56"/>
        <v>0</v>
      </c>
      <c r="AJ45">
        <f t="shared" si="57"/>
        <v>0</v>
      </c>
      <c r="AK45">
        <f t="shared" si="58"/>
        <v>0</v>
      </c>
      <c r="AL45">
        <f t="shared" si="59"/>
        <v>0</v>
      </c>
      <c r="AM45">
        <f t="shared" si="60"/>
        <v>0</v>
      </c>
      <c r="AN45">
        <f t="shared" si="61"/>
        <v>0</v>
      </c>
      <c r="AO45">
        <f t="shared" si="62"/>
        <v>0</v>
      </c>
      <c r="AP45">
        <f t="shared" si="63"/>
        <v>0</v>
      </c>
      <c r="AQ45">
        <f t="shared" si="64"/>
        <v>0</v>
      </c>
      <c r="AR45">
        <f t="shared" si="65"/>
        <v>0</v>
      </c>
      <c r="AS45">
        <f t="shared" si="66"/>
        <v>0</v>
      </c>
      <c r="AT45">
        <f t="shared" si="67"/>
        <v>0</v>
      </c>
      <c r="AU45">
        <f t="shared" si="68"/>
        <v>0</v>
      </c>
    </row>
    <row r="46" spans="1:47" ht="21.9" customHeight="1" x14ac:dyDescent="0.4">
      <c r="A46" s="5" t="s">
        <v>648</v>
      </c>
      <c r="B46" s="5" t="s">
        <v>92</v>
      </c>
      <c r="C46" s="6" t="s">
        <v>18</v>
      </c>
      <c r="D46" s="8">
        <v>10300</v>
      </c>
      <c r="E46" s="8">
        <f>ROUNDDOWN(단가대비표!N87, 0)</f>
        <v>150</v>
      </c>
      <c r="F46" s="8">
        <f t="shared" si="35"/>
        <v>1545000</v>
      </c>
      <c r="G46" s="8"/>
      <c r="H46" s="8">
        <f t="shared" si="36"/>
        <v>0</v>
      </c>
      <c r="I46" s="8"/>
      <c r="J46" s="8">
        <f t="shared" si="37"/>
        <v>0</v>
      </c>
      <c r="K46" s="8">
        <f t="shared" si="69"/>
        <v>150</v>
      </c>
      <c r="L46" s="8">
        <f t="shared" si="70"/>
        <v>1545000</v>
      </c>
      <c r="M46" s="7"/>
      <c r="O46" t="str">
        <f t="shared" si="38"/>
        <v>01</v>
      </c>
      <c r="P46" s="10" t="s">
        <v>361</v>
      </c>
      <c r="Q46">
        <v>1</v>
      </c>
      <c r="R46">
        <f t="shared" si="39"/>
        <v>0</v>
      </c>
      <c r="S46">
        <f t="shared" si="40"/>
        <v>0</v>
      </c>
      <c r="T46">
        <f t="shared" si="41"/>
        <v>0</v>
      </c>
      <c r="U46">
        <f t="shared" si="42"/>
        <v>0</v>
      </c>
      <c r="V46">
        <f t="shared" si="43"/>
        <v>0</v>
      </c>
      <c r="W46">
        <f t="shared" si="44"/>
        <v>0</v>
      </c>
      <c r="X46">
        <f t="shared" si="45"/>
        <v>0</v>
      </c>
      <c r="Y46">
        <f t="shared" si="46"/>
        <v>0</v>
      </c>
      <c r="Z46">
        <f t="shared" si="47"/>
        <v>0</v>
      </c>
      <c r="AA46">
        <f t="shared" si="48"/>
        <v>0</v>
      </c>
      <c r="AB46">
        <f t="shared" si="49"/>
        <v>0</v>
      </c>
      <c r="AC46">
        <f t="shared" si="50"/>
        <v>0</v>
      </c>
      <c r="AD46">
        <f t="shared" si="51"/>
        <v>0</v>
      </c>
      <c r="AE46">
        <f t="shared" si="52"/>
        <v>0</v>
      </c>
      <c r="AF46">
        <f t="shared" si="53"/>
        <v>0</v>
      </c>
      <c r="AG46">
        <f t="shared" si="54"/>
        <v>0</v>
      </c>
      <c r="AH46">
        <f t="shared" si="55"/>
        <v>0</v>
      </c>
      <c r="AI46">
        <f t="shared" si="56"/>
        <v>0</v>
      </c>
      <c r="AJ46">
        <f t="shared" si="57"/>
        <v>0</v>
      </c>
      <c r="AK46">
        <f t="shared" si="58"/>
        <v>0</v>
      </c>
      <c r="AL46">
        <f t="shared" si="59"/>
        <v>0</v>
      </c>
      <c r="AM46">
        <f t="shared" si="60"/>
        <v>0</v>
      </c>
      <c r="AN46">
        <f t="shared" si="61"/>
        <v>0</v>
      </c>
      <c r="AO46">
        <f t="shared" si="62"/>
        <v>0</v>
      </c>
      <c r="AP46">
        <f t="shared" si="63"/>
        <v>0</v>
      </c>
      <c r="AQ46">
        <f t="shared" si="64"/>
        <v>0</v>
      </c>
      <c r="AR46">
        <f t="shared" si="65"/>
        <v>0</v>
      </c>
      <c r="AS46">
        <f t="shared" si="66"/>
        <v>0</v>
      </c>
      <c r="AT46">
        <f t="shared" si="67"/>
        <v>0</v>
      </c>
      <c r="AU46">
        <f t="shared" si="68"/>
        <v>0</v>
      </c>
    </row>
    <row r="47" spans="1:47" ht="21.9" customHeight="1" x14ac:dyDescent="0.4">
      <c r="A47" s="5" t="s">
        <v>648</v>
      </c>
      <c r="B47" s="5" t="s">
        <v>201</v>
      </c>
      <c r="C47" s="6" t="s">
        <v>18</v>
      </c>
      <c r="D47" s="8">
        <v>2150</v>
      </c>
      <c r="E47" s="8">
        <f>ROUNDDOWN(단가대비표!N88, 0)</f>
        <v>160</v>
      </c>
      <c r="F47" s="8">
        <f t="shared" si="35"/>
        <v>344000</v>
      </c>
      <c r="G47" s="8"/>
      <c r="H47" s="8">
        <f t="shared" si="36"/>
        <v>0</v>
      </c>
      <c r="I47" s="8"/>
      <c r="J47" s="8">
        <f t="shared" si="37"/>
        <v>0</v>
      </c>
      <c r="K47" s="8">
        <f t="shared" si="69"/>
        <v>160</v>
      </c>
      <c r="L47" s="8">
        <f t="shared" si="70"/>
        <v>344000</v>
      </c>
      <c r="M47" s="7"/>
      <c r="O47" t="str">
        <f t="shared" si="38"/>
        <v>01</v>
      </c>
      <c r="P47" s="10" t="s">
        <v>361</v>
      </c>
      <c r="Q47">
        <v>1</v>
      </c>
      <c r="R47">
        <f t="shared" si="39"/>
        <v>0</v>
      </c>
      <c r="S47">
        <f t="shared" si="40"/>
        <v>0</v>
      </c>
      <c r="T47">
        <f t="shared" si="41"/>
        <v>0</v>
      </c>
      <c r="U47">
        <f t="shared" si="42"/>
        <v>0</v>
      </c>
      <c r="V47">
        <f t="shared" si="43"/>
        <v>0</v>
      </c>
      <c r="W47">
        <f t="shared" si="44"/>
        <v>0</v>
      </c>
      <c r="X47">
        <f t="shared" si="45"/>
        <v>0</v>
      </c>
      <c r="Y47">
        <f t="shared" si="46"/>
        <v>0</v>
      </c>
      <c r="Z47">
        <f t="shared" si="47"/>
        <v>0</v>
      </c>
      <c r="AA47">
        <f t="shared" si="48"/>
        <v>0</v>
      </c>
      <c r="AB47">
        <f t="shared" si="49"/>
        <v>0</v>
      </c>
      <c r="AC47">
        <f t="shared" si="50"/>
        <v>0</v>
      </c>
      <c r="AD47">
        <f t="shared" si="51"/>
        <v>0</v>
      </c>
      <c r="AE47">
        <f t="shared" si="52"/>
        <v>0</v>
      </c>
      <c r="AF47">
        <f t="shared" si="53"/>
        <v>0</v>
      </c>
      <c r="AG47">
        <f t="shared" si="54"/>
        <v>0</v>
      </c>
      <c r="AH47">
        <f t="shared" si="55"/>
        <v>0</v>
      </c>
      <c r="AI47">
        <f t="shared" si="56"/>
        <v>0</v>
      </c>
      <c r="AJ47">
        <f t="shared" si="57"/>
        <v>0</v>
      </c>
      <c r="AK47">
        <f t="shared" si="58"/>
        <v>0</v>
      </c>
      <c r="AL47">
        <f t="shared" si="59"/>
        <v>0</v>
      </c>
      <c r="AM47">
        <f t="shared" si="60"/>
        <v>0</v>
      </c>
      <c r="AN47">
        <f t="shared" si="61"/>
        <v>0</v>
      </c>
      <c r="AO47">
        <f t="shared" si="62"/>
        <v>0</v>
      </c>
      <c r="AP47">
        <f t="shared" si="63"/>
        <v>0</v>
      </c>
      <c r="AQ47">
        <f t="shared" si="64"/>
        <v>0</v>
      </c>
      <c r="AR47">
        <f t="shared" si="65"/>
        <v>0</v>
      </c>
      <c r="AS47">
        <f t="shared" si="66"/>
        <v>0</v>
      </c>
      <c r="AT47">
        <f t="shared" si="67"/>
        <v>0</v>
      </c>
      <c r="AU47">
        <f t="shared" si="68"/>
        <v>0</v>
      </c>
    </row>
    <row r="48" spans="1:47" ht="21.9" customHeight="1" x14ac:dyDescent="0.4">
      <c r="A48" s="5" t="s">
        <v>649</v>
      </c>
      <c r="B48" s="5" t="s">
        <v>92</v>
      </c>
      <c r="C48" s="6" t="s">
        <v>18</v>
      </c>
      <c r="D48" s="8">
        <v>4100</v>
      </c>
      <c r="E48" s="8">
        <f>ROUNDDOWN(단가대비표!N36, 0)</f>
        <v>570</v>
      </c>
      <c r="F48" s="8">
        <f t="shared" si="35"/>
        <v>2337000</v>
      </c>
      <c r="G48" s="8"/>
      <c r="H48" s="8">
        <f t="shared" si="36"/>
        <v>0</v>
      </c>
      <c r="I48" s="8"/>
      <c r="J48" s="8">
        <f t="shared" si="37"/>
        <v>0</v>
      </c>
      <c r="K48" s="8">
        <f t="shared" si="69"/>
        <v>570</v>
      </c>
      <c r="L48" s="8">
        <f t="shared" si="70"/>
        <v>2337000</v>
      </c>
      <c r="M48" s="7"/>
      <c r="O48" t="str">
        <f t="shared" si="38"/>
        <v>01</v>
      </c>
      <c r="P48" s="10" t="s">
        <v>361</v>
      </c>
      <c r="Q48">
        <v>1</v>
      </c>
      <c r="R48">
        <f t="shared" si="39"/>
        <v>0</v>
      </c>
      <c r="S48">
        <f t="shared" si="40"/>
        <v>0</v>
      </c>
      <c r="T48">
        <f t="shared" si="41"/>
        <v>0</v>
      </c>
      <c r="U48">
        <f t="shared" si="42"/>
        <v>0</v>
      </c>
      <c r="V48">
        <f t="shared" si="43"/>
        <v>0</v>
      </c>
      <c r="W48">
        <f t="shared" si="44"/>
        <v>0</v>
      </c>
      <c r="X48">
        <f t="shared" si="45"/>
        <v>0</v>
      </c>
      <c r="Y48">
        <f t="shared" si="46"/>
        <v>0</v>
      </c>
      <c r="Z48">
        <f t="shared" si="47"/>
        <v>0</v>
      </c>
      <c r="AA48">
        <f t="shared" si="48"/>
        <v>0</v>
      </c>
      <c r="AB48">
        <f t="shared" si="49"/>
        <v>0</v>
      </c>
      <c r="AC48">
        <f t="shared" si="50"/>
        <v>0</v>
      </c>
      <c r="AD48">
        <f t="shared" si="51"/>
        <v>0</v>
      </c>
      <c r="AE48">
        <f t="shared" si="52"/>
        <v>0</v>
      </c>
      <c r="AF48">
        <f t="shared" si="53"/>
        <v>0</v>
      </c>
      <c r="AG48">
        <f t="shared" si="54"/>
        <v>0</v>
      </c>
      <c r="AH48">
        <f t="shared" si="55"/>
        <v>0</v>
      </c>
      <c r="AI48">
        <f t="shared" si="56"/>
        <v>0</v>
      </c>
      <c r="AJ48">
        <f t="shared" si="57"/>
        <v>0</v>
      </c>
      <c r="AK48">
        <f t="shared" si="58"/>
        <v>0</v>
      </c>
      <c r="AL48">
        <f t="shared" si="59"/>
        <v>0</v>
      </c>
      <c r="AM48">
        <f t="shared" si="60"/>
        <v>0</v>
      </c>
      <c r="AN48">
        <f t="shared" si="61"/>
        <v>0</v>
      </c>
      <c r="AO48">
        <f t="shared" si="62"/>
        <v>0</v>
      </c>
      <c r="AP48">
        <f t="shared" si="63"/>
        <v>0</v>
      </c>
      <c r="AQ48">
        <f t="shared" si="64"/>
        <v>0</v>
      </c>
      <c r="AR48">
        <f t="shared" si="65"/>
        <v>0</v>
      </c>
      <c r="AS48">
        <f t="shared" si="66"/>
        <v>0</v>
      </c>
      <c r="AT48">
        <f t="shared" si="67"/>
        <v>0</v>
      </c>
      <c r="AU48">
        <f t="shared" si="68"/>
        <v>0</v>
      </c>
    </row>
    <row r="49" spans="1:47" ht="21.9" customHeight="1" x14ac:dyDescent="0.4">
      <c r="A49" s="5" t="s">
        <v>650</v>
      </c>
      <c r="B49" s="5" t="s">
        <v>33</v>
      </c>
      <c r="C49" s="6" t="s">
        <v>18</v>
      </c>
      <c r="D49" s="8">
        <v>790</v>
      </c>
      <c r="E49" s="8">
        <f>ROUNDDOWN(단가대비표!N124, 0)</f>
        <v>6240</v>
      </c>
      <c r="F49" s="8">
        <f t="shared" si="35"/>
        <v>4929600</v>
      </c>
      <c r="G49" s="8"/>
      <c r="H49" s="8">
        <f t="shared" si="36"/>
        <v>0</v>
      </c>
      <c r="I49" s="8"/>
      <c r="J49" s="8">
        <f t="shared" si="37"/>
        <v>0</v>
      </c>
      <c r="K49" s="8">
        <f t="shared" si="69"/>
        <v>6240</v>
      </c>
      <c r="L49" s="8">
        <f t="shared" si="70"/>
        <v>4929600</v>
      </c>
      <c r="M49" s="7"/>
      <c r="O49" t="str">
        <f t="shared" si="38"/>
        <v>01</v>
      </c>
      <c r="P49" s="10" t="s">
        <v>361</v>
      </c>
      <c r="Q49">
        <v>1</v>
      </c>
      <c r="R49">
        <f t="shared" si="39"/>
        <v>0</v>
      </c>
      <c r="S49">
        <f t="shared" si="40"/>
        <v>0</v>
      </c>
      <c r="T49">
        <f t="shared" si="41"/>
        <v>0</v>
      </c>
      <c r="U49">
        <f t="shared" si="42"/>
        <v>0</v>
      </c>
      <c r="V49">
        <f t="shared" si="43"/>
        <v>0</v>
      </c>
      <c r="W49">
        <f t="shared" si="44"/>
        <v>0</v>
      </c>
      <c r="X49">
        <f t="shared" si="45"/>
        <v>0</v>
      </c>
      <c r="Y49">
        <f t="shared" si="46"/>
        <v>0</v>
      </c>
      <c r="Z49">
        <f t="shared" si="47"/>
        <v>0</v>
      </c>
      <c r="AA49">
        <f t="shared" si="48"/>
        <v>0</v>
      </c>
      <c r="AB49">
        <f t="shared" si="49"/>
        <v>0</v>
      </c>
      <c r="AC49">
        <f t="shared" si="50"/>
        <v>0</v>
      </c>
      <c r="AD49">
        <f t="shared" si="51"/>
        <v>0</v>
      </c>
      <c r="AE49">
        <f t="shared" si="52"/>
        <v>0</v>
      </c>
      <c r="AF49">
        <f t="shared" si="53"/>
        <v>0</v>
      </c>
      <c r="AG49">
        <f t="shared" si="54"/>
        <v>0</v>
      </c>
      <c r="AH49">
        <f t="shared" si="55"/>
        <v>0</v>
      </c>
      <c r="AI49">
        <f t="shared" si="56"/>
        <v>0</v>
      </c>
      <c r="AJ49">
        <f t="shared" si="57"/>
        <v>0</v>
      </c>
      <c r="AK49">
        <f t="shared" si="58"/>
        <v>0</v>
      </c>
      <c r="AL49">
        <f t="shared" si="59"/>
        <v>0</v>
      </c>
      <c r="AM49">
        <f t="shared" si="60"/>
        <v>0</v>
      </c>
      <c r="AN49">
        <f t="shared" si="61"/>
        <v>0</v>
      </c>
      <c r="AO49">
        <f t="shared" si="62"/>
        <v>0</v>
      </c>
      <c r="AP49">
        <f t="shared" si="63"/>
        <v>0</v>
      </c>
      <c r="AQ49">
        <f t="shared" si="64"/>
        <v>0</v>
      </c>
      <c r="AR49">
        <f t="shared" si="65"/>
        <v>0</v>
      </c>
      <c r="AS49">
        <f t="shared" si="66"/>
        <v>0</v>
      </c>
      <c r="AT49">
        <f t="shared" si="67"/>
        <v>0</v>
      </c>
      <c r="AU49">
        <f t="shared" si="68"/>
        <v>0</v>
      </c>
    </row>
    <row r="50" spans="1:47" ht="21.9" customHeight="1" x14ac:dyDescent="0.4">
      <c r="A50" s="5" t="s">
        <v>651</v>
      </c>
      <c r="B50" s="5" t="s">
        <v>33</v>
      </c>
      <c r="C50" s="6" t="s">
        <v>18</v>
      </c>
      <c r="D50" s="8">
        <v>195</v>
      </c>
      <c r="E50" s="8">
        <f>ROUNDDOWN(단가대비표!N126, 0)</f>
        <v>6240</v>
      </c>
      <c r="F50" s="8">
        <f t="shared" si="35"/>
        <v>1216800</v>
      </c>
      <c r="G50" s="8"/>
      <c r="H50" s="8">
        <f t="shared" si="36"/>
        <v>0</v>
      </c>
      <c r="I50" s="8"/>
      <c r="J50" s="8">
        <f t="shared" si="37"/>
        <v>0</v>
      </c>
      <c r="K50" s="8">
        <f t="shared" si="69"/>
        <v>6240</v>
      </c>
      <c r="L50" s="8">
        <f t="shared" si="70"/>
        <v>1216800</v>
      </c>
      <c r="M50" s="7"/>
      <c r="O50" t="str">
        <f t="shared" si="38"/>
        <v>01</v>
      </c>
      <c r="P50" s="10" t="s">
        <v>361</v>
      </c>
      <c r="Q50">
        <v>1</v>
      </c>
      <c r="R50">
        <f t="shared" si="39"/>
        <v>0</v>
      </c>
      <c r="S50">
        <f t="shared" si="40"/>
        <v>0</v>
      </c>
      <c r="T50">
        <f t="shared" si="41"/>
        <v>0</v>
      </c>
      <c r="U50">
        <f t="shared" si="42"/>
        <v>0</v>
      </c>
      <c r="V50">
        <f t="shared" si="43"/>
        <v>0</v>
      </c>
      <c r="W50">
        <f t="shared" si="44"/>
        <v>0</v>
      </c>
      <c r="X50">
        <f t="shared" si="45"/>
        <v>0</v>
      </c>
      <c r="Y50">
        <f t="shared" si="46"/>
        <v>0</v>
      </c>
      <c r="Z50">
        <f t="shared" si="47"/>
        <v>0</v>
      </c>
      <c r="AA50">
        <f t="shared" si="48"/>
        <v>0</v>
      </c>
      <c r="AB50">
        <f t="shared" si="49"/>
        <v>0</v>
      </c>
      <c r="AC50">
        <f t="shared" si="50"/>
        <v>0</v>
      </c>
      <c r="AD50">
        <f t="shared" si="51"/>
        <v>0</v>
      </c>
      <c r="AE50">
        <f t="shared" si="52"/>
        <v>0</v>
      </c>
      <c r="AF50">
        <f t="shared" si="53"/>
        <v>0</v>
      </c>
      <c r="AG50">
        <f t="shared" si="54"/>
        <v>0</v>
      </c>
      <c r="AH50">
        <f t="shared" si="55"/>
        <v>0</v>
      </c>
      <c r="AI50">
        <f t="shared" si="56"/>
        <v>0</v>
      </c>
      <c r="AJ50">
        <f t="shared" si="57"/>
        <v>0</v>
      </c>
      <c r="AK50">
        <f t="shared" si="58"/>
        <v>0</v>
      </c>
      <c r="AL50">
        <f t="shared" si="59"/>
        <v>0</v>
      </c>
      <c r="AM50">
        <f t="shared" si="60"/>
        <v>0</v>
      </c>
      <c r="AN50">
        <f t="shared" si="61"/>
        <v>0</v>
      </c>
      <c r="AO50">
        <f t="shared" si="62"/>
        <v>0</v>
      </c>
      <c r="AP50">
        <f t="shared" si="63"/>
        <v>0</v>
      </c>
      <c r="AQ50">
        <f t="shared" si="64"/>
        <v>0</v>
      </c>
      <c r="AR50">
        <f t="shared" si="65"/>
        <v>0</v>
      </c>
      <c r="AS50">
        <f t="shared" si="66"/>
        <v>0</v>
      </c>
      <c r="AT50">
        <f t="shared" si="67"/>
        <v>0</v>
      </c>
      <c r="AU50">
        <f t="shared" si="68"/>
        <v>0</v>
      </c>
    </row>
    <row r="51" spans="1:47" ht="21.9" customHeight="1" x14ac:dyDescent="0.4">
      <c r="A51" s="5" t="s">
        <v>652</v>
      </c>
      <c r="B51" s="5" t="s">
        <v>33</v>
      </c>
      <c r="C51" s="6" t="s">
        <v>18</v>
      </c>
      <c r="D51" s="8">
        <v>180</v>
      </c>
      <c r="E51" s="8">
        <f>ROUNDDOWN(단가대비표!N125, 0)</f>
        <v>6240</v>
      </c>
      <c r="F51" s="8">
        <f t="shared" ref="F51:F77" si="71">ROUNDDOWN(D51*E51, 0)</f>
        <v>1123200</v>
      </c>
      <c r="G51" s="8"/>
      <c r="H51" s="8">
        <f t="shared" ref="H51:H77" si="72">ROUNDDOWN(D51*G51, 0)</f>
        <v>0</v>
      </c>
      <c r="I51" s="8"/>
      <c r="J51" s="8">
        <f t="shared" ref="J51:J77" si="73">ROUNDDOWN(D51*I51, 0)</f>
        <v>0</v>
      </c>
      <c r="K51" s="8">
        <f t="shared" si="69"/>
        <v>6240</v>
      </c>
      <c r="L51" s="8">
        <f t="shared" si="70"/>
        <v>1123200</v>
      </c>
      <c r="M51" s="7"/>
      <c r="O51" t="str">
        <f t="shared" ref="O51:O75" si="74">"01"</f>
        <v>01</v>
      </c>
      <c r="P51" s="10" t="s">
        <v>361</v>
      </c>
      <c r="Q51">
        <v>1</v>
      </c>
      <c r="R51">
        <f t="shared" ref="R51:R77" si="75">IF(P51="기계경비", J51, 0)</f>
        <v>0</v>
      </c>
      <c r="S51">
        <f t="shared" ref="S51:S77" si="76">IF(P51="운반비", L51, 0)</f>
        <v>0</v>
      </c>
      <c r="T51">
        <f t="shared" ref="T51:T77" si="77">IF(P51="작업부산물", F51, 0)</f>
        <v>0</v>
      </c>
      <c r="U51">
        <f t="shared" ref="U51:U77" si="78">IF(P51="관급", F51, 0)</f>
        <v>0</v>
      </c>
      <c r="V51">
        <f t="shared" ref="V51:V77" si="79">IF(P51="외주비", J51, 0)</f>
        <v>0</v>
      </c>
      <c r="W51">
        <f t="shared" ref="W51:W77" si="80">IF(P51="장비비", J51, 0)</f>
        <v>0</v>
      </c>
      <c r="X51">
        <f t="shared" ref="X51:X77" si="81">IF(P51="폐기물처리비", L51, 0)</f>
        <v>0</v>
      </c>
      <c r="Y51">
        <f t="shared" ref="Y51:Y77" si="82">IF(P51="가설비", J51, 0)</f>
        <v>0</v>
      </c>
      <c r="Z51">
        <f t="shared" ref="Z51:Z77" si="83">IF(P51="잡비제외분", F51, 0)</f>
        <v>0</v>
      </c>
      <c r="AA51">
        <f t="shared" ref="AA51:AA77" si="84">IF(P51="사급자재대", L51, 0)</f>
        <v>0</v>
      </c>
      <c r="AB51">
        <f t="shared" ref="AB51:AB77" si="85">IF(P51="관급자재대", L51, 0)</f>
        <v>0</v>
      </c>
      <c r="AC51">
        <f t="shared" ref="AC51:AC77" si="86">IF(P51="고철처리비", L51, 0)</f>
        <v>0</v>
      </c>
      <c r="AD51">
        <f t="shared" ref="AD51:AD77" si="87">IF(P51="사용자항목2", L51, 0)</f>
        <v>0</v>
      </c>
      <c r="AE51">
        <f t="shared" ref="AE51:AE77" si="88">IF(P51="안전관리비", L51, 0)</f>
        <v>0</v>
      </c>
      <c r="AF51">
        <f t="shared" ref="AF51:AF77" si="89">IF(P51="품질관리비", L51, 0)</f>
        <v>0</v>
      </c>
      <c r="AG51">
        <f t="shared" ref="AG51:AG77" si="90">IF(P51="사용자항목5", L51, 0)</f>
        <v>0</v>
      </c>
      <c r="AH51">
        <f t="shared" ref="AH51:AH77" si="91">IF(P51="사용자항목6", L51, 0)</f>
        <v>0</v>
      </c>
      <c r="AI51">
        <f t="shared" ref="AI51:AI77" si="92">IF(P51="사용자항목7", L51, 0)</f>
        <v>0</v>
      </c>
      <c r="AJ51">
        <f t="shared" ref="AJ51:AJ77" si="93">IF(P51="관급자 관급 자재대", L51, 0)</f>
        <v>0</v>
      </c>
      <c r="AK51">
        <f t="shared" ref="AK51:AK77" si="94">IF(P51="전기공사", L51, 0)</f>
        <v>0</v>
      </c>
      <c r="AL51">
        <f t="shared" ref="AL51:AL77" si="95">IF(P51="석면분담금", L51, 0)</f>
        <v>0</v>
      </c>
      <c r="AM51">
        <f t="shared" ref="AM51:AM77" si="96">IF(P51="임금채권부담금", L51, 0)</f>
        <v>0</v>
      </c>
      <c r="AN51">
        <f t="shared" ref="AN51:AN77" si="97">IF(P51="건설기계대여보증수수료", L51, 0)</f>
        <v>0</v>
      </c>
      <c r="AO51">
        <f t="shared" ref="AO51:AO77" si="98">IF(P51="사용자항목13", L51, 0)</f>
        <v>0</v>
      </c>
      <c r="AP51">
        <f t="shared" ref="AP51:AP77" si="99">IF(P51="사용자항목14", L51, 0)</f>
        <v>0</v>
      </c>
      <c r="AQ51">
        <f t="shared" ref="AQ51:AQ77" si="100">IF(P51="사용자항목15", L51, 0)</f>
        <v>0</v>
      </c>
      <c r="AR51">
        <f t="shared" ref="AR51:AR77" si="101">IF(P51="사용자항목16", L51, 0)</f>
        <v>0</v>
      </c>
      <c r="AS51">
        <f t="shared" ref="AS51:AS77" si="102">IF(P51="사용자항목17", L51, 0)</f>
        <v>0</v>
      </c>
      <c r="AT51">
        <f t="shared" ref="AT51:AT77" si="103">IF(P51="사용자항목18", L51, 0)</f>
        <v>0</v>
      </c>
      <c r="AU51">
        <f t="shared" ref="AU51:AU77" si="104">IF(P51="사용자항목19", L51, 0)</f>
        <v>0</v>
      </c>
    </row>
    <row r="52" spans="1:47" ht="21.9" customHeight="1" x14ac:dyDescent="0.4">
      <c r="A52" s="5" t="s">
        <v>653</v>
      </c>
      <c r="B52" s="5" t="s">
        <v>33</v>
      </c>
      <c r="C52" s="6" t="s">
        <v>18</v>
      </c>
      <c r="D52" s="8">
        <v>280</v>
      </c>
      <c r="E52" s="8">
        <f>ROUNDDOWN(단가대비표!N12, 0)</f>
        <v>12480</v>
      </c>
      <c r="F52" s="8">
        <f t="shared" si="71"/>
        <v>3494400</v>
      </c>
      <c r="G52" s="8"/>
      <c r="H52" s="8">
        <f t="shared" si="72"/>
        <v>0</v>
      </c>
      <c r="I52" s="8"/>
      <c r="J52" s="8">
        <f t="shared" si="73"/>
        <v>0</v>
      </c>
      <c r="K52" s="8">
        <f t="shared" si="69"/>
        <v>12480</v>
      </c>
      <c r="L52" s="8">
        <f t="shared" si="70"/>
        <v>3494400</v>
      </c>
      <c r="M52" s="7"/>
      <c r="O52" t="str">
        <f t="shared" si="74"/>
        <v>01</v>
      </c>
      <c r="P52" s="10" t="s">
        <v>361</v>
      </c>
      <c r="Q52">
        <v>1</v>
      </c>
      <c r="R52">
        <f t="shared" si="75"/>
        <v>0</v>
      </c>
      <c r="S52">
        <f t="shared" si="76"/>
        <v>0</v>
      </c>
      <c r="T52">
        <f t="shared" si="77"/>
        <v>0</v>
      </c>
      <c r="U52">
        <f t="shared" si="78"/>
        <v>0</v>
      </c>
      <c r="V52">
        <f t="shared" si="79"/>
        <v>0</v>
      </c>
      <c r="W52">
        <f t="shared" si="80"/>
        <v>0</v>
      </c>
      <c r="X52">
        <f t="shared" si="81"/>
        <v>0</v>
      </c>
      <c r="Y52">
        <f t="shared" si="82"/>
        <v>0</v>
      </c>
      <c r="Z52">
        <f t="shared" si="83"/>
        <v>0</v>
      </c>
      <c r="AA52">
        <f t="shared" si="84"/>
        <v>0</v>
      </c>
      <c r="AB52">
        <f t="shared" si="85"/>
        <v>0</v>
      </c>
      <c r="AC52">
        <f t="shared" si="86"/>
        <v>0</v>
      </c>
      <c r="AD52">
        <f t="shared" si="87"/>
        <v>0</v>
      </c>
      <c r="AE52">
        <f t="shared" si="88"/>
        <v>0</v>
      </c>
      <c r="AF52">
        <f t="shared" si="89"/>
        <v>0</v>
      </c>
      <c r="AG52">
        <f t="shared" si="90"/>
        <v>0</v>
      </c>
      <c r="AH52">
        <f t="shared" si="91"/>
        <v>0</v>
      </c>
      <c r="AI52">
        <f t="shared" si="92"/>
        <v>0</v>
      </c>
      <c r="AJ52">
        <f t="shared" si="93"/>
        <v>0</v>
      </c>
      <c r="AK52">
        <f t="shared" si="94"/>
        <v>0</v>
      </c>
      <c r="AL52">
        <f t="shared" si="95"/>
        <v>0</v>
      </c>
      <c r="AM52">
        <f t="shared" si="96"/>
        <v>0</v>
      </c>
      <c r="AN52">
        <f t="shared" si="97"/>
        <v>0</v>
      </c>
      <c r="AO52">
        <f t="shared" si="98"/>
        <v>0</v>
      </c>
      <c r="AP52">
        <f t="shared" si="99"/>
        <v>0</v>
      </c>
      <c r="AQ52">
        <f t="shared" si="100"/>
        <v>0</v>
      </c>
      <c r="AR52">
        <f t="shared" si="101"/>
        <v>0</v>
      </c>
      <c r="AS52">
        <f t="shared" si="102"/>
        <v>0</v>
      </c>
      <c r="AT52">
        <f t="shared" si="103"/>
        <v>0</v>
      </c>
      <c r="AU52">
        <f t="shared" si="104"/>
        <v>0</v>
      </c>
    </row>
    <row r="53" spans="1:47" ht="21.9" customHeight="1" x14ac:dyDescent="0.4">
      <c r="A53" s="5" t="s">
        <v>654</v>
      </c>
      <c r="B53" s="5" t="s">
        <v>23</v>
      </c>
      <c r="C53" s="6" t="s">
        <v>67</v>
      </c>
      <c r="D53" s="8">
        <v>180</v>
      </c>
      <c r="E53" s="8">
        <f>ROUNDDOWN(단가대비표!N26, 0)</f>
        <v>2600</v>
      </c>
      <c r="F53" s="8">
        <f t="shared" si="71"/>
        <v>468000</v>
      </c>
      <c r="G53" s="8"/>
      <c r="H53" s="8">
        <f t="shared" si="72"/>
        <v>0</v>
      </c>
      <c r="I53" s="8"/>
      <c r="J53" s="8">
        <f t="shared" si="73"/>
        <v>0</v>
      </c>
      <c r="K53" s="8">
        <f t="shared" si="69"/>
        <v>2600</v>
      </c>
      <c r="L53" s="8">
        <f t="shared" si="70"/>
        <v>468000</v>
      </c>
      <c r="M53" s="7"/>
      <c r="O53" t="str">
        <f t="shared" si="74"/>
        <v>01</v>
      </c>
      <c r="P53" s="10" t="s">
        <v>361</v>
      </c>
      <c r="Q53">
        <v>1</v>
      </c>
      <c r="R53">
        <f t="shared" si="75"/>
        <v>0</v>
      </c>
      <c r="S53">
        <f t="shared" si="76"/>
        <v>0</v>
      </c>
      <c r="T53">
        <f t="shared" si="77"/>
        <v>0</v>
      </c>
      <c r="U53">
        <f t="shared" si="78"/>
        <v>0</v>
      </c>
      <c r="V53">
        <f t="shared" si="79"/>
        <v>0</v>
      </c>
      <c r="W53">
        <f t="shared" si="80"/>
        <v>0</v>
      </c>
      <c r="X53">
        <f t="shared" si="81"/>
        <v>0</v>
      </c>
      <c r="Y53">
        <f t="shared" si="82"/>
        <v>0</v>
      </c>
      <c r="Z53">
        <f t="shared" si="83"/>
        <v>0</v>
      </c>
      <c r="AA53">
        <f t="shared" si="84"/>
        <v>0</v>
      </c>
      <c r="AB53">
        <f t="shared" si="85"/>
        <v>0</v>
      </c>
      <c r="AC53">
        <f t="shared" si="86"/>
        <v>0</v>
      </c>
      <c r="AD53">
        <f t="shared" si="87"/>
        <v>0</v>
      </c>
      <c r="AE53">
        <f t="shared" si="88"/>
        <v>0</v>
      </c>
      <c r="AF53">
        <f t="shared" si="89"/>
        <v>0</v>
      </c>
      <c r="AG53">
        <f t="shared" si="90"/>
        <v>0</v>
      </c>
      <c r="AH53">
        <f t="shared" si="91"/>
        <v>0</v>
      </c>
      <c r="AI53">
        <f t="shared" si="92"/>
        <v>0</v>
      </c>
      <c r="AJ53">
        <f t="shared" si="93"/>
        <v>0</v>
      </c>
      <c r="AK53">
        <f t="shared" si="94"/>
        <v>0</v>
      </c>
      <c r="AL53">
        <f t="shared" si="95"/>
        <v>0</v>
      </c>
      <c r="AM53">
        <f t="shared" si="96"/>
        <v>0</v>
      </c>
      <c r="AN53">
        <f t="shared" si="97"/>
        <v>0</v>
      </c>
      <c r="AO53">
        <f t="shared" si="98"/>
        <v>0</v>
      </c>
      <c r="AP53">
        <f t="shared" si="99"/>
        <v>0</v>
      </c>
      <c r="AQ53">
        <f t="shared" si="100"/>
        <v>0</v>
      </c>
      <c r="AR53">
        <f t="shared" si="101"/>
        <v>0</v>
      </c>
      <c r="AS53">
        <f t="shared" si="102"/>
        <v>0</v>
      </c>
      <c r="AT53">
        <f t="shared" si="103"/>
        <v>0</v>
      </c>
      <c r="AU53">
        <f t="shared" si="104"/>
        <v>0</v>
      </c>
    </row>
    <row r="54" spans="1:47" ht="21.9" customHeight="1" x14ac:dyDescent="0.4">
      <c r="A54" s="5" t="s">
        <v>655</v>
      </c>
      <c r="B54" s="5" t="s">
        <v>79</v>
      </c>
      <c r="C54" s="6" t="s">
        <v>18</v>
      </c>
      <c r="D54" s="8">
        <v>300</v>
      </c>
      <c r="E54" s="8">
        <f>ROUNDDOWN(단가대비표!N64, 0)</f>
        <v>160</v>
      </c>
      <c r="F54" s="8">
        <f t="shared" si="71"/>
        <v>48000</v>
      </c>
      <c r="G54" s="8"/>
      <c r="H54" s="8">
        <f t="shared" si="72"/>
        <v>0</v>
      </c>
      <c r="I54" s="8"/>
      <c r="J54" s="8">
        <f t="shared" si="73"/>
        <v>0</v>
      </c>
      <c r="K54" s="8">
        <f t="shared" si="69"/>
        <v>160</v>
      </c>
      <c r="L54" s="8">
        <f t="shared" si="70"/>
        <v>48000</v>
      </c>
      <c r="M54" s="7"/>
      <c r="O54" t="str">
        <f t="shared" si="74"/>
        <v>01</v>
      </c>
      <c r="P54" s="10" t="s">
        <v>361</v>
      </c>
      <c r="Q54">
        <v>1</v>
      </c>
      <c r="R54">
        <f t="shared" si="75"/>
        <v>0</v>
      </c>
      <c r="S54">
        <f t="shared" si="76"/>
        <v>0</v>
      </c>
      <c r="T54">
        <f t="shared" si="77"/>
        <v>0</v>
      </c>
      <c r="U54">
        <f t="shared" si="78"/>
        <v>0</v>
      </c>
      <c r="V54">
        <f t="shared" si="79"/>
        <v>0</v>
      </c>
      <c r="W54">
        <f t="shared" si="80"/>
        <v>0</v>
      </c>
      <c r="X54">
        <f t="shared" si="81"/>
        <v>0</v>
      </c>
      <c r="Y54">
        <f t="shared" si="82"/>
        <v>0</v>
      </c>
      <c r="Z54">
        <f t="shared" si="83"/>
        <v>0</v>
      </c>
      <c r="AA54">
        <f t="shared" si="84"/>
        <v>0</v>
      </c>
      <c r="AB54">
        <f t="shared" si="85"/>
        <v>0</v>
      </c>
      <c r="AC54">
        <f t="shared" si="86"/>
        <v>0</v>
      </c>
      <c r="AD54">
        <f t="shared" si="87"/>
        <v>0</v>
      </c>
      <c r="AE54">
        <f t="shared" si="88"/>
        <v>0</v>
      </c>
      <c r="AF54">
        <f t="shared" si="89"/>
        <v>0</v>
      </c>
      <c r="AG54">
        <f t="shared" si="90"/>
        <v>0</v>
      </c>
      <c r="AH54">
        <f t="shared" si="91"/>
        <v>0</v>
      </c>
      <c r="AI54">
        <f t="shared" si="92"/>
        <v>0</v>
      </c>
      <c r="AJ54">
        <f t="shared" si="93"/>
        <v>0</v>
      </c>
      <c r="AK54">
        <f t="shared" si="94"/>
        <v>0</v>
      </c>
      <c r="AL54">
        <f t="shared" si="95"/>
        <v>0</v>
      </c>
      <c r="AM54">
        <f t="shared" si="96"/>
        <v>0</v>
      </c>
      <c r="AN54">
        <f t="shared" si="97"/>
        <v>0</v>
      </c>
      <c r="AO54">
        <f t="shared" si="98"/>
        <v>0</v>
      </c>
      <c r="AP54">
        <f t="shared" si="99"/>
        <v>0</v>
      </c>
      <c r="AQ54">
        <f t="shared" si="100"/>
        <v>0</v>
      </c>
      <c r="AR54">
        <f t="shared" si="101"/>
        <v>0</v>
      </c>
      <c r="AS54">
        <f t="shared" si="102"/>
        <v>0</v>
      </c>
      <c r="AT54">
        <f t="shared" si="103"/>
        <v>0</v>
      </c>
      <c r="AU54">
        <f t="shared" si="104"/>
        <v>0</v>
      </c>
    </row>
    <row r="55" spans="1:47" ht="21.9" customHeight="1" x14ac:dyDescent="0.4">
      <c r="A55" s="5" t="s">
        <v>656</v>
      </c>
      <c r="B55" s="5" t="s">
        <v>209</v>
      </c>
      <c r="C55" s="6" t="s">
        <v>18</v>
      </c>
      <c r="D55" s="8">
        <v>24</v>
      </c>
      <c r="E55" s="8">
        <f>ROUNDDOWN(단가대비표!N92, 0)</f>
        <v>83200</v>
      </c>
      <c r="F55" s="8">
        <f t="shared" si="71"/>
        <v>1996800</v>
      </c>
      <c r="G55" s="8"/>
      <c r="H55" s="8">
        <f t="shared" si="72"/>
        <v>0</v>
      </c>
      <c r="I55" s="8"/>
      <c r="J55" s="8">
        <f t="shared" si="73"/>
        <v>0</v>
      </c>
      <c r="K55" s="8">
        <f t="shared" si="69"/>
        <v>83200</v>
      </c>
      <c r="L55" s="8">
        <f t="shared" si="70"/>
        <v>1996800</v>
      </c>
      <c r="M55" s="7"/>
      <c r="O55" t="str">
        <f t="shared" si="74"/>
        <v>01</v>
      </c>
      <c r="P55" s="10" t="s">
        <v>361</v>
      </c>
      <c r="Q55">
        <v>1</v>
      </c>
      <c r="R55">
        <f t="shared" si="75"/>
        <v>0</v>
      </c>
      <c r="S55">
        <f t="shared" si="76"/>
        <v>0</v>
      </c>
      <c r="T55">
        <f t="shared" si="77"/>
        <v>0</v>
      </c>
      <c r="U55">
        <f t="shared" si="78"/>
        <v>0</v>
      </c>
      <c r="V55">
        <f t="shared" si="79"/>
        <v>0</v>
      </c>
      <c r="W55">
        <f t="shared" si="80"/>
        <v>0</v>
      </c>
      <c r="X55">
        <f t="shared" si="81"/>
        <v>0</v>
      </c>
      <c r="Y55">
        <f t="shared" si="82"/>
        <v>0</v>
      </c>
      <c r="Z55">
        <f t="shared" si="83"/>
        <v>0</v>
      </c>
      <c r="AA55">
        <f t="shared" si="84"/>
        <v>0</v>
      </c>
      <c r="AB55">
        <f t="shared" si="85"/>
        <v>0</v>
      </c>
      <c r="AC55">
        <f t="shared" si="86"/>
        <v>0</v>
      </c>
      <c r="AD55">
        <f t="shared" si="87"/>
        <v>0</v>
      </c>
      <c r="AE55">
        <f t="shared" si="88"/>
        <v>0</v>
      </c>
      <c r="AF55">
        <f t="shared" si="89"/>
        <v>0</v>
      </c>
      <c r="AG55">
        <f t="shared" si="90"/>
        <v>0</v>
      </c>
      <c r="AH55">
        <f t="shared" si="91"/>
        <v>0</v>
      </c>
      <c r="AI55">
        <f t="shared" si="92"/>
        <v>0</v>
      </c>
      <c r="AJ55">
        <f t="shared" si="93"/>
        <v>0</v>
      </c>
      <c r="AK55">
        <f t="shared" si="94"/>
        <v>0</v>
      </c>
      <c r="AL55">
        <f t="shared" si="95"/>
        <v>0</v>
      </c>
      <c r="AM55">
        <f t="shared" si="96"/>
        <v>0</v>
      </c>
      <c r="AN55">
        <f t="shared" si="97"/>
        <v>0</v>
      </c>
      <c r="AO55">
        <f t="shared" si="98"/>
        <v>0</v>
      </c>
      <c r="AP55">
        <f t="shared" si="99"/>
        <v>0</v>
      </c>
      <c r="AQ55">
        <f t="shared" si="100"/>
        <v>0</v>
      </c>
      <c r="AR55">
        <f t="shared" si="101"/>
        <v>0</v>
      </c>
      <c r="AS55">
        <f t="shared" si="102"/>
        <v>0</v>
      </c>
      <c r="AT55">
        <f t="shared" si="103"/>
        <v>0</v>
      </c>
      <c r="AU55">
        <f t="shared" si="104"/>
        <v>0</v>
      </c>
    </row>
    <row r="56" spans="1:47" ht="21.9" customHeight="1" x14ac:dyDescent="0.4">
      <c r="A56" s="5" t="s">
        <v>657</v>
      </c>
      <c r="B56" s="5" t="s">
        <v>207</v>
      </c>
      <c r="C56" s="6" t="s">
        <v>18</v>
      </c>
      <c r="D56" s="8">
        <v>6</v>
      </c>
      <c r="E56" s="8">
        <f>ROUNDDOWN(단가대비표!N91, 0)</f>
        <v>26000</v>
      </c>
      <c r="F56" s="8">
        <f t="shared" si="71"/>
        <v>156000</v>
      </c>
      <c r="G56" s="8"/>
      <c r="H56" s="8">
        <f t="shared" si="72"/>
        <v>0</v>
      </c>
      <c r="I56" s="8"/>
      <c r="J56" s="8">
        <f t="shared" si="73"/>
        <v>0</v>
      </c>
      <c r="K56" s="8">
        <f t="shared" si="69"/>
        <v>26000</v>
      </c>
      <c r="L56" s="8">
        <f t="shared" si="70"/>
        <v>156000</v>
      </c>
      <c r="M56" s="7"/>
      <c r="O56" t="str">
        <f t="shared" si="74"/>
        <v>01</v>
      </c>
      <c r="P56" s="10" t="s">
        <v>361</v>
      </c>
      <c r="Q56">
        <v>1</v>
      </c>
      <c r="R56">
        <f t="shared" si="75"/>
        <v>0</v>
      </c>
      <c r="S56">
        <f t="shared" si="76"/>
        <v>0</v>
      </c>
      <c r="T56">
        <f t="shared" si="77"/>
        <v>0</v>
      </c>
      <c r="U56">
        <f t="shared" si="78"/>
        <v>0</v>
      </c>
      <c r="V56">
        <f t="shared" si="79"/>
        <v>0</v>
      </c>
      <c r="W56">
        <f t="shared" si="80"/>
        <v>0</v>
      </c>
      <c r="X56">
        <f t="shared" si="81"/>
        <v>0</v>
      </c>
      <c r="Y56">
        <f t="shared" si="82"/>
        <v>0</v>
      </c>
      <c r="Z56">
        <f t="shared" si="83"/>
        <v>0</v>
      </c>
      <c r="AA56">
        <f t="shared" si="84"/>
        <v>0</v>
      </c>
      <c r="AB56">
        <f t="shared" si="85"/>
        <v>0</v>
      </c>
      <c r="AC56">
        <f t="shared" si="86"/>
        <v>0</v>
      </c>
      <c r="AD56">
        <f t="shared" si="87"/>
        <v>0</v>
      </c>
      <c r="AE56">
        <f t="shared" si="88"/>
        <v>0</v>
      </c>
      <c r="AF56">
        <f t="shared" si="89"/>
        <v>0</v>
      </c>
      <c r="AG56">
        <f t="shared" si="90"/>
        <v>0</v>
      </c>
      <c r="AH56">
        <f t="shared" si="91"/>
        <v>0</v>
      </c>
      <c r="AI56">
        <f t="shared" si="92"/>
        <v>0</v>
      </c>
      <c r="AJ56">
        <f t="shared" si="93"/>
        <v>0</v>
      </c>
      <c r="AK56">
        <f t="shared" si="94"/>
        <v>0</v>
      </c>
      <c r="AL56">
        <f t="shared" si="95"/>
        <v>0</v>
      </c>
      <c r="AM56">
        <f t="shared" si="96"/>
        <v>0</v>
      </c>
      <c r="AN56">
        <f t="shared" si="97"/>
        <v>0</v>
      </c>
      <c r="AO56">
        <f t="shared" si="98"/>
        <v>0</v>
      </c>
      <c r="AP56">
        <f t="shared" si="99"/>
        <v>0</v>
      </c>
      <c r="AQ56">
        <f t="shared" si="100"/>
        <v>0</v>
      </c>
      <c r="AR56">
        <f t="shared" si="101"/>
        <v>0</v>
      </c>
      <c r="AS56">
        <f t="shared" si="102"/>
        <v>0</v>
      </c>
      <c r="AT56">
        <f t="shared" si="103"/>
        <v>0</v>
      </c>
      <c r="AU56">
        <f t="shared" si="104"/>
        <v>0</v>
      </c>
    </row>
    <row r="57" spans="1:47" ht="21.9" customHeight="1" x14ac:dyDescent="0.4">
      <c r="A57" s="5" t="s">
        <v>658</v>
      </c>
      <c r="B57" s="5" t="s">
        <v>211</v>
      </c>
      <c r="C57" s="6" t="s">
        <v>51</v>
      </c>
      <c r="D57" s="8">
        <v>24</v>
      </c>
      <c r="E57" s="8">
        <f>ROUNDDOWN(단가대비표!N93, 0)</f>
        <v>88400</v>
      </c>
      <c r="F57" s="8">
        <f t="shared" si="71"/>
        <v>2121600</v>
      </c>
      <c r="G57" s="8"/>
      <c r="H57" s="8">
        <f t="shared" si="72"/>
        <v>0</v>
      </c>
      <c r="I57" s="8"/>
      <c r="J57" s="8">
        <f t="shared" si="73"/>
        <v>0</v>
      </c>
      <c r="K57" s="8">
        <f t="shared" si="69"/>
        <v>88400</v>
      </c>
      <c r="L57" s="8">
        <f t="shared" si="70"/>
        <v>2121600</v>
      </c>
      <c r="M57" s="7"/>
      <c r="O57" t="str">
        <f t="shared" si="74"/>
        <v>01</v>
      </c>
      <c r="P57" s="10" t="s">
        <v>361</v>
      </c>
      <c r="Q57">
        <v>1</v>
      </c>
      <c r="R57">
        <f t="shared" si="75"/>
        <v>0</v>
      </c>
      <c r="S57">
        <f t="shared" si="76"/>
        <v>0</v>
      </c>
      <c r="T57">
        <f t="shared" si="77"/>
        <v>0</v>
      </c>
      <c r="U57">
        <f t="shared" si="78"/>
        <v>0</v>
      </c>
      <c r="V57">
        <f t="shared" si="79"/>
        <v>0</v>
      </c>
      <c r="W57">
        <f t="shared" si="80"/>
        <v>0</v>
      </c>
      <c r="X57">
        <f t="shared" si="81"/>
        <v>0</v>
      </c>
      <c r="Y57">
        <f t="shared" si="82"/>
        <v>0</v>
      </c>
      <c r="Z57">
        <f t="shared" si="83"/>
        <v>0</v>
      </c>
      <c r="AA57">
        <f t="shared" si="84"/>
        <v>0</v>
      </c>
      <c r="AB57">
        <f t="shared" si="85"/>
        <v>0</v>
      </c>
      <c r="AC57">
        <f t="shared" si="86"/>
        <v>0</v>
      </c>
      <c r="AD57">
        <f t="shared" si="87"/>
        <v>0</v>
      </c>
      <c r="AE57">
        <f t="shared" si="88"/>
        <v>0</v>
      </c>
      <c r="AF57">
        <f t="shared" si="89"/>
        <v>0</v>
      </c>
      <c r="AG57">
        <f t="shared" si="90"/>
        <v>0</v>
      </c>
      <c r="AH57">
        <f t="shared" si="91"/>
        <v>0</v>
      </c>
      <c r="AI57">
        <f t="shared" si="92"/>
        <v>0</v>
      </c>
      <c r="AJ57">
        <f t="shared" si="93"/>
        <v>0</v>
      </c>
      <c r="AK57">
        <f t="shared" si="94"/>
        <v>0</v>
      </c>
      <c r="AL57">
        <f t="shared" si="95"/>
        <v>0</v>
      </c>
      <c r="AM57">
        <f t="shared" si="96"/>
        <v>0</v>
      </c>
      <c r="AN57">
        <f t="shared" si="97"/>
        <v>0</v>
      </c>
      <c r="AO57">
        <f t="shared" si="98"/>
        <v>0</v>
      </c>
      <c r="AP57">
        <f t="shared" si="99"/>
        <v>0</v>
      </c>
      <c r="AQ57">
        <f t="shared" si="100"/>
        <v>0</v>
      </c>
      <c r="AR57">
        <f t="shared" si="101"/>
        <v>0</v>
      </c>
      <c r="AS57">
        <f t="shared" si="102"/>
        <v>0</v>
      </c>
      <c r="AT57">
        <f t="shared" si="103"/>
        <v>0</v>
      </c>
      <c r="AU57">
        <f t="shared" si="104"/>
        <v>0</v>
      </c>
    </row>
    <row r="58" spans="1:47" ht="21.9" customHeight="1" x14ac:dyDescent="0.4">
      <c r="A58" s="5" t="s">
        <v>659</v>
      </c>
      <c r="B58" s="5" t="s">
        <v>31</v>
      </c>
      <c r="C58" s="6" t="s">
        <v>21</v>
      </c>
      <c r="D58" s="8">
        <v>10</v>
      </c>
      <c r="E58" s="8">
        <f>ROUNDDOWN(단가대비표!N11, 0)</f>
        <v>1868880</v>
      </c>
      <c r="F58" s="8">
        <f t="shared" si="71"/>
        <v>18688800</v>
      </c>
      <c r="G58" s="8"/>
      <c r="H58" s="8">
        <f t="shared" si="72"/>
        <v>0</v>
      </c>
      <c r="I58" s="8"/>
      <c r="J58" s="8">
        <f t="shared" si="73"/>
        <v>0</v>
      </c>
      <c r="K58" s="8">
        <f t="shared" si="69"/>
        <v>1868880</v>
      </c>
      <c r="L58" s="8">
        <f t="shared" si="70"/>
        <v>18688800</v>
      </c>
      <c r="M58" s="7"/>
      <c r="O58" t="str">
        <f t="shared" si="74"/>
        <v>01</v>
      </c>
      <c r="P58" s="10" t="s">
        <v>361</v>
      </c>
      <c r="Q58">
        <v>1</v>
      </c>
      <c r="R58">
        <f t="shared" si="75"/>
        <v>0</v>
      </c>
      <c r="S58">
        <f t="shared" si="76"/>
        <v>0</v>
      </c>
      <c r="T58">
        <f t="shared" si="77"/>
        <v>0</v>
      </c>
      <c r="U58">
        <f t="shared" si="78"/>
        <v>0</v>
      </c>
      <c r="V58">
        <f t="shared" si="79"/>
        <v>0</v>
      </c>
      <c r="W58">
        <f t="shared" si="80"/>
        <v>0</v>
      </c>
      <c r="X58">
        <f t="shared" si="81"/>
        <v>0</v>
      </c>
      <c r="Y58">
        <f t="shared" si="82"/>
        <v>0</v>
      </c>
      <c r="Z58">
        <f t="shared" si="83"/>
        <v>0</v>
      </c>
      <c r="AA58">
        <f t="shared" si="84"/>
        <v>0</v>
      </c>
      <c r="AB58">
        <f t="shared" si="85"/>
        <v>0</v>
      </c>
      <c r="AC58">
        <f t="shared" si="86"/>
        <v>0</v>
      </c>
      <c r="AD58">
        <f t="shared" si="87"/>
        <v>0</v>
      </c>
      <c r="AE58">
        <f t="shared" si="88"/>
        <v>0</v>
      </c>
      <c r="AF58">
        <f t="shared" si="89"/>
        <v>0</v>
      </c>
      <c r="AG58">
        <f t="shared" si="90"/>
        <v>0</v>
      </c>
      <c r="AH58">
        <f t="shared" si="91"/>
        <v>0</v>
      </c>
      <c r="AI58">
        <f t="shared" si="92"/>
        <v>0</v>
      </c>
      <c r="AJ58">
        <f t="shared" si="93"/>
        <v>0</v>
      </c>
      <c r="AK58">
        <f t="shared" si="94"/>
        <v>0</v>
      </c>
      <c r="AL58">
        <f t="shared" si="95"/>
        <v>0</v>
      </c>
      <c r="AM58">
        <f t="shared" si="96"/>
        <v>0</v>
      </c>
      <c r="AN58">
        <f t="shared" si="97"/>
        <v>0</v>
      </c>
      <c r="AO58">
        <f t="shared" si="98"/>
        <v>0</v>
      </c>
      <c r="AP58">
        <f t="shared" si="99"/>
        <v>0</v>
      </c>
      <c r="AQ58">
        <f t="shared" si="100"/>
        <v>0</v>
      </c>
      <c r="AR58">
        <f t="shared" si="101"/>
        <v>0</v>
      </c>
      <c r="AS58">
        <f t="shared" si="102"/>
        <v>0</v>
      </c>
      <c r="AT58">
        <f t="shared" si="103"/>
        <v>0</v>
      </c>
      <c r="AU58">
        <f t="shared" si="104"/>
        <v>0</v>
      </c>
    </row>
    <row r="59" spans="1:47" ht="21.9" customHeight="1" x14ac:dyDescent="0.4">
      <c r="A59" s="5" t="s">
        <v>660</v>
      </c>
      <c r="B59" s="5" t="s">
        <v>27</v>
      </c>
      <c r="C59" s="6" t="s">
        <v>21</v>
      </c>
      <c r="D59" s="8">
        <v>4</v>
      </c>
      <c r="E59" s="8">
        <f>ROUNDDOWN(단가대비표!N9, 0)</f>
        <v>1227200</v>
      </c>
      <c r="F59" s="8">
        <f t="shared" si="71"/>
        <v>4908800</v>
      </c>
      <c r="G59" s="8"/>
      <c r="H59" s="8">
        <f t="shared" si="72"/>
        <v>0</v>
      </c>
      <c r="I59" s="8"/>
      <c r="J59" s="8">
        <f t="shared" si="73"/>
        <v>0</v>
      </c>
      <c r="K59" s="8">
        <f t="shared" si="69"/>
        <v>1227200</v>
      </c>
      <c r="L59" s="8">
        <f t="shared" si="70"/>
        <v>4908800</v>
      </c>
      <c r="M59" s="7"/>
      <c r="O59" t="str">
        <f t="shared" si="74"/>
        <v>01</v>
      </c>
      <c r="P59" s="10" t="s">
        <v>361</v>
      </c>
      <c r="Q59">
        <v>1</v>
      </c>
      <c r="R59">
        <f t="shared" si="75"/>
        <v>0</v>
      </c>
      <c r="S59">
        <f t="shared" si="76"/>
        <v>0</v>
      </c>
      <c r="T59">
        <f t="shared" si="77"/>
        <v>0</v>
      </c>
      <c r="U59">
        <f t="shared" si="78"/>
        <v>0</v>
      </c>
      <c r="V59">
        <f t="shared" si="79"/>
        <v>0</v>
      </c>
      <c r="W59">
        <f t="shared" si="80"/>
        <v>0</v>
      </c>
      <c r="X59">
        <f t="shared" si="81"/>
        <v>0</v>
      </c>
      <c r="Y59">
        <f t="shared" si="82"/>
        <v>0</v>
      </c>
      <c r="Z59">
        <f t="shared" si="83"/>
        <v>0</v>
      </c>
      <c r="AA59">
        <f t="shared" si="84"/>
        <v>0</v>
      </c>
      <c r="AB59">
        <f t="shared" si="85"/>
        <v>0</v>
      </c>
      <c r="AC59">
        <f t="shared" si="86"/>
        <v>0</v>
      </c>
      <c r="AD59">
        <f t="shared" si="87"/>
        <v>0</v>
      </c>
      <c r="AE59">
        <f t="shared" si="88"/>
        <v>0</v>
      </c>
      <c r="AF59">
        <f t="shared" si="89"/>
        <v>0</v>
      </c>
      <c r="AG59">
        <f t="shared" si="90"/>
        <v>0</v>
      </c>
      <c r="AH59">
        <f t="shared" si="91"/>
        <v>0</v>
      </c>
      <c r="AI59">
        <f t="shared" si="92"/>
        <v>0</v>
      </c>
      <c r="AJ59">
        <f t="shared" si="93"/>
        <v>0</v>
      </c>
      <c r="AK59">
        <f t="shared" si="94"/>
        <v>0</v>
      </c>
      <c r="AL59">
        <f t="shared" si="95"/>
        <v>0</v>
      </c>
      <c r="AM59">
        <f t="shared" si="96"/>
        <v>0</v>
      </c>
      <c r="AN59">
        <f t="shared" si="97"/>
        <v>0</v>
      </c>
      <c r="AO59">
        <f t="shared" si="98"/>
        <v>0</v>
      </c>
      <c r="AP59">
        <f t="shared" si="99"/>
        <v>0</v>
      </c>
      <c r="AQ59">
        <f t="shared" si="100"/>
        <v>0</v>
      </c>
      <c r="AR59">
        <f t="shared" si="101"/>
        <v>0</v>
      </c>
      <c r="AS59">
        <f t="shared" si="102"/>
        <v>0</v>
      </c>
      <c r="AT59">
        <f t="shared" si="103"/>
        <v>0</v>
      </c>
      <c r="AU59">
        <f t="shared" si="104"/>
        <v>0</v>
      </c>
    </row>
    <row r="60" spans="1:47" ht="21.9" customHeight="1" x14ac:dyDescent="0.4">
      <c r="A60" s="5" t="s">
        <v>661</v>
      </c>
      <c r="B60" s="5" t="s">
        <v>89</v>
      </c>
      <c r="C60" s="6" t="s">
        <v>21</v>
      </c>
      <c r="D60" s="8">
        <v>2</v>
      </c>
      <c r="E60" s="8">
        <f>ROUNDDOWN(단가대비표!N34, 0)</f>
        <v>832000</v>
      </c>
      <c r="F60" s="8">
        <f t="shared" si="71"/>
        <v>1664000</v>
      </c>
      <c r="G60" s="8"/>
      <c r="H60" s="8">
        <f t="shared" si="72"/>
        <v>0</v>
      </c>
      <c r="I60" s="8"/>
      <c r="J60" s="8">
        <f t="shared" si="73"/>
        <v>0</v>
      </c>
      <c r="K60" s="8">
        <f t="shared" si="69"/>
        <v>832000</v>
      </c>
      <c r="L60" s="8">
        <f t="shared" si="70"/>
        <v>1664000</v>
      </c>
      <c r="M60" s="7"/>
      <c r="O60" t="str">
        <f t="shared" si="74"/>
        <v>01</v>
      </c>
      <c r="P60" s="10" t="s">
        <v>361</v>
      </c>
      <c r="Q60">
        <v>1</v>
      </c>
      <c r="R60">
        <f t="shared" si="75"/>
        <v>0</v>
      </c>
      <c r="S60">
        <f t="shared" si="76"/>
        <v>0</v>
      </c>
      <c r="T60">
        <f t="shared" si="77"/>
        <v>0</v>
      </c>
      <c r="U60">
        <f t="shared" si="78"/>
        <v>0</v>
      </c>
      <c r="V60">
        <f t="shared" si="79"/>
        <v>0</v>
      </c>
      <c r="W60">
        <f t="shared" si="80"/>
        <v>0</v>
      </c>
      <c r="X60">
        <f t="shared" si="81"/>
        <v>0</v>
      </c>
      <c r="Y60">
        <f t="shared" si="82"/>
        <v>0</v>
      </c>
      <c r="Z60">
        <f t="shared" si="83"/>
        <v>0</v>
      </c>
      <c r="AA60">
        <f t="shared" si="84"/>
        <v>0</v>
      </c>
      <c r="AB60">
        <f t="shared" si="85"/>
        <v>0</v>
      </c>
      <c r="AC60">
        <f t="shared" si="86"/>
        <v>0</v>
      </c>
      <c r="AD60">
        <f t="shared" si="87"/>
        <v>0</v>
      </c>
      <c r="AE60">
        <f t="shared" si="88"/>
        <v>0</v>
      </c>
      <c r="AF60">
        <f t="shared" si="89"/>
        <v>0</v>
      </c>
      <c r="AG60">
        <f t="shared" si="90"/>
        <v>0</v>
      </c>
      <c r="AH60">
        <f t="shared" si="91"/>
        <v>0</v>
      </c>
      <c r="AI60">
        <f t="shared" si="92"/>
        <v>0</v>
      </c>
      <c r="AJ60">
        <f t="shared" si="93"/>
        <v>0</v>
      </c>
      <c r="AK60">
        <f t="shared" si="94"/>
        <v>0</v>
      </c>
      <c r="AL60">
        <f t="shared" si="95"/>
        <v>0</v>
      </c>
      <c r="AM60">
        <f t="shared" si="96"/>
        <v>0</v>
      </c>
      <c r="AN60">
        <f t="shared" si="97"/>
        <v>0</v>
      </c>
      <c r="AO60">
        <f t="shared" si="98"/>
        <v>0</v>
      </c>
      <c r="AP60">
        <f t="shared" si="99"/>
        <v>0</v>
      </c>
      <c r="AQ60">
        <f t="shared" si="100"/>
        <v>0</v>
      </c>
      <c r="AR60">
        <f t="shared" si="101"/>
        <v>0</v>
      </c>
      <c r="AS60">
        <f t="shared" si="102"/>
        <v>0</v>
      </c>
      <c r="AT60">
        <f t="shared" si="103"/>
        <v>0</v>
      </c>
      <c r="AU60">
        <f t="shared" si="104"/>
        <v>0</v>
      </c>
    </row>
    <row r="61" spans="1:47" ht="21.9" customHeight="1" x14ac:dyDescent="0.4">
      <c r="A61" s="5" t="s">
        <v>662</v>
      </c>
      <c r="B61" s="5" t="s">
        <v>25</v>
      </c>
      <c r="C61" s="6" t="s">
        <v>21</v>
      </c>
      <c r="D61" s="8">
        <v>2</v>
      </c>
      <c r="E61" s="8">
        <f>ROUNDDOWN(단가대비표!N8, 0)</f>
        <v>1747200</v>
      </c>
      <c r="F61" s="8">
        <f t="shared" si="71"/>
        <v>3494400</v>
      </c>
      <c r="G61" s="8"/>
      <c r="H61" s="8">
        <f t="shared" si="72"/>
        <v>0</v>
      </c>
      <c r="I61" s="8"/>
      <c r="J61" s="8">
        <f t="shared" si="73"/>
        <v>0</v>
      </c>
      <c r="K61" s="8">
        <f t="shared" si="69"/>
        <v>1747200</v>
      </c>
      <c r="L61" s="8">
        <f t="shared" si="70"/>
        <v>3494400</v>
      </c>
      <c r="M61" s="7"/>
      <c r="O61" t="str">
        <f t="shared" si="74"/>
        <v>01</v>
      </c>
      <c r="P61" s="10" t="s">
        <v>361</v>
      </c>
      <c r="Q61">
        <v>1</v>
      </c>
      <c r="R61">
        <f t="shared" si="75"/>
        <v>0</v>
      </c>
      <c r="S61">
        <f t="shared" si="76"/>
        <v>0</v>
      </c>
      <c r="T61">
        <f t="shared" si="77"/>
        <v>0</v>
      </c>
      <c r="U61">
        <f t="shared" si="78"/>
        <v>0</v>
      </c>
      <c r="V61">
        <f t="shared" si="79"/>
        <v>0</v>
      </c>
      <c r="W61">
        <f t="shared" si="80"/>
        <v>0</v>
      </c>
      <c r="X61">
        <f t="shared" si="81"/>
        <v>0</v>
      </c>
      <c r="Y61">
        <f t="shared" si="82"/>
        <v>0</v>
      </c>
      <c r="Z61">
        <f t="shared" si="83"/>
        <v>0</v>
      </c>
      <c r="AA61">
        <f t="shared" si="84"/>
        <v>0</v>
      </c>
      <c r="AB61">
        <f t="shared" si="85"/>
        <v>0</v>
      </c>
      <c r="AC61">
        <f t="shared" si="86"/>
        <v>0</v>
      </c>
      <c r="AD61">
        <f t="shared" si="87"/>
        <v>0</v>
      </c>
      <c r="AE61">
        <f t="shared" si="88"/>
        <v>0</v>
      </c>
      <c r="AF61">
        <f t="shared" si="89"/>
        <v>0</v>
      </c>
      <c r="AG61">
        <f t="shared" si="90"/>
        <v>0</v>
      </c>
      <c r="AH61">
        <f t="shared" si="91"/>
        <v>0</v>
      </c>
      <c r="AI61">
        <f t="shared" si="92"/>
        <v>0</v>
      </c>
      <c r="AJ61">
        <f t="shared" si="93"/>
        <v>0</v>
      </c>
      <c r="AK61">
        <f t="shared" si="94"/>
        <v>0</v>
      </c>
      <c r="AL61">
        <f t="shared" si="95"/>
        <v>0</v>
      </c>
      <c r="AM61">
        <f t="shared" si="96"/>
        <v>0</v>
      </c>
      <c r="AN61">
        <f t="shared" si="97"/>
        <v>0</v>
      </c>
      <c r="AO61">
        <f t="shared" si="98"/>
        <v>0</v>
      </c>
      <c r="AP61">
        <f t="shared" si="99"/>
        <v>0</v>
      </c>
      <c r="AQ61">
        <f t="shared" si="100"/>
        <v>0</v>
      </c>
      <c r="AR61">
        <f t="shared" si="101"/>
        <v>0</v>
      </c>
      <c r="AS61">
        <f t="shared" si="102"/>
        <v>0</v>
      </c>
      <c r="AT61">
        <f t="shared" si="103"/>
        <v>0</v>
      </c>
      <c r="AU61">
        <f t="shared" si="104"/>
        <v>0</v>
      </c>
    </row>
    <row r="62" spans="1:47" ht="21.9" customHeight="1" x14ac:dyDescent="0.4">
      <c r="A62" s="5" t="s">
        <v>663</v>
      </c>
      <c r="B62" s="5" t="s">
        <v>29</v>
      </c>
      <c r="C62" s="6" t="s">
        <v>21</v>
      </c>
      <c r="D62" s="8">
        <v>2</v>
      </c>
      <c r="E62" s="8">
        <f>ROUNDDOWN(단가대비표!N10, 0)</f>
        <v>780000</v>
      </c>
      <c r="F62" s="8">
        <f t="shared" si="71"/>
        <v>1560000</v>
      </c>
      <c r="G62" s="8"/>
      <c r="H62" s="8">
        <f t="shared" si="72"/>
        <v>0</v>
      </c>
      <c r="I62" s="8"/>
      <c r="J62" s="8">
        <f t="shared" si="73"/>
        <v>0</v>
      </c>
      <c r="K62" s="8">
        <f t="shared" si="69"/>
        <v>780000</v>
      </c>
      <c r="L62" s="8">
        <f t="shared" si="70"/>
        <v>1560000</v>
      </c>
      <c r="M62" s="7"/>
      <c r="O62" t="str">
        <f t="shared" si="74"/>
        <v>01</v>
      </c>
      <c r="P62" s="10" t="s">
        <v>361</v>
      </c>
      <c r="Q62">
        <v>1</v>
      </c>
      <c r="R62">
        <f t="shared" si="75"/>
        <v>0</v>
      </c>
      <c r="S62">
        <f t="shared" si="76"/>
        <v>0</v>
      </c>
      <c r="T62">
        <f t="shared" si="77"/>
        <v>0</v>
      </c>
      <c r="U62">
        <f t="shared" si="78"/>
        <v>0</v>
      </c>
      <c r="V62">
        <f t="shared" si="79"/>
        <v>0</v>
      </c>
      <c r="W62">
        <f t="shared" si="80"/>
        <v>0</v>
      </c>
      <c r="X62">
        <f t="shared" si="81"/>
        <v>0</v>
      </c>
      <c r="Y62">
        <f t="shared" si="82"/>
        <v>0</v>
      </c>
      <c r="Z62">
        <f t="shared" si="83"/>
        <v>0</v>
      </c>
      <c r="AA62">
        <f t="shared" si="84"/>
        <v>0</v>
      </c>
      <c r="AB62">
        <f t="shared" si="85"/>
        <v>0</v>
      </c>
      <c r="AC62">
        <f t="shared" si="86"/>
        <v>0</v>
      </c>
      <c r="AD62">
        <f t="shared" si="87"/>
        <v>0</v>
      </c>
      <c r="AE62">
        <f t="shared" si="88"/>
        <v>0</v>
      </c>
      <c r="AF62">
        <f t="shared" si="89"/>
        <v>0</v>
      </c>
      <c r="AG62">
        <f t="shared" si="90"/>
        <v>0</v>
      </c>
      <c r="AH62">
        <f t="shared" si="91"/>
        <v>0</v>
      </c>
      <c r="AI62">
        <f t="shared" si="92"/>
        <v>0</v>
      </c>
      <c r="AJ62">
        <f t="shared" si="93"/>
        <v>0</v>
      </c>
      <c r="AK62">
        <f t="shared" si="94"/>
        <v>0</v>
      </c>
      <c r="AL62">
        <f t="shared" si="95"/>
        <v>0</v>
      </c>
      <c r="AM62">
        <f t="shared" si="96"/>
        <v>0</v>
      </c>
      <c r="AN62">
        <f t="shared" si="97"/>
        <v>0</v>
      </c>
      <c r="AO62">
        <f t="shared" si="98"/>
        <v>0</v>
      </c>
      <c r="AP62">
        <f t="shared" si="99"/>
        <v>0</v>
      </c>
      <c r="AQ62">
        <f t="shared" si="100"/>
        <v>0</v>
      </c>
      <c r="AR62">
        <f t="shared" si="101"/>
        <v>0</v>
      </c>
      <c r="AS62">
        <f t="shared" si="102"/>
        <v>0</v>
      </c>
      <c r="AT62">
        <f t="shared" si="103"/>
        <v>0</v>
      </c>
      <c r="AU62">
        <f t="shared" si="104"/>
        <v>0</v>
      </c>
    </row>
    <row r="63" spans="1:47" ht="21.9" customHeight="1" x14ac:dyDescent="0.4">
      <c r="A63" s="5" t="s">
        <v>664</v>
      </c>
      <c r="B63" s="5" t="s">
        <v>147</v>
      </c>
      <c r="C63" s="6" t="s">
        <v>21</v>
      </c>
      <c r="D63" s="8">
        <v>20</v>
      </c>
      <c r="E63" s="8">
        <f>ROUNDDOWN(단가대비표!N63, 0)</f>
        <v>109200</v>
      </c>
      <c r="F63" s="8">
        <f t="shared" si="71"/>
        <v>2184000</v>
      </c>
      <c r="G63" s="8"/>
      <c r="H63" s="8">
        <f t="shared" si="72"/>
        <v>0</v>
      </c>
      <c r="I63" s="8"/>
      <c r="J63" s="8">
        <f t="shared" si="73"/>
        <v>0</v>
      </c>
      <c r="K63" s="8">
        <f t="shared" si="69"/>
        <v>109200</v>
      </c>
      <c r="L63" s="8">
        <f t="shared" si="70"/>
        <v>2184000</v>
      </c>
      <c r="M63" s="7"/>
      <c r="O63" t="str">
        <f t="shared" si="74"/>
        <v>01</v>
      </c>
      <c r="P63" s="10" t="s">
        <v>361</v>
      </c>
      <c r="Q63">
        <v>1</v>
      </c>
      <c r="R63">
        <f t="shared" si="75"/>
        <v>0</v>
      </c>
      <c r="S63">
        <f t="shared" si="76"/>
        <v>0</v>
      </c>
      <c r="T63">
        <f t="shared" si="77"/>
        <v>0</v>
      </c>
      <c r="U63">
        <f t="shared" si="78"/>
        <v>0</v>
      </c>
      <c r="V63">
        <f t="shared" si="79"/>
        <v>0</v>
      </c>
      <c r="W63">
        <f t="shared" si="80"/>
        <v>0</v>
      </c>
      <c r="X63">
        <f t="shared" si="81"/>
        <v>0</v>
      </c>
      <c r="Y63">
        <f t="shared" si="82"/>
        <v>0</v>
      </c>
      <c r="Z63">
        <f t="shared" si="83"/>
        <v>0</v>
      </c>
      <c r="AA63">
        <f t="shared" si="84"/>
        <v>0</v>
      </c>
      <c r="AB63">
        <f t="shared" si="85"/>
        <v>0</v>
      </c>
      <c r="AC63">
        <f t="shared" si="86"/>
        <v>0</v>
      </c>
      <c r="AD63">
        <f t="shared" si="87"/>
        <v>0</v>
      </c>
      <c r="AE63">
        <f t="shared" si="88"/>
        <v>0</v>
      </c>
      <c r="AF63">
        <f t="shared" si="89"/>
        <v>0</v>
      </c>
      <c r="AG63">
        <f t="shared" si="90"/>
        <v>0</v>
      </c>
      <c r="AH63">
        <f t="shared" si="91"/>
        <v>0</v>
      </c>
      <c r="AI63">
        <f t="shared" si="92"/>
        <v>0</v>
      </c>
      <c r="AJ63">
        <f t="shared" si="93"/>
        <v>0</v>
      </c>
      <c r="AK63">
        <f t="shared" si="94"/>
        <v>0</v>
      </c>
      <c r="AL63">
        <f t="shared" si="95"/>
        <v>0</v>
      </c>
      <c r="AM63">
        <f t="shared" si="96"/>
        <v>0</v>
      </c>
      <c r="AN63">
        <f t="shared" si="97"/>
        <v>0</v>
      </c>
      <c r="AO63">
        <f t="shared" si="98"/>
        <v>0</v>
      </c>
      <c r="AP63">
        <f t="shared" si="99"/>
        <v>0</v>
      </c>
      <c r="AQ63">
        <f t="shared" si="100"/>
        <v>0</v>
      </c>
      <c r="AR63">
        <f t="shared" si="101"/>
        <v>0</v>
      </c>
      <c r="AS63">
        <f t="shared" si="102"/>
        <v>0</v>
      </c>
      <c r="AT63">
        <f t="shared" si="103"/>
        <v>0</v>
      </c>
      <c r="AU63">
        <f t="shared" si="104"/>
        <v>0</v>
      </c>
    </row>
    <row r="64" spans="1:47" ht="21.9" customHeight="1" x14ac:dyDescent="0.4">
      <c r="A64" s="5" t="s">
        <v>665</v>
      </c>
      <c r="B64" s="5" t="s">
        <v>35</v>
      </c>
      <c r="C64" s="6" t="s">
        <v>21</v>
      </c>
      <c r="D64" s="8">
        <v>4</v>
      </c>
      <c r="E64" s="8">
        <f>ROUNDDOWN(단가대비표!N13, 0)</f>
        <v>61360</v>
      </c>
      <c r="F64" s="8">
        <f t="shared" si="71"/>
        <v>245440</v>
      </c>
      <c r="G64" s="8"/>
      <c r="H64" s="8">
        <f t="shared" si="72"/>
        <v>0</v>
      </c>
      <c r="I64" s="8"/>
      <c r="J64" s="8">
        <f t="shared" si="73"/>
        <v>0</v>
      </c>
      <c r="K64" s="8">
        <f t="shared" si="69"/>
        <v>61360</v>
      </c>
      <c r="L64" s="8">
        <f t="shared" si="70"/>
        <v>245440</v>
      </c>
      <c r="M64" s="7"/>
      <c r="O64" t="str">
        <f t="shared" si="74"/>
        <v>01</v>
      </c>
      <c r="P64" s="10" t="s">
        <v>361</v>
      </c>
      <c r="Q64">
        <v>1</v>
      </c>
      <c r="R64">
        <f t="shared" si="75"/>
        <v>0</v>
      </c>
      <c r="S64">
        <f t="shared" si="76"/>
        <v>0</v>
      </c>
      <c r="T64">
        <f t="shared" si="77"/>
        <v>0</v>
      </c>
      <c r="U64">
        <f t="shared" si="78"/>
        <v>0</v>
      </c>
      <c r="V64">
        <f t="shared" si="79"/>
        <v>0</v>
      </c>
      <c r="W64">
        <f t="shared" si="80"/>
        <v>0</v>
      </c>
      <c r="X64">
        <f t="shared" si="81"/>
        <v>0</v>
      </c>
      <c r="Y64">
        <f t="shared" si="82"/>
        <v>0</v>
      </c>
      <c r="Z64">
        <f t="shared" si="83"/>
        <v>0</v>
      </c>
      <c r="AA64">
        <f t="shared" si="84"/>
        <v>0</v>
      </c>
      <c r="AB64">
        <f t="shared" si="85"/>
        <v>0</v>
      </c>
      <c r="AC64">
        <f t="shared" si="86"/>
        <v>0</v>
      </c>
      <c r="AD64">
        <f t="shared" si="87"/>
        <v>0</v>
      </c>
      <c r="AE64">
        <f t="shared" si="88"/>
        <v>0</v>
      </c>
      <c r="AF64">
        <f t="shared" si="89"/>
        <v>0</v>
      </c>
      <c r="AG64">
        <f t="shared" si="90"/>
        <v>0</v>
      </c>
      <c r="AH64">
        <f t="shared" si="91"/>
        <v>0</v>
      </c>
      <c r="AI64">
        <f t="shared" si="92"/>
        <v>0</v>
      </c>
      <c r="AJ64">
        <f t="shared" si="93"/>
        <v>0</v>
      </c>
      <c r="AK64">
        <f t="shared" si="94"/>
        <v>0</v>
      </c>
      <c r="AL64">
        <f t="shared" si="95"/>
        <v>0</v>
      </c>
      <c r="AM64">
        <f t="shared" si="96"/>
        <v>0</v>
      </c>
      <c r="AN64">
        <f t="shared" si="97"/>
        <v>0</v>
      </c>
      <c r="AO64">
        <f t="shared" si="98"/>
        <v>0</v>
      </c>
      <c r="AP64">
        <f t="shared" si="99"/>
        <v>0</v>
      </c>
      <c r="AQ64">
        <f t="shared" si="100"/>
        <v>0</v>
      </c>
      <c r="AR64">
        <f t="shared" si="101"/>
        <v>0</v>
      </c>
      <c r="AS64">
        <f t="shared" si="102"/>
        <v>0</v>
      </c>
      <c r="AT64">
        <f t="shared" si="103"/>
        <v>0</v>
      </c>
      <c r="AU64">
        <f t="shared" si="104"/>
        <v>0</v>
      </c>
    </row>
    <row r="65" spans="1:51" ht="21.9" customHeight="1" x14ac:dyDescent="0.4">
      <c r="A65" s="5" t="s">
        <v>666</v>
      </c>
      <c r="B65" s="5" t="s">
        <v>207</v>
      </c>
      <c r="C65" s="6" t="s">
        <v>18</v>
      </c>
      <c r="D65" s="8">
        <v>5000</v>
      </c>
      <c r="E65" s="8">
        <f>ROUNDDOWN(단가대비표!N127, 0)</f>
        <v>110</v>
      </c>
      <c r="F65" s="8">
        <f t="shared" si="71"/>
        <v>550000</v>
      </c>
      <c r="G65" s="8"/>
      <c r="H65" s="8">
        <f t="shared" si="72"/>
        <v>0</v>
      </c>
      <c r="I65" s="8"/>
      <c r="J65" s="8">
        <f t="shared" si="73"/>
        <v>0</v>
      </c>
      <c r="K65" s="8">
        <f t="shared" si="69"/>
        <v>110</v>
      </c>
      <c r="L65" s="8">
        <f t="shared" si="70"/>
        <v>550000</v>
      </c>
      <c r="M65" s="7"/>
      <c r="O65" t="str">
        <f t="shared" si="74"/>
        <v>01</v>
      </c>
      <c r="P65" s="10" t="s">
        <v>361</v>
      </c>
      <c r="Q65">
        <v>1</v>
      </c>
      <c r="R65">
        <f t="shared" si="75"/>
        <v>0</v>
      </c>
      <c r="S65">
        <f t="shared" si="76"/>
        <v>0</v>
      </c>
      <c r="T65">
        <f t="shared" si="77"/>
        <v>0</v>
      </c>
      <c r="U65">
        <f t="shared" si="78"/>
        <v>0</v>
      </c>
      <c r="V65">
        <f t="shared" si="79"/>
        <v>0</v>
      </c>
      <c r="W65">
        <f t="shared" si="80"/>
        <v>0</v>
      </c>
      <c r="X65">
        <f t="shared" si="81"/>
        <v>0</v>
      </c>
      <c r="Y65">
        <f t="shared" si="82"/>
        <v>0</v>
      </c>
      <c r="Z65">
        <f t="shared" si="83"/>
        <v>0</v>
      </c>
      <c r="AA65">
        <f t="shared" si="84"/>
        <v>0</v>
      </c>
      <c r="AB65">
        <f t="shared" si="85"/>
        <v>0</v>
      </c>
      <c r="AC65">
        <f t="shared" si="86"/>
        <v>0</v>
      </c>
      <c r="AD65">
        <f t="shared" si="87"/>
        <v>0</v>
      </c>
      <c r="AE65">
        <f t="shared" si="88"/>
        <v>0</v>
      </c>
      <c r="AF65">
        <f t="shared" si="89"/>
        <v>0</v>
      </c>
      <c r="AG65">
        <f t="shared" si="90"/>
        <v>0</v>
      </c>
      <c r="AH65">
        <f t="shared" si="91"/>
        <v>0</v>
      </c>
      <c r="AI65">
        <f t="shared" si="92"/>
        <v>0</v>
      </c>
      <c r="AJ65">
        <f t="shared" si="93"/>
        <v>0</v>
      </c>
      <c r="AK65">
        <f t="shared" si="94"/>
        <v>0</v>
      </c>
      <c r="AL65">
        <f t="shared" si="95"/>
        <v>0</v>
      </c>
      <c r="AM65">
        <f t="shared" si="96"/>
        <v>0</v>
      </c>
      <c r="AN65">
        <f t="shared" si="97"/>
        <v>0</v>
      </c>
      <c r="AO65">
        <f t="shared" si="98"/>
        <v>0</v>
      </c>
      <c r="AP65">
        <f t="shared" si="99"/>
        <v>0</v>
      </c>
      <c r="AQ65">
        <f t="shared" si="100"/>
        <v>0</v>
      </c>
      <c r="AR65">
        <f t="shared" si="101"/>
        <v>0</v>
      </c>
      <c r="AS65">
        <f t="shared" si="102"/>
        <v>0</v>
      </c>
      <c r="AT65">
        <f t="shared" si="103"/>
        <v>0</v>
      </c>
      <c r="AU65">
        <f t="shared" si="104"/>
        <v>0</v>
      </c>
    </row>
    <row r="66" spans="1:51" ht="21.9" customHeight="1" x14ac:dyDescent="0.4">
      <c r="A66" s="5" t="s">
        <v>667</v>
      </c>
      <c r="B66" s="5" t="s">
        <v>231</v>
      </c>
      <c r="C66" s="6" t="s">
        <v>21</v>
      </c>
      <c r="D66" s="8">
        <v>4</v>
      </c>
      <c r="E66" s="8">
        <f>ROUNDDOWN(단가대비표!N104, 0)</f>
        <v>327600</v>
      </c>
      <c r="F66" s="8">
        <f t="shared" si="71"/>
        <v>1310400</v>
      </c>
      <c r="G66" s="8"/>
      <c r="H66" s="8">
        <f t="shared" si="72"/>
        <v>0</v>
      </c>
      <c r="I66" s="8"/>
      <c r="J66" s="8">
        <f t="shared" si="73"/>
        <v>0</v>
      </c>
      <c r="K66" s="8">
        <f t="shared" si="69"/>
        <v>327600</v>
      </c>
      <c r="L66" s="8">
        <f t="shared" si="70"/>
        <v>1310400</v>
      </c>
      <c r="M66" s="7"/>
      <c r="O66" t="str">
        <f t="shared" si="74"/>
        <v>01</v>
      </c>
      <c r="P66" s="10" t="s">
        <v>361</v>
      </c>
      <c r="Q66">
        <v>1</v>
      </c>
      <c r="R66">
        <f t="shared" si="75"/>
        <v>0</v>
      </c>
      <c r="S66">
        <f t="shared" si="76"/>
        <v>0</v>
      </c>
      <c r="T66">
        <f t="shared" si="77"/>
        <v>0</v>
      </c>
      <c r="U66">
        <f t="shared" si="78"/>
        <v>0</v>
      </c>
      <c r="V66">
        <f t="shared" si="79"/>
        <v>0</v>
      </c>
      <c r="W66">
        <f t="shared" si="80"/>
        <v>0</v>
      </c>
      <c r="X66">
        <f t="shared" si="81"/>
        <v>0</v>
      </c>
      <c r="Y66">
        <f t="shared" si="82"/>
        <v>0</v>
      </c>
      <c r="Z66">
        <f t="shared" si="83"/>
        <v>0</v>
      </c>
      <c r="AA66">
        <f t="shared" si="84"/>
        <v>0</v>
      </c>
      <c r="AB66">
        <f t="shared" si="85"/>
        <v>0</v>
      </c>
      <c r="AC66">
        <f t="shared" si="86"/>
        <v>0</v>
      </c>
      <c r="AD66">
        <f t="shared" si="87"/>
        <v>0</v>
      </c>
      <c r="AE66">
        <f t="shared" si="88"/>
        <v>0</v>
      </c>
      <c r="AF66">
        <f t="shared" si="89"/>
        <v>0</v>
      </c>
      <c r="AG66">
        <f t="shared" si="90"/>
        <v>0</v>
      </c>
      <c r="AH66">
        <f t="shared" si="91"/>
        <v>0</v>
      </c>
      <c r="AI66">
        <f t="shared" si="92"/>
        <v>0</v>
      </c>
      <c r="AJ66">
        <f t="shared" si="93"/>
        <v>0</v>
      </c>
      <c r="AK66">
        <f t="shared" si="94"/>
        <v>0</v>
      </c>
      <c r="AL66">
        <f t="shared" si="95"/>
        <v>0</v>
      </c>
      <c r="AM66">
        <f t="shared" si="96"/>
        <v>0</v>
      </c>
      <c r="AN66">
        <f t="shared" si="97"/>
        <v>0</v>
      </c>
      <c r="AO66">
        <f t="shared" si="98"/>
        <v>0</v>
      </c>
      <c r="AP66">
        <f t="shared" si="99"/>
        <v>0</v>
      </c>
      <c r="AQ66">
        <f t="shared" si="100"/>
        <v>0</v>
      </c>
      <c r="AR66">
        <f t="shared" si="101"/>
        <v>0</v>
      </c>
      <c r="AS66">
        <f t="shared" si="102"/>
        <v>0</v>
      </c>
      <c r="AT66">
        <f t="shared" si="103"/>
        <v>0</v>
      </c>
      <c r="AU66">
        <f t="shared" si="104"/>
        <v>0</v>
      </c>
    </row>
    <row r="67" spans="1:51" ht="21.9" customHeight="1" x14ac:dyDescent="0.4">
      <c r="A67" s="5" t="s">
        <v>668</v>
      </c>
      <c r="B67" s="5" t="s">
        <v>273</v>
      </c>
      <c r="C67" s="6" t="s">
        <v>21</v>
      </c>
      <c r="D67" s="8">
        <v>52</v>
      </c>
      <c r="E67" s="8">
        <f>ROUNDDOWN(단가대비표!N123, 0)</f>
        <v>18720</v>
      </c>
      <c r="F67" s="8">
        <f t="shared" si="71"/>
        <v>973440</v>
      </c>
      <c r="G67" s="8"/>
      <c r="H67" s="8">
        <f t="shared" si="72"/>
        <v>0</v>
      </c>
      <c r="I67" s="8"/>
      <c r="J67" s="8">
        <f t="shared" si="73"/>
        <v>0</v>
      </c>
      <c r="K67" s="8">
        <f t="shared" si="69"/>
        <v>18720</v>
      </c>
      <c r="L67" s="8">
        <f t="shared" si="70"/>
        <v>973440</v>
      </c>
      <c r="M67" s="7"/>
      <c r="O67" t="str">
        <f t="shared" si="74"/>
        <v>01</v>
      </c>
      <c r="P67" s="10" t="s">
        <v>361</v>
      </c>
      <c r="Q67">
        <v>1</v>
      </c>
      <c r="R67">
        <f t="shared" si="75"/>
        <v>0</v>
      </c>
      <c r="S67">
        <f t="shared" si="76"/>
        <v>0</v>
      </c>
      <c r="T67">
        <f t="shared" si="77"/>
        <v>0</v>
      </c>
      <c r="U67">
        <f t="shared" si="78"/>
        <v>0</v>
      </c>
      <c r="V67">
        <f t="shared" si="79"/>
        <v>0</v>
      </c>
      <c r="W67">
        <f t="shared" si="80"/>
        <v>0</v>
      </c>
      <c r="X67">
        <f t="shared" si="81"/>
        <v>0</v>
      </c>
      <c r="Y67">
        <f t="shared" si="82"/>
        <v>0</v>
      </c>
      <c r="Z67">
        <f t="shared" si="83"/>
        <v>0</v>
      </c>
      <c r="AA67">
        <f t="shared" si="84"/>
        <v>0</v>
      </c>
      <c r="AB67">
        <f t="shared" si="85"/>
        <v>0</v>
      </c>
      <c r="AC67">
        <f t="shared" si="86"/>
        <v>0</v>
      </c>
      <c r="AD67">
        <f t="shared" si="87"/>
        <v>0</v>
      </c>
      <c r="AE67">
        <f t="shared" si="88"/>
        <v>0</v>
      </c>
      <c r="AF67">
        <f t="shared" si="89"/>
        <v>0</v>
      </c>
      <c r="AG67">
        <f t="shared" si="90"/>
        <v>0</v>
      </c>
      <c r="AH67">
        <f t="shared" si="91"/>
        <v>0</v>
      </c>
      <c r="AI67">
        <f t="shared" si="92"/>
        <v>0</v>
      </c>
      <c r="AJ67">
        <f t="shared" si="93"/>
        <v>0</v>
      </c>
      <c r="AK67">
        <f t="shared" si="94"/>
        <v>0</v>
      </c>
      <c r="AL67">
        <f t="shared" si="95"/>
        <v>0</v>
      </c>
      <c r="AM67">
        <f t="shared" si="96"/>
        <v>0</v>
      </c>
      <c r="AN67">
        <f t="shared" si="97"/>
        <v>0</v>
      </c>
      <c r="AO67">
        <f t="shared" si="98"/>
        <v>0</v>
      </c>
      <c r="AP67">
        <f t="shared" si="99"/>
        <v>0</v>
      </c>
      <c r="AQ67">
        <f t="shared" si="100"/>
        <v>0</v>
      </c>
      <c r="AR67">
        <f t="shared" si="101"/>
        <v>0</v>
      </c>
      <c r="AS67">
        <f t="shared" si="102"/>
        <v>0</v>
      </c>
      <c r="AT67">
        <f t="shared" si="103"/>
        <v>0</v>
      </c>
      <c r="AU67">
        <f t="shared" si="104"/>
        <v>0</v>
      </c>
    </row>
    <row r="68" spans="1:51" ht="21.9" customHeight="1" x14ac:dyDescent="0.4">
      <c r="A68" s="5" t="s">
        <v>669</v>
      </c>
      <c r="B68" s="5" t="s">
        <v>20</v>
      </c>
      <c r="C68" s="6" t="s">
        <v>21</v>
      </c>
      <c r="D68" s="8">
        <v>10</v>
      </c>
      <c r="E68" s="8">
        <f>ROUNDDOWN(단가대비표!N6, 0)</f>
        <v>1019200</v>
      </c>
      <c r="F68" s="8">
        <f t="shared" si="71"/>
        <v>10192000</v>
      </c>
      <c r="G68" s="8"/>
      <c r="H68" s="8">
        <f t="shared" si="72"/>
        <v>0</v>
      </c>
      <c r="I68" s="8"/>
      <c r="J68" s="8">
        <f t="shared" si="73"/>
        <v>0</v>
      </c>
      <c r="K68" s="8">
        <f t="shared" si="69"/>
        <v>1019200</v>
      </c>
      <c r="L68" s="8">
        <f t="shared" si="70"/>
        <v>10192000</v>
      </c>
      <c r="M68" s="7"/>
      <c r="O68" t="str">
        <f t="shared" si="74"/>
        <v>01</v>
      </c>
      <c r="P68" s="10" t="s">
        <v>361</v>
      </c>
      <c r="Q68">
        <v>1</v>
      </c>
      <c r="R68">
        <f t="shared" si="75"/>
        <v>0</v>
      </c>
      <c r="S68">
        <f t="shared" si="76"/>
        <v>0</v>
      </c>
      <c r="T68">
        <f t="shared" si="77"/>
        <v>0</v>
      </c>
      <c r="U68">
        <f t="shared" si="78"/>
        <v>0</v>
      </c>
      <c r="V68">
        <f t="shared" si="79"/>
        <v>0</v>
      </c>
      <c r="W68">
        <f t="shared" si="80"/>
        <v>0</v>
      </c>
      <c r="X68">
        <f t="shared" si="81"/>
        <v>0</v>
      </c>
      <c r="Y68">
        <f t="shared" si="82"/>
        <v>0</v>
      </c>
      <c r="Z68">
        <f t="shared" si="83"/>
        <v>0</v>
      </c>
      <c r="AA68">
        <f t="shared" si="84"/>
        <v>0</v>
      </c>
      <c r="AB68">
        <f t="shared" si="85"/>
        <v>0</v>
      </c>
      <c r="AC68">
        <f t="shared" si="86"/>
        <v>0</v>
      </c>
      <c r="AD68">
        <f t="shared" si="87"/>
        <v>0</v>
      </c>
      <c r="AE68">
        <f t="shared" si="88"/>
        <v>0</v>
      </c>
      <c r="AF68">
        <f t="shared" si="89"/>
        <v>0</v>
      </c>
      <c r="AG68">
        <f t="shared" si="90"/>
        <v>0</v>
      </c>
      <c r="AH68">
        <f t="shared" si="91"/>
        <v>0</v>
      </c>
      <c r="AI68">
        <f t="shared" si="92"/>
        <v>0</v>
      </c>
      <c r="AJ68">
        <f t="shared" si="93"/>
        <v>0</v>
      </c>
      <c r="AK68">
        <f t="shared" si="94"/>
        <v>0</v>
      </c>
      <c r="AL68">
        <f t="shared" si="95"/>
        <v>0</v>
      </c>
      <c r="AM68">
        <f t="shared" si="96"/>
        <v>0</v>
      </c>
      <c r="AN68">
        <f t="shared" si="97"/>
        <v>0</v>
      </c>
      <c r="AO68">
        <f t="shared" si="98"/>
        <v>0</v>
      </c>
      <c r="AP68">
        <f t="shared" si="99"/>
        <v>0</v>
      </c>
      <c r="AQ68">
        <f t="shared" si="100"/>
        <v>0</v>
      </c>
      <c r="AR68">
        <f t="shared" si="101"/>
        <v>0</v>
      </c>
      <c r="AS68">
        <f t="shared" si="102"/>
        <v>0</v>
      </c>
      <c r="AT68">
        <f t="shared" si="103"/>
        <v>0</v>
      </c>
      <c r="AU68">
        <f t="shared" si="104"/>
        <v>0</v>
      </c>
    </row>
    <row r="69" spans="1:51" ht="21.9" customHeight="1" x14ac:dyDescent="0.4">
      <c r="A69" s="5" t="s">
        <v>670</v>
      </c>
      <c r="B69" s="5" t="s">
        <v>283</v>
      </c>
      <c r="C69" s="6" t="s">
        <v>21</v>
      </c>
      <c r="D69" s="8">
        <v>32</v>
      </c>
      <c r="E69" s="8">
        <f>ROUNDDOWN(단가대비표!N132, 0)</f>
        <v>291200</v>
      </c>
      <c r="F69" s="8">
        <f t="shared" si="71"/>
        <v>9318400</v>
      </c>
      <c r="G69" s="8"/>
      <c r="H69" s="8">
        <f t="shared" si="72"/>
        <v>0</v>
      </c>
      <c r="I69" s="8"/>
      <c r="J69" s="8">
        <f t="shared" si="73"/>
        <v>0</v>
      </c>
      <c r="K69" s="8">
        <f t="shared" si="69"/>
        <v>291200</v>
      </c>
      <c r="L69" s="8">
        <f t="shared" si="70"/>
        <v>9318400</v>
      </c>
      <c r="M69" s="7"/>
      <c r="O69" t="str">
        <f t="shared" si="74"/>
        <v>01</v>
      </c>
      <c r="P69" s="10" t="s">
        <v>361</v>
      </c>
      <c r="Q69">
        <v>1</v>
      </c>
      <c r="R69">
        <f t="shared" si="75"/>
        <v>0</v>
      </c>
      <c r="S69">
        <f t="shared" si="76"/>
        <v>0</v>
      </c>
      <c r="T69">
        <f t="shared" si="77"/>
        <v>0</v>
      </c>
      <c r="U69">
        <f t="shared" si="78"/>
        <v>0</v>
      </c>
      <c r="V69">
        <f t="shared" si="79"/>
        <v>0</v>
      </c>
      <c r="W69">
        <f t="shared" si="80"/>
        <v>0</v>
      </c>
      <c r="X69">
        <f t="shared" si="81"/>
        <v>0</v>
      </c>
      <c r="Y69">
        <f t="shared" si="82"/>
        <v>0</v>
      </c>
      <c r="Z69">
        <f t="shared" si="83"/>
        <v>0</v>
      </c>
      <c r="AA69">
        <f t="shared" si="84"/>
        <v>0</v>
      </c>
      <c r="AB69">
        <f t="shared" si="85"/>
        <v>0</v>
      </c>
      <c r="AC69">
        <f t="shared" si="86"/>
        <v>0</v>
      </c>
      <c r="AD69">
        <f t="shared" si="87"/>
        <v>0</v>
      </c>
      <c r="AE69">
        <f t="shared" si="88"/>
        <v>0</v>
      </c>
      <c r="AF69">
        <f t="shared" si="89"/>
        <v>0</v>
      </c>
      <c r="AG69">
        <f t="shared" si="90"/>
        <v>0</v>
      </c>
      <c r="AH69">
        <f t="shared" si="91"/>
        <v>0</v>
      </c>
      <c r="AI69">
        <f t="shared" si="92"/>
        <v>0</v>
      </c>
      <c r="AJ69">
        <f t="shared" si="93"/>
        <v>0</v>
      </c>
      <c r="AK69">
        <f t="shared" si="94"/>
        <v>0</v>
      </c>
      <c r="AL69">
        <f t="shared" si="95"/>
        <v>0</v>
      </c>
      <c r="AM69">
        <f t="shared" si="96"/>
        <v>0</v>
      </c>
      <c r="AN69">
        <f t="shared" si="97"/>
        <v>0</v>
      </c>
      <c r="AO69">
        <f t="shared" si="98"/>
        <v>0</v>
      </c>
      <c r="AP69">
        <f t="shared" si="99"/>
        <v>0</v>
      </c>
      <c r="AQ69">
        <f t="shared" si="100"/>
        <v>0</v>
      </c>
      <c r="AR69">
        <f t="shared" si="101"/>
        <v>0</v>
      </c>
      <c r="AS69">
        <f t="shared" si="102"/>
        <v>0</v>
      </c>
      <c r="AT69">
        <f t="shared" si="103"/>
        <v>0</v>
      </c>
      <c r="AU69">
        <f t="shared" si="104"/>
        <v>0</v>
      </c>
    </row>
    <row r="70" spans="1:51" ht="21.9" customHeight="1" x14ac:dyDescent="0.4">
      <c r="A70" s="5" t="s">
        <v>671</v>
      </c>
      <c r="B70" s="5" t="s">
        <v>302</v>
      </c>
      <c r="C70" s="6" t="s">
        <v>21</v>
      </c>
      <c r="D70" s="8">
        <v>2</v>
      </c>
      <c r="E70" s="8">
        <f>ROUNDDOWN(단가대비표!N141, 0)</f>
        <v>140400</v>
      </c>
      <c r="F70" s="8">
        <f t="shared" si="71"/>
        <v>280800</v>
      </c>
      <c r="G70" s="8"/>
      <c r="H70" s="8">
        <f t="shared" si="72"/>
        <v>0</v>
      </c>
      <c r="I70" s="8"/>
      <c r="J70" s="8">
        <f t="shared" si="73"/>
        <v>0</v>
      </c>
      <c r="K70" s="8">
        <f t="shared" ref="K70:K77" si="105">E70+G70+I70</f>
        <v>140400</v>
      </c>
      <c r="L70" s="8">
        <f t="shared" ref="L70:L77" si="106">F70+H70+J70</f>
        <v>280800</v>
      </c>
      <c r="M70" s="7"/>
      <c r="O70" t="str">
        <f t="shared" si="74"/>
        <v>01</v>
      </c>
      <c r="P70" s="10" t="s">
        <v>361</v>
      </c>
      <c r="Q70">
        <v>1</v>
      </c>
      <c r="R70">
        <f t="shared" si="75"/>
        <v>0</v>
      </c>
      <c r="S70">
        <f t="shared" si="76"/>
        <v>0</v>
      </c>
      <c r="T70">
        <f t="shared" si="77"/>
        <v>0</v>
      </c>
      <c r="U70">
        <f t="shared" si="78"/>
        <v>0</v>
      </c>
      <c r="V70">
        <f t="shared" si="79"/>
        <v>0</v>
      </c>
      <c r="W70">
        <f t="shared" si="80"/>
        <v>0</v>
      </c>
      <c r="X70">
        <f t="shared" si="81"/>
        <v>0</v>
      </c>
      <c r="Y70">
        <f t="shared" si="82"/>
        <v>0</v>
      </c>
      <c r="Z70">
        <f t="shared" si="83"/>
        <v>0</v>
      </c>
      <c r="AA70">
        <f t="shared" si="84"/>
        <v>0</v>
      </c>
      <c r="AB70">
        <f t="shared" si="85"/>
        <v>0</v>
      </c>
      <c r="AC70">
        <f t="shared" si="86"/>
        <v>0</v>
      </c>
      <c r="AD70">
        <f t="shared" si="87"/>
        <v>0</v>
      </c>
      <c r="AE70">
        <f t="shared" si="88"/>
        <v>0</v>
      </c>
      <c r="AF70">
        <f t="shared" si="89"/>
        <v>0</v>
      </c>
      <c r="AG70">
        <f t="shared" si="90"/>
        <v>0</v>
      </c>
      <c r="AH70">
        <f t="shared" si="91"/>
        <v>0</v>
      </c>
      <c r="AI70">
        <f t="shared" si="92"/>
        <v>0</v>
      </c>
      <c r="AJ70">
        <f t="shared" si="93"/>
        <v>0</v>
      </c>
      <c r="AK70">
        <f t="shared" si="94"/>
        <v>0</v>
      </c>
      <c r="AL70">
        <f t="shared" si="95"/>
        <v>0</v>
      </c>
      <c r="AM70">
        <f t="shared" si="96"/>
        <v>0</v>
      </c>
      <c r="AN70">
        <f t="shared" si="97"/>
        <v>0</v>
      </c>
      <c r="AO70">
        <f t="shared" si="98"/>
        <v>0</v>
      </c>
      <c r="AP70">
        <f t="shared" si="99"/>
        <v>0</v>
      </c>
      <c r="AQ70">
        <f t="shared" si="100"/>
        <v>0</v>
      </c>
      <c r="AR70">
        <f t="shared" si="101"/>
        <v>0</v>
      </c>
      <c r="AS70">
        <f t="shared" si="102"/>
        <v>0</v>
      </c>
      <c r="AT70">
        <f t="shared" si="103"/>
        <v>0</v>
      </c>
      <c r="AU70">
        <f t="shared" si="104"/>
        <v>0</v>
      </c>
    </row>
    <row r="71" spans="1:51" ht="21.9" customHeight="1" x14ac:dyDescent="0.4">
      <c r="A71" s="5" t="s">
        <v>672</v>
      </c>
      <c r="B71" s="5" t="s">
        <v>304</v>
      </c>
      <c r="C71" s="6" t="s">
        <v>21</v>
      </c>
      <c r="D71" s="8">
        <v>4</v>
      </c>
      <c r="E71" s="8">
        <f>ROUNDDOWN(단가대비표!N143, 0)</f>
        <v>187200</v>
      </c>
      <c r="F71" s="8">
        <f t="shared" si="71"/>
        <v>748800</v>
      </c>
      <c r="G71" s="8"/>
      <c r="H71" s="8">
        <f t="shared" si="72"/>
        <v>0</v>
      </c>
      <c r="I71" s="8"/>
      <c r="J71" s="8">
        <f t="shared" si="73"/>
        <v>0</v>
      </c>
      <c r="K71" s="8">
        <f t="shared" si="105"/>
        <v>187200</v>
      </c>
      <c r="L71" s="8">
        <f t="shared" si="106"/>
        <v>748800</v>
      </c>
      <c r="M71" s="7"/>
      <c r="O71" t="str">
        <f t="shared" si="74"/>
        <v>01</v>
      </c>
      <c r="P71" s="10" t="s">
        <v>361</v>
      </c>
      <c r="Q71">
        <v>1</v>
      </c>
      <c r="R71">
        <f t="shared" si="75"/>
        <v>0</v>
      </c>
      <c r="S71">
        <f t="shared" si="76"/>
        <v>0</v>
      </c>
      <c r="T71">
        <f t="shared" si="77"/>
        <v>0</v>
      </c>
      <c r="U71">
        <f t="shared" si="78"/>
        <v>0</v>
      </c>
      <c r="V71">
        <f t="shared" si="79"/>
        <v>0</v>
      </c>
      <c r="W71">
        <f t="shared" si="80"/>
        <v>0</v>
      </c>
      <c r="X71">
        <f t="shared" si="81"/>
        <v>0</v>
      </c>
      <c r="Y71">
        <f t="shared" si="82"/>
        <v>0</v>
      </c>
      <c r="Z71">
        <f t="shared" si="83"/>
        <v>0</v>
      </c>
      <c r="AA71">
        <f t="shared" si="84"/>
        <v>0</v>
      </c>
      <c r="AB71">
        <f t="shared" si="85"/>
        <v>0</v>
      </c>
      <c r="AC71">
        <f t="shared" si="86"/>
        <v>0</v>
      </c>
      <c r="AD71">
        <f t="shared" si="87"/>
        <v>0</v>
      </c>
      <c r="AE71">
        <f t="shared" si="88"/>
        <v>0</v>
      </c>
      <c r="AF71">
        <f t="shared" si="89"/>
        <v>0</v>
      </c>
      <c r="AG71">
        <f t="shared" si="90"/>
        <v>0</v>
      </c>
      <c r="AH71">
        <f t="shared" si="91"/>
        <v>0</v>
      </c>
      <c r="AI71">
        <f t="shared" si="92"/>
        <v>0</v>
      </c>
      <c r="AJ71">
        <f t="shared" si="93"/>
        <v>0</v>
      </c>
      <c r="AK71">
        <f t="shared" si="94"/>
        <v>0</v>
      </c>
      <c r="AL71">
        <f t="shared" si="95"/>
        <v>0</v>
      </c>
      <c r="AM71">
        <f t="shared" si="96"/>
        <v>0</v>
      </c>
      <c r="AN71">
        <f t="shared" si="97"/>
        <v>0</v>
      </c>
      <c r="AO71">
        <f t="shared" si="98"/>
        <v>0</v>
      </c>
      <c r="AP71">
        <f t="shared" si="99"/>
        <v>0</v>
      </c>
      <c r="AQ71">
        <f t="shared" si="100"/>
        <v>0</v>
      </c>
      <c r="AR71">
        <f t="shared" si="101"/>
        <v>0</v>
      </c>
      <c r="AS71">
        <f t="shared" si="102"/>
        <v>0</v>
      </c>
      <c r="AT71">
        <f t="shared" si="103"/>
        <v>0</v>
      </c>
      <c r="AU71">
        <f t="shared" si="104"/>
        <v>0</v>
      </c>
    </row>
    <row r="72" spans="1:51" ht="21.9" customHeight="1" x14ac:dyDescent="0.4">
      <c r="A72" s="5" t="s">
        <v>673</v>
      </c>
      <c r="B72" s="5" t="s">
        <v>304</v>
      </c>
      <c r="C72" s="6" t="s">
        <v>21</v>
      </c>
      <c r="D72" s="8">
        <v>16</v>
      </c>
      <c r="E72" s="8">
        <f>ROUNDDOWN(단가대비표!N142, 0)</f>
        <v>187200</v>
      </c>
      <c r="F72" s="8">
        <f t="shared" si="71"/>
        <v>2995200</v>
      </c>
      <c r="G72" s="8"/>
      <c r="H72" s="8">
        <f t="shared" si="72"/>
        <v>0</v>
      </c>
      <c r="I72" s="8"/>
      <c r="J72" s="8">
        <f t="shared" si="73"/>
        <v>0</v>
      </c>
      <c r="K72" s="8">
        <f t="shared" si="105"/>
        <v>187200</v>
      </c>
      <c r="L72" s="8">
        <f t="shared" si="106"/>
        <v>2995200</v>
      </c>
      <c r="M72" s="7"/>
      <c r="O72" t="str">
        <f t="shared" si="74"/>
        <v>01</v>
      </c>
      <c r="P72" s="10" t="s">
        <v>361</v>
      </c>
      <c r="Q72">
        <v>1</v>
      </c>
      <c r="R72">
        <f t="shared" si="75"/>
        <v>0</v>
      </c>
      <c r="S72">
        <f t="shared" si="76"/>
        <v>0</v>
      </c>
      <c r="T72">
        <f t="shared" si="77"/>
        <v>0</v>
      </c>
      <c r="U72">
        <f t="shared" si="78"/>
        <v>0</v>
      </c>
      <c r="V72">
        <f t="shared" si="79"/>
        <v>0</v>
      </c>
      <c r="W72">
        <f t="shared" si="80"/>
        <v>0</v>
      </c>
      <c r="X72">
        <f t="shared" si="81"/>
        <v>0</v>
      </c>
      <c r="Y72">
        <f t="shared" si="82"/>
        <v>0</v>
      </c>
      <c r="Z72">
        <f t="shared" si="83"/>
        <v>0</v>
      </c>
      <c r="AA72">
        <f t="shared" si="84"/>
        <v>0</v>
      </c>
      <c r="AB72">
        <f t="shared" si="85"/>
        <v>0</v>
      </c>
      <c r="AC72">
        <f t="shared" si="86"/>
        <v>0</v>
      </c>
      <c r="AD72">
        <f t="shared" si="87"/>
        <v>0</v>
      </c>
      <c r="AE72">
        <f t="shared" si="88"/>
        <v>0</v>
      </c>
      <c r="AF72">
        <f t="shared" si="89"/>
        <v>0</v>
      </c>
      <c r="AG72">
        <f t="shared" si="90"/>
        <v>0</v>
      </c>
      <c r="AH72">
        <f t="shared" si="91"/>
        <v>0</v>
      </c>
      <c r="AI72">
        <f t="shared" si="92"/>
        <v>0</v>
      </c>
      <c r="AJ72">
        <f t="shared" si="93"/>
        <v>0</v>
      </c>
      <c r="AK72">
        <f t="shared" si="94"/>
        <v>0</v>
      </c>
      <c r="AL72">
        <f t="shared" si="95"/>
        <v>0</v>
      </c>
      <c r="AM72">
        <f t="shared" si="96"/>
        <v>0</v>
      </c>
      <c r="AN72">
        <f t="shared" si="97"/>
        <v>0</v>
      </c>
      <c r="AO72">
        <f t="shared" si="98"/>
        <v>0</v>
      </c>
      <c r="AP72">
        <f t="shared" si="99"/>
        <v>0</v>
      </c>
      <c r="AQ72">
        <f t="shared" si="100"/>
        <v>0</v>
      </c>
      <c r="AR72">
        <f t="shared" si="101"/>
        <v>0</v>
      </c>
      <c r="AS72">
        <f t="shared" si="102"/>
        <v>0</v>
      </c>
      <c r="AT72">
        <f t="shared" si="103"/>
        <v>0</v>
      </c>
      <c r="AU72">
        <f t="shared" si="104"/>
        <v>0</v>
      </c>
    </row>
    <row r="73" spans="1:51" ht="21.9" customHeight="1" x14ac:dyDescent="0.4">
      <c r="A73" s="5" t="s">
        <v>674</v>
      </c>
      <c r="B73" s="5" t="s">
        <v>169</v>
      </c>
      <c r="C73" s="6" t="s">
        <v>18</v>
      </c>
      <c r="D73" s="8">
        <v>5600</v>
      </c>
      <c r="E73" s="8">
        <f>ROUNDDOWN(단가대비표!N72, 0)</f>
        <v>260</v>
      </c>
      <c r="F73" s="8">
        <f t="shared" si="71"/>
        <v>1456000</v>
      </c>
      <c r="G73" s="8"/>
      <c r="H73" s="8">
        <f t="shared" si="72"/>
        <v>0</v>
      </c>
      <c r="I73" s="8"/>
      <c r="J73" s="8">
        <f t="shared" si="73"/>
        <v>0</v>
      </c>
      <c r="K73" s="8">
        <f t="shared" si="105"/>
        <v>260</v>
      </c>
      <c r="L73" s="8">
        <f t="shared" si="106"/>
        <v>1456000</v>
      </c>
      <c r="M73" s="7"/>
      <c r="O73" t="str">
        <f t="shared" si="74"/>
        <v>01</v>
      </c>
      <c r="P73" s="10" t="s">
        <v>361</v>
      </c>
      <c r="Q73">
        <v>1</v>
      </c>
      <c r="R73">
        <f t="shared" si="75"/>
        <v>0</v>
      </c>
      <c r="S73">
        <f t="shared" si="76"/>
        <v>0</v>
      </c>
      <c r="T73">
        <f t="shared" si="77"/>
        <v>0</v>
      </c>
      <c r="U73">
        <f t="shared" si="78"/>
        <v>0</v>
      </c>
      <c r="V73">
        <f t="shared" si="79"/>
        <v>0</v>
      </c>
      <c r="W73">
        <f t="shared" si="80"/>
        <v>0</v>
      </c>
      <c r="X73">
        <f t="shared" si="81"/>
        <v>0</v>
      </c>
      <c r="Y73">
        <f t="shared" si="82"/>
        <v>0</v>
      </c>
      <c r="Z73">
        <f t="shared" si="83"/>
        <v>0</v>
      </c>
      <c r="AA73">
        <f t="shared" si="84"/>
        <v>0</v>
      </c>
      <c r="AB73">
        <f t="shared" si="85"/>
        <v>0</v>
      </c>
      <c r="AC73">
        <f t="shared" si="86"/>
        <v>0</v>
      </c>
      <c r="AD73">
        <f t="shared" si="87"/>
        <v>0</v>
      </c>
      <c r="AE73">
        <f t="shared" si="88"/>
        <v>0</v>
      </c>
      <c r="AF73">
        <f t="shared" si="89"/>
        <v>0</v>
      </c>
      <c r="AG73">
        <f t="shared" si="90"/>
        <v>0</v>
      </c>
      <c r="AH73">
        <f t="shared" si="91"/>
        <v>0</v>
      </c>
      <c r="AI73">
        <f t="shared" si="92"/>
        <v>0</v>
      </c>
      <c r="AJ73">
        <f t="shared" si="93"/>
        <v>0</v>
      </c>
      <c r="AK73">
        <f t="shared" si="94"/>
        <v>0</v>
      </c>
      <c r="AL73">
        <f t="shared" si="95"/>
        <v>0</v>
      </c>
      <c r="AM73">
        <f t="shared" si="96"/>
        <v>0</v>
      </c>
      <c r="AN73">
        <f t="shared" si="97"/>
        <v>0</v>
      </c>
      <c r="AO73">
        <f t="shared" si="98"/>
        <v>0</v>
      </c>
      <c r="AP73">
        <f t="shared" si="99"/>
        <v>0</v>
      </c>
      <c r="AQ73">
        <f t="shared" si="100"/>
        <v>0</v>
      </c>
      <c r="AR73">
        <f t="shared" si="101"/>
        <v>0</v>
      </c>
      <c r="AS73">
        <f t="shared" si="102"/>
        <v>0</v>
      </c>
      <c r="AT73">
        <f t="shared" si="103"/>
        <v>0</v>
      </c>
      <c r="AU73">
        <f t="shared" si="104"/>
        <v>0</v>
      </c>
    </row>
    <row r="74" spans="1:51" ht="21.9" customHeight="1" x14ac:dyDescent="0.4">
      <c r="A74" s="5" t="s">
        <v>675</v>
      </c>
      <c r="B74" s="5" t="s">
        <v>273</v>
      </c>
      <c r="C74" s="6" t="s">
        <v>21</v>
      </c>
      <c r="D74" s="8">
        <v>42</v>
      </c>
      <c r="E74" s="8">
        <f>ROUNDDOWN(단가대비표!N140, 0)</f>
        <v>49920</v>
      </c>
      <c r="F74" s="8">
        <f t="shared" si="71"/>
        <v>2096640</v>
      </c>
      <c r="G74" s="8"/>
      <c r="H74" s="8">
        <f t="shared" si="72"/>
        <v>0</v>
      </c>
      <c r="I74" s="8"/>
      <c r="J74" s="8">
        <f t="shared" si="73"/>
        <v>0</v>
      </c>
      <c r="K74" s="8">
        <f t="shared" si="105"/>
        <v>49920</v>
      </c>
      <c r="L74" s="8">
        <f t="shared" si="106"/>
        <v>2096640</v>
      </c>
      <c r="M74" s="7"/>
      <c r="O74" t="str">
        <f t="shared" si="74"/>
        <v>01</v>
      </c>
      <c r="P74" s="10" t="s">
        <v>361</v>
      </c>
      <c r="Q74">
        <v>1</v>
      </c>
      <c r="R74">
        <f t="shared" si="75"/>
        <v>0</v>
      </c>
      <c r="S74">
        <f t="shared" si="76"/>
        <v>0</v>
      </c>
      <c r="T74">
        <f t="shared" si="77"/>
        <v>0</v>
      </c>
      <c r="U74">
        <f t="shared" si="78"/>
        <v>0</v>
      </c>
      <c r="V74">
        <f t="shared" si="79"/>
        <v>0</v>
      </c>
      <c r="W74">
        <f t="shared" si="80"/>
        <v>0</v>
      </c>
      <c r="X74">
        <f t="shared" si="81"/>
        <v>0</v>
      </c>
      <c r="Y74">
        <f t="shared" si="82"/>
        <v>0</v>
      </c>
      <c r="Z74">
        <f t="shared" si="83"/>
        <v>0</v>
      </c>
      <c r="AA74">
        <f t="shared" si="84"/>
        <v>0</v>
      </c>
      <c r="AB74">
        <f t="shared" si="85"/>
        <v>0</v>
      </c>
      <c r="AC74">
        <f t="shared" si="86"/>
        <v>0</v>
      </c>
      <c r="AD74">
        <f t="shared" si="87"/>
        <v>0</v>
      </c>
      <c r="AE74">
        <f t="shared" si="88"/>
        <v>0</v>
      </c>
      <c r="AF74">
        <f t="shared" si="89"/>
        <v>0</v>
      </c>
      <c r="AG74">
        <f t="shared" si="90"/>
        <v>0</v>
      </c>
      <c r="AH74">
        <f t="shared" si="91"/>
        <v>0</v>
      </c>
      <c r="AI74">
        <f t="shared" si="92"/>
        <v>0</v>
      </c>
      <c r="AJ74">
        <f t="shared" si="93"/>
        <v>0</v>
      </c>
      <c r="AK74">
        <f t="shared" si="94"/>
        <v>0</v>
      </c>
      <c r="AL74">
        <f t="shared" si="95"/>
        <v>0</v>
      </c>
      <c r="AM74">
        <f t="shared" si="96"/>
        <v>0</v>
      </c>
      <c r="AN74">
        <f t="shared" si="97"/>
        <v>0</v>
      </c>
      <c r="AO74">
        <f t="shared" si="98"/>
        <v>0</v>
      </c>
      <c r="AP74">
        <f t="shared" si="99"/>
        <v>0</v>
      </c>
      <c r="AQ74">
        <f t="shared" si="100"/>
        <v>0</v>
      </c>
      <c r="AR74">
        <f t="shared" si="101"/>
        <v>0</v>
      </c>
      <c r="AS74">
        <f t="shared" si="102"/>
        <v>0</v>
      </c>
      <c r="AT74">
        <f t="shared" si="103"/>
        <v>0</v>
      </c>
      <c r="AU74">
        <f t="shared" si="104"/>
        <v>0</v>
      </c>
    </row>
    <row r="75" spans="1:51" ht="21.9" customHeight="1" x14ac:dyDescent="0.4">
      <c r="A75" s="5" t="s">
        <v>676</v>
      </c>
      <c r="B75" s="5" t="s">
        <v>281</v>
      </c>
      <c r="C75" s="6" t="s">
        <v>18</v>
      </c>
      <c r="D75" s="8">
        <v>5000</v>
      </c>
      <c r="E75" s="8">
        <f>ROUNDDOWN(단가대비표!N131, 0)</f>
        <v>520</v>
      </c>
      <c r="F75" s="8">
        <f t="shared" si="71"/>
        <v>2600000</v>
      </c>
      <c r="G75" s="8"/>
      <c r="H75" s="8">
        <f t="shared" si="72"/>
        <v>0</v>
      </c>
      <c r="I75" s="8"/>
      <c r="J75" s="8">
        <f t="shared" si="73"/>
        <v>0</v>
      </c>
      <c r="K75" s="8">
        <f t="shared" si="105"/>
        <v>520</v>
      </c>
      <c r="L75" s="8">
        <f t="shared" si="106"/>
        <v>2600000</v>
      </c>
      <c r="M75" s="7"/>
      <c r="O75" t="str">
        <f t="shared" si="74"/>
        <v>01</v>
      </c>
      <c r="P75" s="10" t="s">
        <v>361</v>
      </c>
      <c r="Q75">
        <v>1</v>
      </c>
      <c r="R75">
        <f t="shared" si="75"/>
        <v>0</v>
      </c>
      <c r="S75">
        <f t="shared" si="76"/>
        <v>0</v>
      </c>
      <c r="T75">
        <f t="shared" si="77"/>
        <v>0</v>
      </c>
      <c r="U75">
        <f t="shared" si="78"/>
        <v>0</v>
      </c>
      <c r="V75">
        <f t="shared" si="79"/>
        <v>0</v>
      </c>
      <c r="W75">
        <f t="shared" si="80"/>
        <v>0</v>
      </c>
      <c r="X75">
        <f t="shared" si="81"/>
        <v>0</v>
      </c>
      <c r="Y75">
        <f t="shared" si="82"/>
        <v>0</v>
      </c>
      <c r="Z75">
        <f t="shared" si="83"/>
        <v>0</v>
      </c>
      <c r="AA75">
        <f t="shared" si="84"/>
        <v>0</v>
      </c>
      <c r="AB75">
        <f t="shared" si="85"/>
        <v>0</v>
      </c>
      <c r="AC75">
        <f t="shared" si="86"/>
        <v>0</v>
      </c>
      <c r="AD75">
        <f t="shared" si="87"/>
        <v>0</v>
      </c>
      <c r="AE75">
        <f t="shared" si="88"/>
        <v>0</v>
      </c>
      <c r="AF75">
        <f t="shared" si="89"/>
        <v>0</v>
      </c>
      <c r="AG75">
        <f t="shared" si="90"/>
        <v>0</v>
      </c>
      <c r="AH75">
        <f t="shared" si="91"/>
        <v>0</v>
      </c>
      <c r="AI75">
        <f t="shared" si="92"/>
        <v>0</v>
      </c>
      <c r="AJ75">
        <f t="shared" si="93"/>
        <v>0</v>
      </c>
      <c r="AK75">
        <f t="shared" si="94"/>
        <v>0</v>
      </c>
      <c r="AL75">
        <f t="shared" si="95"/>
        <v>0</v>
      </c>
      <c r="AM75">
        <f t="shared" si="96"/>
        <v>0</v>
      </c>
      <c r="AN75">
        <f t="shared" si="97"/>
        <v>0</v>
      </c>
      <c r="AO75">
        <f t="shared" si="98"/>
        <v>0</v>
      </c>
      <c r="AP75">
        <f t="shared" si="99"/>
        <v>0</v>
      </c>
      <c r="AQ75">
        <f t="shared" si="100"/>
        <v>0</v>
      </c>
      <c r="AR75">
        <f t="shared" si="101"/>
        <v>0</v>
      </c>
      <c r="AS75">
        <f t="shared" si="102"/>
        <v>0</v>
      </c>
      <c r="AT75">
        <f t="shared" si="103"/>
        <v>0</v>
      </c>
      <c r="AU75">
        <f t="shared" si="104"/>
        <v>0</v>
      </c>
    </row>
    <row r="76" spans="1:51" ht="21.9" customHeight="1" x14ac:dyDescent="0.4">
      <c r="A76" s="5" t="s">
        <v>677</v>
      </c>
      <c r="B76" s="5" t="s">
        <v>548</v>
      </c>
      <c r="C76" s="6" t="s">
        <v>472</v>
      </c>
      <c r="D76" s="8">
        <v>5383.0749999999998</v>
      </c>
      <c r="E76" s="8">
        <f>ROUNDDOWN(일위대가목록!G10, 2)</f>
        <v>0</v>
      </c>
      <c r="F76" s="8">
        <f t="shared" si="71"/>
        <v>0</v>
      </c>
      <c r="G76" s="8">
        <f>ROUNDDOWN(일위대가목록!I10, 0)</f>
        <v>1456</v>
      </c>
      <c r="H76" s="8">
        <f t="shared" si="72"/>
        <v>7837757</v>
      </c>
      <c r="I76" s="8">
        <f>ROUNDDOWN(일위대가목록!K10, 2)</f>
        <v>0</v>
      </c>
      <c r="J76" s="8">
        <f t="shared" si="73"/>
        <v>0</v>
      </c>
      <c r="K76" s="8">
        <f t="shared" si="105"/>
        <v>1456</v>
      </c>
      <c r="L76" s="8">
        <f t="shared" si="106"/>
        <v>7837757</v>
      </c>
      <c r="M76" s="5" t="s">
        <v>546</v>
      </c>
      <c r="O76" t="str">
        <f>""</f>
        <v/>
      </c>
      <c r="P76" s="10" t="s">
        <v>361</v>
      </c>
      <c r="Q76">
        <v>1</v>
      </c>
      <c r="R76">
        <f t="shared" si="75"/>
        <v>0</v>
      </c>
      <c r="S76">
        <f t="shared" si="76"/>
        <v>0</v>
      </c>
      <c r="T76">
        <f t="shared" si="77"/>
        <v>0</v>
      </c>
      <c r="U76">
        <f t="shared" si="78"/>
        <v>0</v>
      </c>
      <c r="V76">
        <f t="shared" si="79"/>
        <v>0</v>
      </c>
      <c r="W76">
        <f t="shared" si="80"/>
        <v>0</v>
      </c>
      <c r="X76">
        <f t="shared" si="81"/>
        <v>0</v>
      </c>
      <c r="Y76">
        <f t="shared" si="82"/>
        <v>0</v>
      </c>
      <c r="Z76">
        <f t="shared" si="83"/>
        <v>0</v>
      </c>
      <c r="AA76">
        <f t="shared" si="84"/>
        <v>0</v>
      </c>
      <c r="AB76">
        <f t="shared" si="85"/>
        <v>0</v>
      </c>
      <c r="AC76">
        <f t="shared" si="86"/>
        <v>0</v>
      </c>
      <c r="AD76">
        <f t="shared" si="87"/>
        <v>0</v>
      </c>
      <c r="AE76">
        <f t="shared" si="88"/>
        <v>0</v>
      </c>
      <c r="AF76">
        <f t="shared" si="89"/>
        <v>0</v>
      </c>
      <c r="AG76">
        <f t="shared" si="90"/>
        <v>0</v>
      </c>
      <c r="AH76">
        <f t="shared" si="91"/>
        <v>0</v>
      </c>
      <c r="AI76">
        <f t="shared" si="92"/>
        <v>0</v>
      </c>
      <c r="AJ76">
        <f t="shared" si="93"/>
        <v>0</v>
      </c>
      <c r="AK76">
        <f t="shared" si="94"/>
        <v>0</v>
      </c>
      <c r="AL76">
        <f t="shared" si="95"/>
        <v>0</v>
      </c>
      <c r="AM76">
        <f t="shared" si="96"/>
        <v>0</v>
      </c>
      <c r="AN76">
        <f t="shared" si="97"/>
        <v>0</v>
      </c>
      <c r="AO76">
        <f t="shared" si="98"/>
        <v>0</v>
      </c>
      <c r="AP76">
        <f t="shared" si="99"/>
        <v>0</v>
      </c>
      <c r="AQ76">
        <f t="shared" si="100"/>
        <v>0</v>
      </c>
      <c r="AR76">
        <f t="shared" si="101"/>
        <v>0</v>
      </c>
      <c r="AS76">
        <f t="shared" si="102"/>
        <v>0</v>
      </c>
      <c r="AT76">
        <f t="shared" si="103"/>
        <v>0</v>
      </c>
      <c r="AU76">
        <f t="shared" si="104"/>
        <v>0</v>
      </c>
      <c r="AY76" s="10" t="s">
        <v>549</v>
      </c>
    </row>
    <row r="77" spans="1:51" ht="21.9" customHeight="1" x14ac:dyDescent="0.4">
      <c r="A77" s="5" t="s">
        <v>678</v>
      </c>
      <c r="B77" s="5" t="s">
        <v>552</v>
      </c>
      <c r="C77" s="6" t="s">
        <v>553</v>
      </c>
      <c r="D77" s="8">
        <v>64.22</v>
      </c>
      <c r="E77" s="8">
        <f>ROUNDDOWN(일위대가목록!G11, 0)</f>
        <v>96990</v>
      </c>
      <c r="F77" s="8">
        <f t="shared" si="71"/>
        <v>6228697</v>
      </c>
      <c r="G77" s="8">
        <f>ROUNDDOWN(일위대가목록!I11, 0)</f>
        <v>1616500</v>
      </c>
      <c r="H77" s="8">
        <f t="shared" si="72"/>
        <v>103811630</v>
      </c>
      <c r="I77" s="8">
        <f>ROUNDDOWN(일위대가목록!K11, 2)</f>
        <v>0</v>
      </c>
      <c r="J77" s="8">
        <f t="shared" si="73"/>
        <v>0</v>
      </c>
      <c r="K77" s="8">
        <f t="shared" si="105"/>
        <v>1713490</v>
      </c>
      <c r="L77" s="8">
        <f t="shared" si="106"/>
        <v>110040327</v>
      </c>
      <c r="M77" s="5" t="s">
        <v>550</v>
      </c>
      <c r="O77" t="str">
        <f>""</f>
        <v/>
      </c>
      <c r="P77" s="10" t="s">
        <v>361</v>
      </c>
      <c r="Q77">
        <v>1</v>
      </c>
      <c r="R77">
        <f t="shared" si="75"/>
        <v>0</v>
      </c>
      <c r="S77">
        <f t="shared" si="76"/>
        <v>0</v>
      </c>
      <c r="T77">
        <f t="shared" si="77"/>
        <v>0</v>
      </c>
      <c r="U77">
        <f t="shared" si="78"/>
        <v>0</v>
      </c>
      <c r="V77">
        <f t="shared" si="79"/>
        <v>0</v>
      </c>
      <c r="W77">
        <f t="shared" si="80"/>
        <v>0</v>
      </c>
      <c r="X77">
        <f t="shared" si="81"/>
        <v>0</v>
      </c>
      <c r="Y77">
        <f t="shared" si="82"/>
        <v>0</v>
      </c>
      <c r="Z77">
        <f t="shared" si="83"/>
        <v>0</v>
      </c>
      <c r="AA77">
        <f t="shared" si="84"/>
        <v>0</v>
      </c>
      <c r="AB77">
        <f t="shared" si="85"/>
        <v>0</v>
      </c>
      <c r="AC77">
        <f t="shared" si="86"/>
        <v>0</v>
      </c>
      <c r="AD77">
        <f t="shared" si="87"/>
        <v>0</v>
      </c>
      <c r="AE77">
        <f t="shared" si="88"/>
        <v>0</v>
      </c>
      <c r="AF77">
        <f t="shared" si="89"/>
        <v>0</v>
      </c>
      <c r="AG77">
        <f t="shared" si="90"/>
        <v>0</v>
      </c>
      <c r="AH77">
        <f t="shared" si="91"/>
        <v>0</v>
      </c>
      <c r="AI77">
        <f t="shared" si="92"/>
        <v>0</v>
      </c>
      <c r="AJ77">
        <f t="shared" si="93"/>
        <v>0</v>
      </c>
      <c r="AK77">
        <f t="shared" si="94"/>
        <v>0</v>
      </c>
      <c r="AL77">
        <f t="shared" si="95"/>
        <v>0</v>
      </c>
      <c r="AM77">
        <f t="shared" si="96"/>
        <v>0</v>
      </c>
      <c r="AN77">
        <f t="shared" si="97"/>
        <v>0</v>
      </c>
      <c r="AO77">
        <f t="shared" si="98"/>
        <v>0</v>
      </c>
      <c r="AP77">
        <f t="shared" si="99"/>
        <v>0</v>
      </c>
      <c r="AQ77">
        <f t="shared" si="100"/>
        <v>0</v>
      </c>
      <c r="AR77">
        <f t="shared" si="101"/>
        <v>0</v>
      </c>
      <c r="AS77">
        <f t="shared" si="102"/>
        <v>0</v>
      </c>
      <c r="AT77">
        <f t="shared" si="103"/>
        <v>0</v>
      </c>
      <c r="AU77">
        <f t="shared" si="104"/>
        <v>0</v>
      </c>
      <c r="AY77" s="10" t="s">
        <v>554</v>
      </c>
    </row>
    <row r="78" spans="1:51" ht="21.9" customHeight="1" x14ac:dyDescent="0.4">
      <c r="A78" s="5"/>
      <c r="B78" s="5"/>
      <c r="C78" s="6"/>
      <c r="D78" s="8"/>
      <c r="E78" s="8"/>
      <c r="F78" s="8"/>
      <c r="G78" s="8"/>
      <c r="H78" s="8"/>
      <c r="I78" s="8"/>
      <c r="J78" s="8"/>
      <c r="K78" s="8"/>
      <c r="L78" s="8"/>
      <c r="M78" s="5"/>
      <c r="P78" s="10"/>
      <c r="AY78" s="10"/>
    </row>
    <row r="79" spans="1:51" ht="21.9" customHeight="1" x14ac:dyDescent="0.4">
      <c r="A79" s="5"/>
      <c r="B79" s="5"/>
      <c r="C79" s="6"/>
      <c r="D79" s="8"/>
      <c r="E79" s="8"/>
      <c r="F79" s="8"/>
      <c r="G79" s="8"/>
      <c r="H79" s="8"/>
      <c r="I79" s="8"/>
      <c r="J79" s="8"/>
      <c r="K79" s="8"/>
      <c r="L79" s="8"/>
      <c r="M79" s="5"/>
      <c r="P79" s="10"/>
      <c r="AY79" s="10"/>
    </row>
    <row r="80" spans="1:51" ht="21.9" customHeight="1" x14ac:dyDescent="0.4">
      <c r="A80" s="12" t="s">
        <v>372</v>
      </c>
      <c r="B80" s="13"/>
      <c r="C80" s="14"/>
      <c r="D80" s="15"/>
      <c r="E80" s="15"/>
      <c r="F80" s="15">
        <f>ROUNDDOWN(SUMIF(Q6:Q79, "1", F6:F79), 0)</f>
        <v>206845928</v>
      </c>
      <c r="G80" s="15"/>
      <c r="H80" s="15">
        <f>ROUNDDOWN(SUMIF(Q6:Q79, "1", H6:H79), 0)</f>
        <v>117852973</v>
      </c>
      <c r="I80" s="15"/>
      <c r="J80" s="15">
        <f>ROUNDDOWN(SUMIF(Q6:Q79, "1", J6:J79), 0)</f>
        <v>176459</v>
      </c>
      <c r="K80" s="15"/>
      <c r="L80" s="15">
        <f>F80+H80+J80</f>
        <v>324875360</v>
      </c>
      <c r="M80" s="13"/>
      <c r="R80">
        <f t="shared" ref="R80:AY80" si="107">ROUNDDOWN(SUM(R6:R77), 0)</f>
        <v>176459</v>
      </c>
      <c r="S80">
        <f t="shared" si="107"/>
        <v>0</v>
      </c>
      <c r="T80">
        <f t="shared" si="107"/>
        <v>0</v>
      </c>
      <c r="U80">
        <f t="shared" si="107"/>
        <v>0</v>
      </c>
      <c r="V80">
        <f t="shared" si="107"/>
        <v>0</v>
      </c>
      <c r="W80">
        <f t="shared" si="107"/>
        <v>0</v>
      </c>
      <c r="X80">
        <f t="shared" si="107"/>
        <v>0</v>
      </c>
      <c r="Y80">
        <f t="shared" si="107"/>
        <v>0</v>
      </c>
      <c r="Z80">
        <f t="shared" si="107"/>
        <v>0</v>
      </c>
      <c r="AA80">
        <f t="shared" si="107"/>
        <v>0</v>
      </c>
      <c r="AB80">
        <f t="shared" si="107"/>
        <v>0</v>
      </c>
      <c r="AC80">
        <f t="shared" si="107"/>
        <v>0</v>
      </c>
      <c r="AD80">
        <f t="shared" si="107"/>
        <v>0</v>
      </c>
      <c r="AE80">
        <f t="shared" si="107"/>
        <v>0</v>
      </c>
      <c r="AF80">
        <f t="shared" si="107"/>
        <v>0</v>
      </c>
      <c r="AG80">
        <f t="shared" si="107"/>
        <v>0</v>
      </c>
      <c r="AH80">
        <f t="shared" si="107"/>
        <v>0</v>
      </c>
      <c r="AI80">
        <f t="shared" si="107"/>
        <v>0</v>
      </c>
      <c r="AJ80">
        <f t="shared" si="107"/>
        <v>0</v>
      </c>
      <c r="AK80">
        <f t="shared" si="107"/>
        <v>0</v>
      </c>
      <c r="AL80">
        <f t="shared" si="107"/>
        <v>0</v>
      </c>
      <c r="AM80">
        <f t="shared" si="107"/>
        <v>0</v>
      </c>
      <c r="AN80">
        <f t="shared" si="107"/>
        <v>0</v>
      </c>
      <c r="AO80">
        <f t="shared" si="107"/>
        <v>0</v>
      </c>
      <c r="AP80">
        <f t="shared" si="107"/>
        <v>0</v>
      </c>
      <c r="AQ80">
        <f t="shared" si="107"/>
        <v>0</v>
      </c>
      <c r="AR80">
        <f t="shared" si="107"/>
        <v>0</v>
      </c>
      <c r="AS80">
        <f t="shared" si="107"/>
        <v>0</v>
      </c>
      <c r="AT80">
        <f t="shared" si="107"/>
        <v>0</v>
      </c>
      <c r="AU80">
        <f t="shared" si="107"/>
        <v>0</v>
      </c>
      <c r="AV80">
        <f t="shared" si="107"/>
        <v>0</v>
      </c>
      <c r="AW80">
        <f t="shared" si="107"/>
        <v>0</v>
      </c>
      <c r="AX80">
        <f t="shared" si="107"/>
        <v>0</v>
      </c>
      <c r="AY80">
        <f t="shared" si="107"/>
        <v>0</v>
      </c>
    </row>
    <row r="81" spans="1:47" ht="21" customHeight="1" x14ac:dyDescent="0.4">
      <c r="A81" s="56" t="s">
        <v>679</v>
      </c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</row>
    <row r="82" spans="1:47" ht="21" customHeight="1" x14ac:dyDescent="0.4">
      <c r="A82" s="5" t="s">
        <v>680</v>
      </c>
      <c r="B82" s="7"/>
      <c r="C82" s="6" t="s">
        <v>359</v>
      </c>
      <c r="D82" s="8"/>
      <c r="E82" s="8"/>
      <c r="F82" s="8">
        <f>SUMIF(Q83:Q119, "1", F83:F119)</f>
        <v>56556298</v>
      </c>
      <c r="G82" s="8"/>
      <c r="H82" s="8">
        <f>SUMIF(Q83:Q119, "1", H83:H119)</f>
        <v>5785145</v>
      </c>
      <c r="I82" s="8"/>
      <c r="J82" s="8">
        <f>SUMIF(Q83:Q119, "1", J83:J119)</f>
        <v>204556</v>
      </c>
      <c r="K82" s="8">
        <f t="shared" ref="K82:K119" si="108">E82+G82+I82</f>
        <v>0</v>
      </c>
      <c r="L82" s="8">
        <f t="shared" ref="L82:L119" si="109">F82+H82+J82</f>
        <v>62545999</v>
      </c>
      <c r="M82" s="7"/>
      <c r="O82" t="str">
        <f>""</f>
        <v/>
      </c>
    </row>
    <row r="83" spans="1:47" ht="21" customHeight="1" x14ac:dyDescent="0.4">
      <c r="A83" s="5" t="s">
        <v>681</v>
      </c>
      <c r="B83" s="5" t="s">
        <v>246</v>
      </c>
      <c r="C83" s="6" t="s">
        <v>38</v>
      </c>
      <c r="D83" s="8">
        <v>178.5</v>
      </c>
      <c r="E83" s="8">
        <f>ROUNDDOWN(단가대비표!N108, 0)</f>
        <v>4010</v>
      </c>
      <c r="F83" s="8">
        <f t="shared" ref="F83:F119" si="110">ROUNDDOWN(D83*E83, 0)</f>
        <v>715785</v>
      </c>
      <c r="G83" s="8">
        <v>0</v>
      </c>
      <c r="H83" s="8">
        <f t="shared" ref="H83:H119" si="111">ROUNDDOWN(D83*G83, 0)</f>
        <v>0</v>
      </c>
      <c r="I83" s="8">
        <v>0</v>
      </c>
      <c r="J83" s="8">
        <f t="shared" ref="J83:J119" si="112">ROUNDDOWN(D83*I83, 0)</f>
        <v>0</v>
      </c>
      <c r="K83" s="8">
        <f t="shared" si="108"/>
        <v>4010</v>
      </c>
      <c r="L83" s="8">
        <f t="shared" si="109"/>
        <v>715785</v>
      </c>
      <c r="M83" s="5" t="s">
        <v>247</v>
      </c>
      <c r="O83" t="str">
        <f t="shared" ref="O83:O117" si="113">"01"</f>
        <v>01</v>
      </c>
      <c r="P83" s="10" t="s">
        <v>361</v>
      </c>
      <c r="Q83">
        <v>1</v>
      </c>
      <c r="R83">
        <f t="shared" ref="R83:R119" si="114">IF(P83="기계경비", J83, 0)</f>
        <v>0</v>
      </c>
      <c r="S83">
        <f t="shared" ref="S83:S119" si="115">IF(P83="운반비", L83, 0)</f>
        <v>0</v>
      </c>
      <c r="T83">
        <f t="shared" ref="T83:T119" si="116">IF(P83="작업부산물", F83, 0)</f>
        <v>0</v>
      </c>
      <c r="U83">
        <f t="shared" ref="U83:U119" si="117">IF(P83="관급", F83, 0)</f>
        <v>0</v>
      </c>
      <c r="V83">
        <f t="shared" ref="V83:V119" si="118">IF(P83="외주비", J83, 0)</f>
        <v>0</v>
      </c>
      <c r="W83">
        <f t="shared" ref="W83:W119" si="119">IF(P83="장비비", J83, 0)</f>
        <v>0</v>
      </c>
      <c r="X83">
        <f t="shared" ref="X83:X119" si="120">IF(P83="폐기물처리비", L83, 0)</f>
        <v>0</v>
      </c>
      <c r="Y83">
        <f t="shared" ref="Y83:Y119" si="121">IF(P83="가설비", J83, 0)</f>
        <v>0</v>
      </c>
      <c r="Z83">
        <f t="shared" ref="Z83:Z119" si="122">IF(P83="잡비제외분", F83, 0)</f>
        <v>0</v>
      </c>
      <c r="AA83">
        <f t="shared" ref="AA83:AA119" si="123">IF(P83="사급자재대", L83, 0)</f>
        <v>0</v>
      </c>
      <c r="AB83">
        <f t="shared" ref="AB83:AB119" si="124">IF(P83="관급자재대", L83, 0)</f>
        <v>0</v>
      </c>
      <c r="AC83">
        <f t="shared" ref="AC83:AC119" si="125">IF(P83="고철처리비", L83, 0)</f>
        <v>0</v>
      </c>
      <c r="AD83">
        <f t="shared" ref="AD83:AD119" si="126">IF(P83="사용자항목2", L83, 0)</f>
        <v>0</v>
      </c>
      <c r="AE83">
        <f t="shared" ref="AE83:AE119" si="127">IF(P83="안전관리비", L83, 0)</f>
        <v>0</v>
      </c>
      <c r="AF83">
        <f t="shared" ref="AF83:AF119" si="128">IF(P83="품질관리비", L83, 0)</f>
        <v>0</v>
      </c>
      <c r="AG83">
        <f t="shared" ref="AG83:AG119" si="129">IF(P83="사용자항목5", L83, 0)</f>
        <v>0</v>
      </c>
      <c r="AH83">
        <f t="shared" ref="AH83:AH119" si="130">IF(P83="사용자항목6", L83, 0)</f>
        <v>0</v>
      </c>
      <c r="AI83">
        <f t="shared" ref="AI83:AI119" si="131">IF(P83="사용자항목7", L83, 0)</f>
        <v>0</v>
      </c>
      <c r="AJ83">
        <f t="shared" ref="AJ83:AJ119" si="132">IF(P83="관급자 관급 자재대", L83, 0)</f>
        <v>0</v>
      </c>
      <c r="AK83">
        <f t="shared" ref="AK83:AK119" si="133">IF(P83="전기공사", L83, 0)</f>
        <v>0</v>
      </c>
      <c r="AL83">
        <f t="shared" ref="AL83:AL119" si="134">IF(P83="석면분담금", L83, 0)</f>
        <v>0</v>
      </c>
      <c r="AM83">
        <f t="shared" ref="AM83:AM119" si="135">IF(P83="임금채권부담금", L83, 0)</f>
        <v>0</v>
      </c>
      <c r="AN83">
        <f t="shared" ref="AN83:AN119" si="136">IF(P83="건설기계대여보증수수료", L83, 0)</f>
        <v>0</v>
      </c>
      <c r="AO83">
        <f t="shared" ref="AO83:AO119" si="137">IF(P83="사용자항목13", L83, 0)</f>
        <v>0</v>
      </c>
      <c r="AP83">
        <f t="shared" ref="AP83:AP119" si="138">IF(P83="사용자항목14", L83, 0)</f>
        <v>0</v>
      </c>
      <c r="AQ83">
        <f t="shared" ref="AQ83:AQ119" si="139">IF(P83="사용자항목15", L83, 0)</f>
        <v>0</v>
      </c>
      <c r="AR83">
        <f t="shared" ref="AR83:AR119" si="140">IF(P83="사용자항목16", L83, 0)</f>
        <v>0</v>
      </c>
      <c r="AS83">
        <f t="shared" ref="AS83:AS119" si="141">IF(P83="사용자항목17", L83, 0)</f>
        <v>0</v>
      </c>
      <c r="AT83">
        <f t="shared" ref="AT83:AT119" si="142">IF(P83="사용자항목18", L83, 0)</f>
        <v>0</v>
      </c>
      <c r="AU83">
        <f t="shared" ref="AU83:AU119" si="143">IF(P83="사용자항목19", L83, 0)</f>
        <v>0</v>
      </c>
    </row>
    <row r="84" spans="1:47" ht="21" customHeight="1" x14ac:dyDescent="0.4">
      <c r="A84" s="5" t="s">
        <v>682</v>
      </c>
      <c r="B84" s="5" t="s">
        <v>45</v>
      </c>
      <c r="C84" s="6" t="s">
        <v>38</v>
      </c>
      <c r="D84" s="8">
        <v>441</v>
      </c>
      <c r="E84" s="8">
        <f>ROUNDDOWN(단가대비표!N117, 0)</f>
        <v>1600</v>
      </c>
      <c r="F84" s="8">
        <f t="shared" si="110"/>
        <v>705600</v>
      </c>
      <c r="G84" s="8">
        <v>0</v>
      </c>
      <c r="H84" s="8">
        <f t="shared" si="111"/>
        <v>0</v>
      </c>
      <c r="I84" s="8">
        <v>0</v>
      </c>
      <c r="J84" s="8">
        <f t="shared" si="112"/>
        <v>0</v>
      </c>
      <c r="K84" s="8">
        <f t="shared" si="108"/>
        <v>1600</v>
      </c>
      <c r="L84" s="8">
        <f t="shared" si="109"/>
        <v>705600</v>
      </c>
      <c r="M84" s="7"/>
      <c r="O84" t="str">
        <f t="shared" si="113"/>
        <v>01</v>
      </c>
      <c r="P84" s="10" t="s">
        <v>361</v>
      </c>
      <c r="Q84">
        <v>1</v>
      </c>
      <c r="R84">
        <f t="shared" si="114"/>
        <v>0</v>
      </c>
      <c r="S84">
        <f t="shared" si="115"/>
        <v>0</v>
      </c>
      <c r="T84">
        <f t="shared" si="116"/>
        <v>0</v>
      </c>
      <c r="U84">
        <f t="shared" si="117"/>
        <v>0</v>
      </c>
      <c r="V84">
        <f t="shared" si="118"/>
        <v>0</v>
      </c>
      <c r="W84">
        <f t="shared" si="119"/>
        <v>0</v>
      </c>
      <c r="X84">
        <f t="shared" si="120"/>
        <v>0</v>
      </c>
      <c r="Y84">
        <f t="shared" si="121"/>
        <v>0</v>
      </c>
      <c r="Z84">
        <f t="shared" si="122"/>
        <v>0</v>
      </c>
      <c r="AA84">
        <f t="shared" si="123"/>
        <v>0</v>
      </c>
      <c r="AB84">
        <f t="shared" si="124"/>
        <v>0</v>
      </c>
      <c r="AC84">
        <f t="shared" si="125"/>
        <v>0</v>
      </c>
      <c r="AD84">
        <f t="shared" si="126"/>
        <v>0</v>
      </c>
      <c r="AE84">
        <f t="shared" si="127"/>
        <v>0</v>
      </c>
      <c r="AF84">
        <f t="shared" si="128"/>
        <v>0</v>
      </c>
      <c r="AG84">
        <f t="shared" si="129"/>
        <v>0</v>
      </c>
      <c r="AH84">
        <f t="shared" si="130"/>
        <v>0</v>
      </c>
      <c r="AI84">
        <f t="shared" si="131"/>
        <v>0</v>
      </c>
      <c r="AJ84">
        <f t="shared" si="132"/>
        <v>0</v>
      </c>
      <c r="AK84">
        <f t="shared" si="133"/>
        <v>0</v>
      </c>
      <c r="AL84">
        <f t="shared" si="134"/>
        <v>0</v>
      </c>
      <c r="AM84">
        <f t="shared" si="135"/>
        <v>0</v>
      </c>
      <c r="AN84">
        <f t="shared" si="136"/>
        <v>0</v>
      </c>
      <c r="AO84">
        <f t="shared" si="137"/>
        <v>0</v>
      </c>
      <c r="AP84">
        <f t="shared" si="138"/>
        <v>0</v>
      </c>
      <c r="AQ84">
        <f t="shared" si="139"/>
        <v>0</v>
      </c>
      <c r="AR84">
        <f t="shared" si="140"/>
        <v>0</v>
      </c>
      <c r="AS84">
        <f t="shared" si="141"/>
        <v>0</v>
      </c>
      <c r="AT84">
        <f t="shared" si="142"/>
        <v>0</v>
      </c>
      <c r="AU84">
        <f t="shared" si="143"/>
        <v>0</v>
      </c>
    </row>
    <row r="85" spans="1:47" ht="21" customHeight="1" x14ac:dyDescent="0.4">
      <c r="A85" s="5" t="s">
        <v>682</v>
      </c>
      <c r="B85" s="5" t="s">
        <v>45</v>
      </c>
      <c r="C85" s="6" t="s">
        <v>38</v>
      </c>
      <c r="D85" s="8">
        <v>661.5</v>
      </c>
      <c r="E85" s="8">
        <f>ROUNDDOWN(단가대비표!N117, 0)</f>
        <v>1600</v>
      </c>
      <c r="F85" s="8">
        <f t="shared" si="110"/>
        <v>1058400</v>
      </c>
      <c r="G85" s="8">
        <v>0</v>
      </c>
      <c r="H85" s="8">
        <f t="shared" si="111"/>
        <v>0</v>
      </c>
      <c r="I85" s="8">
        <v>0</v>
      </c>
      <c r="J85" s="8">
        <f t="shared" si="112"/>
        <v>0</v>
      </c>
      <c r="K85" s="8">
        <f t="shared" si="108"/>
        <v>1600</v>
      </c>
      <c r="L85" s="8">
        <f t="shared" si="109"/>
        <v>1058400</v>
      </c>
      <c r="M85" s="7"/>
      <c r="O85" t="str">
        <f t="shared" si="113"/>
        <v>01</v>
      </c>
      <c r="P85" s="10" t="s">
        <v>361</v>
      </c>
      <c r="Q85">
        <v>1</v>
      </c>
      <c r="R85">
        <f t="shared" si="114"/>
        <v>0</v>
      </c>
      <c r="S85">
        <f t="shared" si="115"/>
        <v>0</v>
      </c>
      <c r="T85">
        <f t="shared" si="116"/>
        <v>0</v>
      </c>
      <c r="U85">
        <f t="shared" si="117"/>
        <v>0</v>
      </c>
      <c r="V85">
        <f t="shared" si="118"/>
        <v>0</v>
      </c>
      <c r="W85">
        <f t="shared" si="119"/>
        <v>0</v>
      </c>
      <c r="X85">
        <f t="shared" si="120"/>
        <v>0</v>
      </c>
      <c r="Y85">
        <f t="shared" si="121"/>
        <v>0</v>
      </c>
      <c r="Z85">
        <f t="shared" si="122"/>
        <v>0</v>
      </c>
      <c r="AA85">
        <f t="shared" si="123"/>
        <v>0</v>
      </c>
      <c r="AB85">
        <f t="shared" si="124"/>
        <v>0</v>
      </c>
      <c r="AC85">
        <f t="shared" si="125"/>
        <v>0</v>
      </c>
      <c r="AD85">
        <f t="shared" si="126"/>
        <v>0</v>
      </c>
      <c r="AE85">
        <f t="shared" si="127"/>
        <v>0</v>
      </c>
      <c r="AF85">
        <f t="shared" si="128"/>
        <v>0</v>
      </c>
      <c r="AG85">
        <f t="shared" si="129"/>
        <v>0</v>
      </c>
      <c r="AH85">
        <f t="shared" si="130"/>
        <v>0</v>
      </c>
      <c r="AI85">
        <f t="shared" si="131"/>
        <v>0</v>
      </c>
      <c r="AJ85">
        <f t="shared" si="132"/>
        <v>0</v>
      </c>
      <c r="AK85">
        <f t="shared" si="133"/>
        <v>0</v>
      </c>
      <c r="AL85">
        <f t="shared" si="134"/>
        <v>0</v>
      </c>
      <c r="AM85">
        <f t="shared" si="135"/>
        <v>0</v>
      </c>
      <c r="AN85">
        <f t="shared" si="136"/>
        <v>0</v>
      </c>
      <c r="AO85">
        <f t="shared" si="137"/>
        <v>0</v>
      </c>
      <c r="AP85">
        <f t="shared" si="138"/>
        <v>0</v>
      </c>
      <c r="AQ85">
        <f t="shared" si="139"/>
        <v>0</v>
      </c>
      <c r="AR85">
        <f t="shared" si="140"/>
        <v>0</v>
      </c>
      <c r="AS85">
        <f t="shared" si="141"/>
        <v>0</v>
      </c>
      <c r="AT85">
        <f t="shared" si="142"/>
        <v>0</v>
      </c>
      <c r="AU85">
        <f t="shared" si="143"/>
        <v>0</v>
      </c>
    </row>
    <row r="86" spans="1:47" ht="21" customHeight="1" x14ac:dyDescent="0.4">
      <c r="A86" s="5" t="s">
        <v>683</v>
      </c>
      <c r="B86" s="5" t="s">
        <v>37</v>
      </c>
      <c r="C86" s="6" t="s">
        <v>38</v>
      </c>
      <c r="D86" s="8">
        <v>472.5</v>
      </c>
      <c r="E86" s="8">
        <f>ROUNDDOWN(단가대비표!N23, 0)</f>
        <v>2230</v>
      </c>
      <c r="F86" s="8">
        <f t="shared" si="110"/>
        <v>1053675</v>
      </c>
      <c r="G86" s="8">
        <v>0</v>
      </c>
      <c r="H86" s="8">
        <f t="shared" si="111"/>
        <v>0</v>
      </c>
      <c r="I86" s="8">
        <v>0</v>
      </c>
      <c r="J86" s="8">
        <f t="shared" si="112"/>
        <v>0</v>
      </c>
      <c r="K86" s="8">
        <f t="shared" si="108"/>
        <v>2230</v>
      </c>
      <c r="L86" s="8">
        <f t="shared" si="109"/>
        <v>1053675</v>
      </c>
      <c r="M86" s="7"/>
      <c r="O86" t="str">
        <f t="shared" si="113"/>
        <v>01</v>
      </c>
      <c r="P86" s="10" t="s">
        <v>361</v>
      </c>
      <c r="Q86">
        <v>1</v>
      </c>
      <c r="R86">
        <f t="shared" si="114"/>
        <v>0</v>
      </c>
      <c r="S86">
        <f t="shared" si="115"/>
        <v>0</v>
      </c>
      <c r="T86">
        <f t="shared" si="116"/>
        <v>0</v>
      </c>
      <c r="U86">
        <f t="shared" si="117"/>
        <v>0</v>
      </c>
      <c r="V86">
        <f t="shared" si="118"/>
        <v>0</v>
      </c>
      <c r="W86">
        <f t="shared" si="119"/>
        <v>0</v>
      </c>
      <c r="X86">
        <f t="shared" si="120"/>
        <v>0</v>
      </c>
      <c r="Y86">
        <f t="shared" si="121"/>
        <v>0</v>
      </c>
      <c r="Z86">
        <f t="shared" si="122"/>
        <v>0</v>
      </c>
      <c r="AA86">
        <f t="shared" si="123"/>
        <v>0</v>
      </c>
      <c r="AB86">
        <f t="shared" si="124"/>
        <v>0</v>
      </c>
      <c r="AC86">
        <f t="shared" si="125"/>
        <v>0</v>
      </c>
      <c r="AD86">
        <f t="shared" si="126"/>
        <v>0</v>
      </c>
      <c r="AE86">
        <f t="shared" si="127"/>
        <v>0</v>
      </c>
      <c r="AF86">
        <f t="shared" si="128"/>
        <v>0</v>
      </c>
      <c r="AG86">
        <f t="shared" si="129"/>
        <v>0</v>
      </c>
      <c r="AH86">
        <f t="shared" si="130"/>
        <v>0</v>
      </c>
      <c r="AI86">
        <f t="shared" si="131"/>
        <v>0</v>
      </c>
      <c r="AJ86">
        <f t="shared" si="132"/>
        <v>0</v>
      </c>
      <c r="AK86">
        <f t="shared" si="133"/>
        <v>0</v>
      </c>
      <c r="AL86">
        <f t="shared" si="134"/>
        <v>0</v>
      </c>
      <c r="AM86">
        <f t="shared" si="135"/>
        <v>0</v>
      </c>
      <c r="AN86">
        <f t="shared" si="136"/>
        <v>0</v>
      </c>
      <c r="AO86">
        <f t="shared" si="137"/>
        <v>0</v>
      </c>
      <c r="AP86">
        <f t="shared" si="138"/>
        <v>0</v>
      </c>
      <c r="AQ86">
        <f t="shared" si="139"/>
        <v>0</v>
      </c>
      <c r="AR86">
        <f t="shared" si="140"/>
        <v>0</v>
      </c>
      <c r="AS86">
        <f t="shared" si="141"/>
        <v>0</v>
      </c>
      <c r="AT86">
        <f t="shared" si="142"/>
        <v>0</v>
      </c>
      <c r="AU86">
        <f t="shared" si="143"/>
        <v>0</v>
      </c>
    </row>
    <row r="87" spans="1:47" ht="21" customHeight="1" x14ac:dyDescent="0.4">
      <c r="A87" s="5" t="s">
        <v>684</v>
      </c>
      <c r="B87" s="5" t="s">
        <v>45</v>
      </c>
      <c r="C87" s="6" t="s">
        <v>38</v>
      </c>
      <c r="D87" s="8">
        <v>315</v>
      </c>
      <c r="E87" s="8">
        <f>ROUNDDOWN(단가대비표!N114, 0)</f>
        <v>1600</v>
      </c>
      <c r="F87" s="8">
        <f t="shared" si="110"/>
        <v>504000</v>
      </c>
      <c r="G87" s="8">
        <v>0</v>
      </c>
      <c r="H87" s="8">
        <f t="shared" si="111"/>
        <v>0</v>
      </c>
      <c r="I87" s="8">
        <v>0</v>
      </c>
      <c r="J87" s="8">
        <f t="shared" si="112"/>
        <v>0</v>
      </c>
      <c r="K87" s="8">
        <f t="shared" si="108"/>
        <v>1600</v>
      </c>
      <c r="L87" s="8">
        <f t="shared" si="109"/>
        <v>504000</v>
      </c>
      <c r="M87" s="7"/>
      <c r="O87" t="str">
        <f t="shared" si="113"/>
        <v>01</v>
      </c>
      <c r="P87" s="10" t="s">
        <v>361</v>
      </c>
      <c r="Q87">
        <v>1</v>
      </c>
      <c r="R87">
        <f t="shared" si="114"/>
        <v>0</v>
      </c>
      <c r="S87">
        <f t="shared" si="115"/>
        <v>0</v>
      </c>
      <c r="T87">
        <f t="shared" si="116"/>
        <v>0</v>
      </c>
      <c r="U87">
        <f t="shared" si="117"/>
        <v>0</v>
      </c>
      <c r="V87">
        <f t="shared" si="118"/>
        <v>0</v>
      </c>
      <c r="W87">
        <f t="shared" si="119"/>
        <v>0</v>
      </c>
      <c r="X87">
        <f t="shared" si="120"/>
        <v>0</v>
      </c>
      <c r="Y87">
        <f t="shared" si="121"/>
        <v>0</v>
      </c>
      <c r="Z87">
        <f t="shared" si="122"/>
        <v>0</v>
      </c>
      <c r="AA87">
        <f t="shared" si="123"/>
        <v>0</v>
      </c>
      <c r="AB87">
        <f t="shared" si="124"/>
        <v>0</v>
      </c>
      <c r="AC87">
        <f t="shared" si="125"/>
        <v>0</v>
      </c>
      <c r="AD87">
        <f t="shared" si="126"/>
        <v>0</v>
      </c>
      <c r="AE87">
        <f t="shared" si="127"/>
        <v>0</v>
      </c>
      <c r="AF87">
        <f t="shared" si="128"/>
        <v>0</v>
      </c>
      <c r="AG87">
        <f t="shared" si="129"/>
        <v>0</v>
      </c>
      <c r="AH87">
        <f t="shared" si="130"/>
        <v>0</v>
      </c>
      <c r="AI87">
        <f t="shared" si="131"/>
        <v>0</v>
      </c>
      <c r="AJ87">
        <f t="shared" si="132"/>
        <v>0</v>
      </c>
      <c r="AK87">
        <f t="shared" si="133"/>
        <v>0</v>
      </c>
      <c r="AL87">
        <f t="shared" si="134"/>
        <v>0</v>
      </c>
      <c r="AM87">
        <f t="shared" si="135"/>
        <v>0</v>
      </c>
      <c r="AN87">
        <f t="shared" si="136"/>
        <v>0</v>
      </c>
      <c r="AO87">
        <f t="shared" si="137"/>
        <v>0</v>
      </c>
      <c r="AP87">
        <f t="shared" si="138"/>
        <v>0</v>
      </c>
      <c r="AQ87">
        <f t="shared" si="139"/>
        <v>0</v>
      </c>
      <c r="AR87">
        <f t="shared" si="140"/>
        <v>0</v>
      </c>
      <c r="AS87">
        <f t="shared" si="141"/>
        <v>0</v>
      </c>
      <c r="AT87">
        <f t="shared" si="142"/>
        <v>0</v>
      </c>
      <c r="AU87">
        <f t="shared" si="143"/>
        <v>0</v>
      </c>
    </row>
    <row r="88" spans="1:47" ht="21" customHeight="1" x14ac:dyDescent="0.4">
      <c r="A88" s="5" t="s">
        <v>685</v>
      </c>
      <c r="B88" s="5" t="s">
        <v>45</v>
      </c>
      <c r="C88" s="6" t="s">
        <v>38</v>
      </c>
      <c r="D88" s="8">
        <v>52.5</v>
      </c>
      <c r="E88" s="8">
        <f>ROUNDDOWN(단가대비표!N110, 0)</f>
        <v>1600</v>
      </c>
      <c r="F88" s="8">
        <f t="shared" si="110"/>
        <v>84000</v>
      </c>
      <c r="G88" s="8">
        <v>0</v>
      </c>
      <c r="H88" s="8">
        <f t="shared" si="111"/>
        <v>0</v>
      </c>
      <c r="I88" s="8">
        <v>0</v>
      </c>
      <c r="J88" s="8">
        <f t="shared" si="112"/>
        <v>0</v>
      </c>
      <c r="K88" s="8">
        <f t="shared" si="108"/>
        <v>1600</v>
      </c>
      <c r="L88" s="8">
        <f t="shared" si="109"/>
        <v>84000</v>
      </c>
      <c r="M88" s="7"/>
      <c r="O88" t="str">
        <f t="shared" si="113"/>
        <v>01</v>
      </c>
      <c r="P88" s="10" t="s">
        <v>361</v>
      </c>
      <c r="Q88">
        <v>1</v>
      </c>
      <c r="R88">
        <f t="shared" si="114"/>
        <v>0</v>
      </c>
      <c r="S88">
        <f t="shared" si="115"/>
        <v>0</v>
      </c>
      <c r="T88">
        <f t="shared" si="116"/>
        <v>0</v>
      </c>
      <c r="U88">
        <f t="shared" si="117"/>
        <v>0</v>
      </c>
      <c r="V88">
        <f t="shared" si="118"/>
        <v>0</v>
      </c>
      <c r="W88">
        <f t="shared" si="119"/>
        <v>0</v>
      </c>
      <c r="X88">
        <f t="shared" si="120"/>
        <v>0</v>
      </c>
      <c r="Y88">
        <f t="shared" si="121"/>
        <v>0</v>
      </c>
      <c r="Z88">
        <f t="shared" si="122"/>
        <v>0</v>
      </c>
      <c r="AA88">
        <f t="shared" si="123"/>
        <v>0</v>
      </c>
      <c r="AB88">
        <f t="shared" si="124"/>
        <v>0</v>
      </c>
      <c r="AC88">
        <f t="shared" si="125"/>
        <v>0</v>
      </c>
      <c r="AD88">
        <f t="shared" si="126"/>
        <v>0</v>
      </c>
      <c r="AE88">
        <f t="shared" si="127"/>
        <v>0</v>
      </c>
      <c r="AF88">
        <f t="shared" si="128"/>
        <v>0</v>
      </c>
      <c r="AG88">
        <f t="shared" si="129"/>
        <v>0</v>
      </c>
      <c r="AH88">
        <f t="shared" si="130"/>
        <v>0</v>
      </c>
      <c r="AI88">
        <f t="shared" si="131"/>
        <v>0</v>
      </c>
      <c r="AJ88">
        <f t="shared" si="132"/>
        <v>0</v>
      </c>
      <c r="AK88">
        <f t="shared" si="133"/>
        <v>0</v>
      </c>
      <c r="AL88">
        <f t="shared" si="134"/>
        <v>0</v>
      </c>
      <c r="AM88">
        <f t="shared" si="135"/>
        <v>0</v>
      </c>
      <c r="AN88">
        <f t="shared" si="136"/>
        <v>0</v>
      </c>
      <c r="AO88">
        <f t="shared" si="137"/>
        <v>0</v>
      </c>
      <c r="AP88">
        <f t="shared" si="138"/>
        <v>0</v>
      </c>
      <c r="AQ88">
        <f t="shared" si="139"/>
        <v>0</v>
      </c>
      <c r="AR88">
        <f t="shared" si="140"/>
        <v>0</v>
      </c>
      <c r="AS88">
        <f t="shared" si="141"/>
        <v>0</v>
      </c>
      <c r="AT88">
        <f t="shared" si="142"/>
        <v>0</v>
      </c>
      <c r="AU88">
        <f t="shared" si="143"/>
        <v>0</v>
      </c>
    </row>
    <row r="89" spans="1:47" ht="21" customHeight="1" x14ac:dyDescent="0.4">
      <c r="A89" s="5" t="s">
        <v>686</v>
      </c>
      <c r="B89" s="5" t="s">
        <v>150</v>
      </c>
      <c r="C89" s="6" t="s">
        <v>18</v>
      </c>
      <c r="D89" s="8">
        <v>1500</v>
      </c>
      <c r="E89" s="8">
        <f>ROUNDDOWN(단가대비표!N66, 0)</f>
        <v>160</v>
      </c>
      <c r="F89" s="8">
        <f t="shared" si="110"/>
        <v>240000</v>
      </c>
      <c r="G89" s="8"/>
      <c r="H89" s="8">
        <f t="shared" si="111"/>
        <v>0</v>
      </c>
      <c r="I89" s="8"/>
      <c r="J89" s="8">
        <f t="shared" si="112"/>
        <v>0</v>
      </c>
      <c r="K89" s="8">
        <f t="shared" si="108"/>
        <v>160</v>
      </c>
      <c r="L89" s="8">
        <f t="shared" si="109"/>
        <v>240000</v>
      </c>
      <c r="M89" s="7"/>
      <c r="O89" t="str">
        <f t="shared" si="113"/>
        <v>01</v>
      </c>
      <c r="P89" s="10" t="s">
        <v>361</v>
      </c>
      <c r="Q89">
        <v>1</v>
      </c>
      <c r="R89">
        <f t="shared" si="114"/>
        <v>0</v>
      </c>
      <c r="S89">
        <f t="shared" si="115"/>
        <v>0</v>
      </c>
      <c r="T89">
        <f t="shared" si="116"/>
        <v>0</v>
      </c>
      <c r="U89">
        <f t="shared" si="117"/>
        <v>0</v>
      </c>
      <c r="V89">
        <f t="shared" si="118"/>
        <v>0</v>
      </c>
      <c r="W89">
        <f t="shared" si="119"/>
        <v>0</v>
      </c>
      <c r="X89">
        <f t="shared" si="120"/>
        <v>0</v>
      </c>
      <c r="Y89">
        <f t="shared" si="121"/>
        <v>0</v>
      </c>
      <c r="Z89">
        <f t="shared" si="122"/>
        <v>0</v>
      </c>
      <c r="AA89">
        <f t="shared" si="123"/>
        <v>0</v>
      </c>
      <c r="AB89">
        <f t="shared" si="124"/>
        <v>0</v>
      </c>
      <c r="AC89">
        <f t="shared" si="125"/>
        <v>0</v>
      </c>
      <c r="AD89">
        <f t="shared" si="126"/>
        <v>0</v>
      </c>
      <c r="AE89">
        <f t="shared" si="127"/>
        <v>0</v>
      </c>
      <c r="AF89">
        <f t="shared" si="128"/>
        <v>0</v>
      </c>
      <c r="AG89">
        <f t="shared" si="129"/>
        <v>0</v>
      </c>
      <c r="AH89">
        <f t="shared" si="130"/>
        <v>0</v>
      </c>
      <c r="AI89">
        <f t="shared" si="131"/>
        <v>0</v>
      </c>
      <c r="AJ89">
        <f t="shared" si="132"/>
        <v>0</v>
      </c>
      <c r="AK89">
        <f t="shared" si="133"/>
        <v>0</v>
      </c>
      <c r="AL89">
        <f t="shared" si="134"/>
        <v>0</v>
      </c>
      <c r="AM89">
        <f t="shared" si="135"/>
        <v>0</v>
      </c>
      <c r="AN89">
        <f t="shared" si="136"/>
        <v>0</v>
      </c>
      <c r="AO89">
        <f t="shared" si="137"/>
        <v>0</v>
      </c>
      <c r="AP89">
        <f t="shared" si="138"/>
        <v>0</v>
      </c>
      <c r="AQ89">
        <f t="shared" si="139"/>
        <v>0</v>
      </c>
      <c r="AR89">
        <f t="shared" si="140"/>
        <v>0</v>
      </c>
      <c r="AS89">
        <f t="shared" si="141"/>
        <v>0</v>
      </c>
      <c r="AT89">
        <f t="shared" si="142"/>
        <v>0</v>
      </c>
      <c r="AU89">
        <f t="shared" si="143"/>
        <v>0</v>
      </c>
    </row>
    <row r="90" spans="1:47" ht="21" customHeight="1" x14ac:dyDescent="0.4">
      <c r="A90" s="5" t="s">
        <v>655</v>
      </c>
      <c r="B90" s="5" t="s">
        <v>113</v>
      </c>
      <c r="C90" s="6" t="s">
        <v>18</v>
      </c>
      <c r="D90" s="8">
        <v>400</v>
      </c>
      <c r="E90" s="8">
        <f>ROUNDDOWN(단가대비표!N65, 0)</f>
        <v>210</v>
      </c>
      <c r="F90" s="8">
        <f t="shared" si="110"/>
        <v>84000</v>
      </c>
      <c r="G90" s="8"/>
      <c r="H90" s="8">
        <f t="shared" si="111"/>
        <v>0</v>
      </c>
      <c r="I90" s="8"/>
      <c r="J90" s="8">
        <f t="shared" si="112"/>
        <v>0</v>
      </c>
      <c r="K90" s="8">
        <f t="shared" si="108"/>
        <v>210</v>
      </c>
      <c r="L90" s="8">
        <f t="shared" si="109"/>
        <v>84000</v>
      </c>
      <c r="M90" s="7"/>
      <c r="O90" t="str">
        <f t="shared" si="113"/>
        <v>01</v>
      </c>
      <c r="P90" s="10" t="s">
        <v>361</v>
      </c>
      <c r="Q90">
        <v>1</v>
      </c>
      <c r="R90">
        <f t="shared" si="114"/>
        <v>0</v>
      </c>
      <c r="S90">
        <f t="shared" si="115"/>
        <v>0</v>
      </c>
      <c r="T90">
        <f t="shared" si="116"/>
        <v>0</v>
      </c>
      <c r="U90">
        <f t="shared" si="117"/>
        <v>0</v>
      </c>
      <c r="V90">
        <f t="shared" si="118"/>
        <v>0</v>
      </c>
      <c r="W90">
        <f t="shared" si="119"/>
        <v>0</v>
      </c>
      <c r="X90">
        <f t="shared" si="120"/>
        <v>0</v>
      </c>
      <c r="Y90">
        <f t="shared" si="121"/>
        <v>0</v>
      </c>
      <c r="Z90">
        <f t="shared" si="122"/>
        <v>0</v>
      </c>
      <c r="AA90">
        <f t="shared" si="123"/>
        <v>0</v>
      </c>
      <c r="AB90">
        <f t="shared" si="124"/>
        <v>0</v>
      </c>
      <c r="AC90">
        <f t="shared" si="125"/>
        <v>0</v>
      </c>
      <c r="AD90">
        <f t="shared" si="126"/>
        <v>0</v>
      </c>
      <c r="AE90">
        <f t="shared" si="127"/>
        <v>0</v>
      </c>
      <c r="AF90">
        <f t="shared" si="128"/>
        <v>0</v>
      </c>
      <c r="AG90">
        <f t="shared" si="129"/>
        <v>0</v>
      </c>
      <c r="AH90">
        <f t="shared" si="130"/>
        <v>0</v>
      </c>
      <c r="AI90">
        <f t="shared" si="131"/>
        <v>0</v>
      </c>
      <c r="AJ90">
        <f t="shared" si="132"/>
        <v>0</v>
      </c>
      <c r="AK90">
        <f t="shared" si="133"/>
        <v>0</v>
      </c>
      <c r="AL90">
        <f t="shared" si="134"/>
        <v>0</v>
      </c>
      <c r="AM90">
        <f t="shared" si="135"/>
        <v>0</v>
      </c>
      <c r="AN90">
        <f t="shared" si="136"/>
        <v>0</v>
      </c>
      <c r="AO90">
        <f t="shared" si="137"/>
        <v>0</v>
      </c>
      <c r="AP90">
        <f t="shared" si="138"/>
        <v>0</v>
      </c>
      <c r="AQ90">
        <f t="shared" si="139"/>
        <v>0</v>
      </c>
      <c r="AR90">
        <f t="shared" si="140"/>
        <v>0</v>
      </c>
      <c r="AS90">
        <f t="shared" si="141"/>
        <v>0</v>
      </c>
      <c r="AT90">
        <f t="shared" si="142"/>
        <v>0</v>
      </c>
      <c r="AU90">
        <f t="shared" si="143"/>
        <v>0</v>
      </c>
    </row>
    <row r="91" spans="1:47" ht="21" customHeight="1" x14ac:dyDescent="0.4">
      <c r="A91" s="5" t="s">
        <v>687</v>
      </c>
      <c r="B91" s="5" t="s">
        <v>179</v>
      </c>
      <c r="C91" s="6" t="s">
        <v>18</v>
      </c>
      <c r="D91" s="8">
        <v>180</v>
      </c>
      <c r="E91" s="8">
        <f>ROUNDDOWN(단가대비표!N77, 0)</f>
        <v>1330</v>
      </c>
      <c r="F91" s="8">
        <f t="shared" si="110"/>
        <v>239400</v>
      </c>
      <c r="G91" s="8">
        <v>0</v>
      </c>
      <c r="H91" s="8">
        <f t="shared" si="111"/>
        <v>0</v>
      </c>
      <c r="I91" s="8">
        <v>0</v>
      </c>
      <c r="J91" s="8">
        <f t="shared" si="112"/>
        <v>0</v>
      </c>
      <c r="K91" s="8">
        <f t="shared" si="108"/>
        <v>1330</v>
      </c>
      <c r="L91" s="8">
        <f t="shared" si="109"/>
        <v>239400</v>
      </c>
      <c r="M91" s="7"/>
      <c r="O91" t="str">
        <f t="shared" si="113"/>
        <v>01</v>
      </c>
      <c r="P91" s="10" t="s">
        <v>361</v>
      </c>
      <c r="Q91">
        <v>1</v>
      </c>
      <c r="R91">
        <f t="shared" si="114"/>
        <v>0</v>
      </c>
      <c r="S91">
        <f t="shared" si="115"/>
        <v>0</v>
      </c>
      <c r="T91">
        <f t="shared" si="116"/>
        <v>0</v>
      </c>
      <c r="U91">
        <f t="shared" si="117"/>
        <v>0</v>
      </c>
      <c r="V91">
        <f t="shared" si="118"/>
        <v>0</v>
      </c>
      <c r="W91">
        <f t="shared" si="119"/>
        <v>0</v>
      </c>
      <c r="X91">
        <f t="shared" si="120"/>
        <v>0</v>
      </c>
      <c r="Y91">
        <f t="shared" si="121"/>
        <v>0</v>
      </c>
      <c r="Z91">
        <f t="shared" si="122"/>
        <v>0</v>
      </c>
      <c r="AA91">
        <f t="shared" si="123"/>
        <v>0</v>
      </c>
      <c r="AB91">
        <f t="shared" si="124"/>
        <v>0</v>
      </c>
      <c r="AC91">
        <f t="shared" si="125"/>
        <v>0</v>
      </c>
      <c r="AD91">
        <f t="shared" si="126"/>
        <v>0</v>
      </c>
      <c r="AE91">
        <f t="shared" si="127"/>
        <v>0</v>
      </c>
      <c r="AF91">
        <f t="shared" si="128"/>
        <v>0</v>
      </c>
      <c r="AG91">
        <f t="shared" si="129"/>
        <v>0</v>
      </c>
      <c r="AH91">
        <f t="shared" si="130"/>
        <v>0</v>
      </c>
      <c r="AI91">
        <f t="shared" si="131"/>
        <v>0</v>
      </c>
      <c r="AJ91">
        <f t="shared" si="132"/>
        <v>0</v>
      </c>
      <c r="AK91">
        <f t="shared" si="133"/>
        <v>0</v>
      </c>
      <c r="AL91">
        <f t="shared" si="134"/>
        <v>0</v>
      </c>
      <c r="AM91">
        <f t="shared" si="135"/>
        <v>0</v>
      </c>
      <c r="AN91">
        <f t="shared" si="136"/>
        <v>0</v>
      </c>
      <c r="AO91">
        <f t="shared" si="137"/>
        <v>0</v>
      </c>
      <c r="AP91">
        <f t="shared" si="138"/>
        <v>0</v>
      </c>
      <c r="AQ91">
        <f t="shared" si="139"/>
        <v>0</v>
      </c>
      <c r="AR91">
        <f t="shared" si="140"/>
        <v>0</v>
      </c>
      <c r="AS91">
        <f t="shared" si="141"/>
        <v>0</v>
      </c>
      <c r="AT91">
        <f t="shared" si="142"/>
        <v>0</v>
      </c>
      <c r="AU91">
        <f t="shared" si="143"/>
        <v>0</v>
      </c>
    </row>
    <row r="92" spans="1:47" ht="21" customHeight="1" x14ac:dyDescent="0.4">
      <c r="A92" s="5" t="s">
        <v>688</v>
      </c>
      <c r="B92" s="5" t="s">
        <v>266</v>
      </c>
      <c r="C92" s="6" t="s">
        <v>38</v>
      </c>
      <c r="D92" s="8">
        <v>400</v>
      </c>
      <c r="E92" s="8">
        <f>ROUNDDOWN(단가대비표!N119, 0)</f>
        <v>520</v>
      </c>
      <c r="F92" s="8">
        <f t="shared" si="110"/>
        <v>208000</v>
      </c>
      <c r="G92" s="8"/>
      <c r="H92" s="8">
        <f t="shared" si="111"/>
        <v>0</v>
      </c>
      <c r="I92" s="8"/>
      <c r="J92" s="8">
        <f t="shared" si="112"/>
        <v>0</v>
      </c>
      <c r="K92" s="8">
        <f t="shared" si="108"/>
        <v>520</v>
      </c>
      <c r="L92" s="8">
        <f t="shared" si="109"/>
        <v>208000</v>
      </c>
      <c r="M92" s="7"/>
      <c r="O92" t="str">
        <f t="shared" si="113"/>
        <v>01</v>
      </c>
      <c r="P92" s="10" t="s">
        <v>361</v>
      </c>
      <c r="Q92">
        <v>1</v>
      </c>
      <c r="R92">
        <f t="shared" si="114"/>
        <v>0</v>
      </c>
      <c r="S92">
        <f t="shared" si="115"/>
        <v>0</v>
      </c>
      <c r="T92">
        <f t="shared" si="116"/>
        <v>0</v>
      </c>
      <c r="U92">
        <f t="shared" si="117"/>
        <v>0</v>
      </c>
      <c r="V92">
        <f t="shared" si="118"/>
        <v>0</v>
      </c>
      <c r="W92">
        <f t="shared" si="119"/>
        <v>0</v>
      </c>
      <c r="X92">
        <f t="shared" si="120"/>
        <v>0</v>
      </c>
      <c r="Y92">
        <f t="shared" si="121"/>
        <v>0</v>
      </c>
      <c r="Z92">
        <f t="shared" si="122"/>
        <v>0</v>
      </c>
      <c r="AA92">
        <f t="shared" si="123"/>
        <v>0</v>
      </c>
      <c r="AB92">
        <f t="shared" si="124"/>
        <v>0</v>
      </c>
      <c r="AC92">
        <f t="shared" si="125"/>
        <v>0</v>
      </c>
      <c r="AD92">
        <f t="shared" si="126"/>
        <v>0</v>
      </c>
      <c r="AE92">
        <f t="shared" si="127"/>
        <v>0</v>
      </c>
      <c r="AF92">
        <f t="shared" si="128"/>
        <v>0</v>
      </c>
      <c r="AG92">
        <f t="shared" si="129"/>
        <v>0</v>
      </c>
      <c r="AH92">
        <f t="shared" si="130"/>
        <v>0</v>
      </c>
      <c r="AI92">
        <f t="shared" si="131"/>
        <v>0</v>
      </c>
      <c r="AJ92">
        <f t="shared" si="132"/>
        <v>0</v>
      </c>
      <c r="AK92">
        <f t="shared" si="133"/>
        <v>0</v>
      </c>
      <c r="AL92">
        <f t="shared" si="134"/>
        <v>0</v>
      </c>
      <c r="AM92">
        <f t="shared" si="135"/>
        <v>0</v>
      </c>
      <c r="AN92">
        <f t="shared" si="136"/>
        <v>0</v>
      </c>
      <c r="AO92">
        <f t="shared" si="137"/>
        <v>0</v>
      </c>
      <c r="AP92">
        <f t="shared" si="138"/>
        <v>0</v>
      </c>
      <c r="AQ92">
        <f t="shared" si="139"/>
        <v>0</v>
      </c>
      <c r="AR92">
        <f t="shared" si="140"/>
        <v>0</v>
      </c>
      <c r="AS92">
        <f t="shared" si="141"/>
        <v>0</v>
      </c>
      <c r="AT92">
        <f t="shared" si="142"/>
        <v>0</v>
      </c>
      <c r="AU92">
        <f t="shared" si="143"/>
        <v>0</v>
      </c>
    </row>
    <row r="93" spans="1:47" ht="21" customHeight="1" x14ac:dyDescent="0.4">
      <c r="A93" s="5" t="s">
        <v>689</v>
      </c>
      <c r="B93" s="5" t="s">
        <v>145</v>
      </c>
      <c r="C93" s="6" t="s">
        <v>18</v>
      </c>
      <c r="D93" s="8">
        <v>72</v>
      </c>
      <c r="E93" s="8">
        <f>ROUNDDOWN(단가대비표!N62, 0)</f>
        <v>2080</v>
      </c>
      <c r="F93" s="8">
        <f t="shared" si="110"/>
        <v>149760</v>
      </c>
      <c r="G93" s="8"/>
      <c r="H93" s="8">
        <f t="shared" si="111"/>
        <v>0</v>
      </c>
      <c r="I93" s="8"/>
      <c r="J93" s="8">
        <f t="shared" si="112"/>
        <v>0</v>
      </c>
      <c r="K93" s="8">
        <f t="shared" si="108"/>
        <v>2080</v>
      </c>
      <c r="L93" s="8">
        <f t="shared" si="109"/>
        <v>149760</v>
      </c>
      <c r="M93" s="7"/>
      <c r="O93" t="str">
        <f t="shared" si="113"/>
        <v>01</v>
      </c>
      <c r="P93" s="10" t="s">
        <v>361</v>
      </c>
      <c r="Q93">
        <v>1</v>
      </c>
      <c r="R93">
        <f t="shared" si="114"/>
        <v>0</v>
      </c>
      <c r="S93">
        <f t="shared" si="115"/>
        <v>0</v>
      </c>
      <c r="T93">
        <f t="shared" si="116"/>
        <v>0</v>
      </c>
      <c r="U93">
        <f t="shared" si="117"/>
        <v>0</v>
      </c>
      <c r="V93">
        <f t="shared" si="118"/>
        <v>0</v>
      </c>
      <c r="W93">
        <f t="shared" si="119"/>
        <v>0</v>
      </c>
      <c r="X93">
        <f t="shared" si="120"/>
        <v>0</v>
      </c>
      <c r="Y93">
        <f t="shared" si="121"/>
        <v>0</v>
      </c>
      <c r="Z93">
        <f t="shared" si="122"/>
        <v>0</v>
      </c>
      <c r="AA93">
        <f t="shared" si="123"/>
        <v>0</v>
      </c>
      <c r="AB93">
        <f t="shared" si="124"/>
        <v>0</v>
      </c>
      <c r="AC93">
        <f t="shared" si="125"/>
        <v>0</v>
      </c>
      <c r="AD93">
        <f t="shared" si="126"/>
        <v>0</v>
      </c>
      <c r="AE93">
        <f t="shared" si="127"/>
        <v>0</v>
      </c>
      <c r="AF93">
        <f t="shared" si="128"/>
        <v>0</v>
      </c>
      <c r="AG93">
        <f t="shared" si="129"/>
        <v>0</v>
      </c>
      <c r="AH93">
        <f t="shared" si="130"/>
        <v>0</v>
      </c>
      <c r="AI93">
        <f t="shared" si="131"/>
        <v>0</v>
      </c>
      <c r="AJ93">
        <f t="shared" si="132"/>
        <v>0</v>
      </c>
      <c r="AK93">
        <f t="shared" si="133"/>
        <v>0</v>
      </c>
      <c r="AL93">
        <f t="shared" si="134"/>
        <v>0</v>
      </c>
      <c r="AM93">
        <f t="shared" si="135"/>
        <v>0</v>
      </c>
      <c r="AN93">
        <f t="shared" si="136"/>
        <v>0</v>
      </c>
      <c r="AO93">
        <f t="shared" si="137"/>
        <v>0</v>
      </c>
      <c r="AP93">
        <f t="shared" si="138"/>
        <v>0</v>
      </c>
      <c r="AQ93">
        <f t="shared" si="139"/>
        <v>0</v>
      </c>
      <c r="AR93">
        <f t="shared" si="140"/>
        <v>0</v>
      </c>
      <c r="AS93">
        <f t="shared" si="141"/>
        <v>0</v>
      </c>
      <c r="AT93">
        <f t="shared" si="142"/>
        <v>0</v>
      </c>
      <c r="AU93">
        <f t="shared" si="143"/>
        <v>0</v>
      </c>
    </row>
    <row r="94" spans="1:47" ht="21" customHeight="1" x14ac:dyDescent="0.4">
      <c r="A94" s="5" t="s">
        <v>690</v>
      </c>
      <c r="B94" s="5" t="s">
        <v>249</v>
      </c>
      <c r="C94" s="6" t="s">
        <v>18</v>
      </c>
      <c r="D94" s="8">
        <v>110</v>
      </c>
      <c r="E94" s="8">
        <f>ROUNDDOWN(단가대비표!N109, 0)</f>
        <v>7280</v>
      </c>
      <c r="F94" s="8">
        <f t="shared" si="110"/>
        <v>800800</v>
      </c>
      <c r="G94" s="8"/>
      <c r="H94" s="8">
        <f t="shared" si="111"/>
        <v>0</v>
      </c>
      <c r="I94" s="8"/>
      <c r="J94" s="8">
        <f t="shared" si="112"/>
        <v>0</v>
      </c>
      <c r="K94" s="8">
        <f t="shared" si="108"/>
        <v>7280</v>
      </c>
      <c r="L94" s="8">
        <f t="shared" si="109"/>
        <v>800800</v>
      </c>
      <c r="M94" s="7"/>
      <c r="O94" t="str">
        <f t="shared" si="113"/>
        <v>01</v>
      </c>
      <c r="P94" s="10" t="s">
        <v>361</v>
      </c>
      <c r="Q94">
        <v>1</v>
      </c>
      <c r="R94">
        <f t="shared" si="114"/>
        <v>0</v>
      </c>
      <c r="S94">
        <f t="shared" si="115"/>
        <v>0</v>
      </c>
      <c r="T94">
        <f t="shared" si="116"/>
        <v>0</v>
      </c>
      <c r="U94">
        <f t="shared" si="117"/>
        <v>0</v>
      </c>
      <c r="V94">
        <f t="shared" si="118"/>
        <v>0</v>
      </c>
      <c r="W94">
        <f t="shared" si="119"/>
        <v>0</v>
      </c>
      <c r="X94">
        <f t="shared" si="120"/>
        <v>0</v>
      </c>
      <c r="Y94">
        <f t="shared" si="121"/>
        <v>0</v>
      </c>
      <c r="Z94">
        <f t="shared" si="122"/>
        <v>0</v>
      </c>
      <c r="AA94">
        <f t="shared" si="123"/>
        <v>0</v>
      </c>
      <c r="AB94">
        <f t="shared" si="124"/>
        <v>0</v>
      </c>
      <c r="AC94">
        <f t="shared" si="125"/>
        <v>0</v>
      </c>
      <c r="AD94">
        <f t="shared" si="126"/>
        <v>0</v>
      </c>
      <c r="AE94">
        <f t="shared" si="127"/>
        <v>0</v>
      </c>
      <c r="AF94">
        <f t="shared" si="128"/>
        <v>0</v>
      </c>
      <c r="AG94">
        <f t="shared" si="129"/>
        <v>0</v>
      </c>
      <c r="AH94">
        <f t="shared" si="130"/>
        <v>0</v>
      </c>
      <c r="AI94">
        <f t="shared" si="131"/>
        <v>0</v>
      </c>
      <c r="AJ94">
        <f t="shared" si="132"/>
        <v>0</v>
      </c>
      <c r="AK94">
        <f t="shared" si="133"/>
        <v>0</v>
      </c>
      <c r="AL94">
        <f t="shared" si="134"/>
        <v>0</v>
      </c>
      <c r="AM94">
        <f t="shared" si="135"/>
        <v>0</v>
      </c>
      <c r="AN94">
        <f t="shared" si="136"/>
        <v>0</v>
      </c>
      <c r="AO94">
        <f t="shared" si="137"/>
        <v>0</v>
      </c>
      <c r="AP94">
        <f t="shared" si="138"/>
        <v>0</v>
      </c>
      <c r="AQ94">
        <f t="shared" si="139"/>
        <v>0</v>
      </c>
      <c r="AR94">
        <f t="shared" si="140"/>
        <v>0</v>
      </c>
      <c r="AS94">
        <f t="shared" si="141"/>
        <v>0</v>
      </c>
      <c r="AT94">
        <f t="shared" si="142"/>
        <v>0</v>
      </c>
      <c r="AU94">
        <f t="shared" si="143"/>
        <v>0</v>
      </c>
    </row>
    <row r="95" spans="1:47" ht="21" customHeight="1" x14ac:dyDescent="0.4">
      <c r="A95" s="5" t="s">
        <v>691</v>
      </c>
      <c r="B95" s="5" t="s">
        <v>106</v>
      </c>
      <c r="C95" s="6" t="s">
        <v>18</v>
      </c>
      <c r="D95" s="8">
        <v>110</v>
      </c>
      <c r="E95" s="8">
        <f>ROUNDDOWN(단가대비표!N43, 0)</f>
        <v>4680</v>
      </c>
      <c r="F95" s="8">
        <f t="shared" si="110"/>
        <v>514800</v>
      </c>
      <c r="G95" s="8"/>
      <c r="H95" s="8">
        <f t="shared" si="111"/>
        <v>0</v>
      </c>
      <c r="I95" s="8"/>
      <c r="J95" s="8">
        <f t="shared" si="112"/>
        <v>0</v>
      </c>
      <c r="K95" s="8">
        <f t="shared" si="108"/>
        <v>4680</v>
      </c>
      <c r="L95" s="8">
        <f t="shared" si="109"/>
        <v>514800</v>
      </c>
      <c r="M95" s="7"/>
      <c r="O95" t="str">
        <f t="shared" si="113"/>
        <v>01</v>
      </c>
      <c r="P95" s="10" t="s">
        <v>361</v>
      </c>
      <c r="Q95">
        <v>1</v>
      </c>
      <c r="R95">
        <f t="shared" si="114"/>
        <v>0</v>
      </c>
      <c r="S95">
        <f t="shared" si="115"/>
        <v>0</v>
      </c>
      <c r="T95">
        <f t="shared" si="116"/>
        <v>0</v>
      </c>
      <c r="U95">
        <f t="shared" si="117"/>
        <v>0</v>
      </c>
      <c r="V95">
        <f t="shared" si="118"/>
        <v>0</v>
      </c>
      <c r="W95">
        <f t="shared" si="119"/>
        <v>0</v>
      </c>
      <c r="X95">
        <f t="shared" si="120"/>
        <v>0</v>
      </c>
      <c r="Y95">
        <f t="shared" si="121"/>
        <v>0</v>
      </c>
      <c r="Z95">
        <f t="shared" si="122"/>
        <v>0</v>
      </c>
      <c r="AA95">
        <f t="shared" si="123"/>
        <v>0</v>
      </c>
      <c r="AB95">
        <f t="shared" si="124"/>
        <v>0</v>
      </c>
      <c r="AC95">
        <f t="shared" si="125"/>
        <v>0</v>
      </c>
      <c r="AD95">
        <f t="shared" si="126"/>
        <v>0</v>
      </c>
      <c r="AE95">
        <f t="shared" si="127"/>
        <v>0</v>
      </c>
      <c r="AF95">
        <f t="shared" si="128"/>
        <v>0</v>
      </c>
      <c r="AG95">
        <f t="shared" si="129"/>
        <v>0</v>
      </c>
      <c r="AH95">
        <f t="shared" si="130"/>
        <v>0</v>
      </c>
      <c r="AI95">
        <f t="shared" si="131"/>
        <v>0</v>
      </c>
      <c r="AJ95">
        <f t="shared" si="132"/>
        <v>0</v>
      </c>
      <c r="AK95">
        <f t="shared" si="133"/>
        <v>0</v>
      </c>
      <c r="AL95">
        <f t="shared" si="134"/>
        <v>0</v>
      </c>
      <c r="AM95">
        <f t="shared" si="135"/>
        <v>0</v>
      </c>
      <c r="AN95">
        <f t="shared" si="136"/>
        <v>0</v>
      </c>
      <c r="AO95">
        <f t="shared" si="137"/>
        <v>0</v>
      </c>
      <c r="AP95">
        <f t="shared" si="138"/>
        <v>0</v>
      </c>
      <c r="AQ95">
        <f t="shared" si="139"/>
        <v>0</v>
      </c>
      <c r="AR95">
        <f t="shared" si="140"/>
        <v>0</v>
      </c>
      <c r="AS95">
        <f t="shared" si="141"/>
        <v>0</v>
      </c>
      <c r="AT95">
        <f t="shared" si="142"/>
        <v>0</v>
      </c>
      <c r="AU95">
        <f t="shared" si="143"/>
        <v>0</v>
      </c>
    </row>
    <row r="96" spans="1:47" ht="21" customHeight="1" x14ac:dyDescent="0.4">
      <c r="A96" s="5" t="s">
        <v>692</v>
      </c>
      <c r="B96" s="5" t="s">
        <v>259</v>
      </c>
      <c r="C96" s="6" t="s">
        <v>18</v>
      </c>
      <c r="D96" s="8">
        <v>220</v>
      </c>
      <c r="E96" s="8">
        <f>ROUNDDOWN(단가대비표!N115, 0)</f>
        <v>1560</v>
      </c>
      <c r="F96" s="8">
        <f t="shared" si="110"/>
        <v>343200</v>
      </c>
      <c r="G96" s="8"/>
      <c r="H96" s="8">
        <f t="shared" si="111"/>
        <v>0</v>
      </c>
      <c r="I96" s="8"/>
      <c r="J96" s="8">
        <f t="shared" si="112"/>
        <v>0</v>
      </c>
      <c r="K96" s="8">
        <f t="shared" si="108"/>
        <v>1560</v>
      </c>
      <c r="L96" s="8">
        <f t="shared" si="109"/>
        <v>343200</v>
      </c>
      <c r="M96" s="7"/>
      <c r="O96" t="str">
        <f t="shared" si="113"/>
        <v>01</v>
      </c>
      <c r="P96" s="10" t="s">
        <v>361</v>
      </c>
      <c r="Q96">
        <v>1</v>
      </c>
      <c r="R96">
        <f t="shared" si="114"/>
        <v>0</v>
      </c>
      <c r="S96">
        <f t="shared" si="115"/>
        <v>0</v>
      </c>
      <c r="T96">
        <f t="shared" si="116"/>
        <v>0</v>
      </c>
      <c r="U96">
        <f t="shared" si="117"/>
        <v>0</v>
      </c>
      <c r="V96">
        <f t="shared" si="118"/>
        <v>0</v>
      </c>
      <c r="W96">
        <f t="shared" si="119"/>
        <v>0</v>
      </c>
      <c r="X96">
        <f t="shared" si="120"/>
        <v>0</v>
      </c>
      <c r="Y96">
        <f t="shared" si="121"/>
        <v>0</v>
      </c>
      <c r="Z96">
        <f t="shared" si="122"/>
        <v>0</v>
      </c>
      <c r="AA96">
        <f t="shared" si="123"/>
        <v>0</v>
      </c>
      <c r="AB96">
        <f t="shared" si="124"/>
        <v>0</v>
      </c>
      <c r="AC96">
        <f t="shared" si="125"/>
        <v>0</v>
      </c>
      <c r="AD96">
        <f t="shared" si="126"/>
        <v>0</v>
      </c>
      <c r="AE96">
        <f t="shared" si="127"/>
        <v>0</v>
      </c>
      <c r="AF96">
        <f t="shared" si="128"/>
        <v>0</v>
      </c>
      <c r="AG96">
        <f t="shared" si="129"/>
        <v>0</v>
      </c>
      <c r="AH96">
        <f t="shared" si="130"/>
        <v>0</v>
      </c>
      <c r="AI96">
        <f t="shared" si="131"/>
        <v>0</v>
      </c>
      <c r="AJ96">
        <f t="shared" si="132"/>
        <v>0</v>
      </c>
      <c r="AK96">
        <f t="shared" si="133"/>
        <v>0</v>
      </c>
      <c r="AL96">
        <f t="shared" si="134"/>
        <v>0</v>
      </c>
      <c r="AM96">
        <f t="shared" si="135"/>
        <v>0</v>
      </c>
      <c r="AN96">
        <f t="shared" si="136"/>
        <v>0</v>
      </c>
      <c r="AO96">
        <f t="shared" si="137"/>
        <v>0</v>
      </c>
      <c r="AP96">
        <f t="shared" si="138"/>
        <v>0</v>
      </c>
      <c r="AQ96">
        <f t="shared" si="139"/>
        <v>0</v>
      </c>
      <c r="AR96">
        <f t="shared" si="140"/>
        <v>0</v>
      </c>
      <c r="AS96">
        <f t="shared" si="141"/>
        <v>0</v>
      </c>
      <c r="AT96">
        <f t="shared" si="142"/>
        <v>0</v>
      </c>
      <c r="AU96">
        <f t="shared" si="143"/>
        <v>0</v>
      </c>
    </row>
    <row r="97" spans="1:47" ht="21" customHeight="1" x14ac:dyDescent="0.4">
      <c r="A97" s="5" t="s">
        <v>693</v>
      </c>
      <c r="B97" s="5" t="s">
        <v>261</v>
      </c>
      <c r="C97" s="6" t="s">
        <v>18</v>
      </c>
      <c r="D97" s="8">
        <v>110</v>
      </c>
      <c r="E97" s="8">
        <f>ROUNDDOWN(단가대비표!N116, 0)</f>
        <v>1870</v>
      </c>
      <c r="F97" s="8">
        <f t="shared" si="110"/>
        <v>205700</v>
      </c>
      <c r="G97" s="8"/>
      <c r="H97" s="8">
        <f t="shared" si="111"/>
        <v>0</v>
      </c>
      <c r="I97" s="8"/>
      <c r="J97" s="8">
        <f t="shared" si="112"/>
        <v>0</v>
      </c>
      <c r="K97" s="8">
        <f t="shared" si="108"/>
        <v>1870</v>
      </c>
      <c r="L97" s="8">
        <f t="shared" si="109"/>
        <v>205700</v>
      </c>
      <c r="M97" s="7"/>
      <c r="O97" t="str">
        <f t="shared" si="113"/>
        <v>01</v>
      </c>
      <c r="P97" s="10" t="s">
        <v>361</v>
      </c>
      <c r="Q97">
        <v>1</v>
      </c>
      <c r="R97">
        <f t="shared" si="114"/>
        <v>0</v>
      </c>
      <c r="S97">
        <f t="shared" si="115"/>
        <v>0</v>
      </c>
      <c r="T97">
        <f t="shared" si="116"/>
        <v>0</v>
      </c>
      <c r="U97">
        <f t="shared" si="117"/>
        <v>0</v>
      </c>
      <c r="V97">
        <f t="shared" si="118"/>
        <v>0</v>
      </c>
      <c r="W97">
        <f t="shared" si="119"/>
        <v>0</v>
      </c>
      <c r="X97">
        <f t="shared" si="120"/>
        <v>0</v>
      </c>
      <c r="Y97">
        <f t="shared" si="121"/>
        <v>0</v>
      </c>
      <c r="Z97">
        <f t="shared" si="122"/>
        <v>0</v>
      </c>
      <c r="AA97">
        <f t="shared" si="123"/>
        <v>0</v>
      </c>
      <c r="AB97">
        <f t="shared" si="124"/>
        <v>0</v>
      </c>
      <c r="AC97">
        <f t="shared" si="125"/>
        <v>0</v>
      </c>
      <c r="AD97">
        <f t="shared" si="126"/>
        <v>0</v>
      </c>
      <c r="AE97">
        <f t="shared" si="127"/>
        <v>0</v>
      </c>
      <c r="AF97">
        <f t="shared" si="128"/>
        <v>0</v>
      </c>
      <c r="AG97">
        <f t="shared" si="129"/>
        <v>0</v>
      </c>
      <c r="AH97">
        <f t="shared" si="130"/>
        <v>0</v>
      </c>
      <c r="AI97">
        <f t="shared" si="131"/>
        <v>0</v>
      </c>
      <c r="AJ97">
        <f t="shared" si="132"/>
        <v>0</v>
      </c>
      <c r="AK97">
        <f t="shared" si="133"/>
        <v>0</v>
      </c>
      <c r="AL97">
        <f t="shared" si="134"/>
        <v>0</v>
      </c>
      <c r="AM97">
        <f t="shared" si="135"/>
        <v>0</v>
      </c>
      <c r="AN97">
        <f t="shared" si="136"/>
        <v>0</v>
      </c>
      <c r="AO97">
        <f t="shared" si="137"/>
        <v>0</v>
      </c>
      <c r="AP97">
        <f t="shared" si="138"/>
        <v>0</v>
      </c>
      <c r="AQ97">
        <f t="shared" si="139"/>
        <v>0</v>
      </c>
      <c r="AR97">
        <f t="shared" si="140"/>
        <v>0</v>
      </c>
      <c r="AS97">
        <f t="shared" si="141"/>
        <v>0</v>
      </c>
      <c r="AT97">
        <f t="shared" si="142"/>
        <v>0</v>
      </c>
      <c r="AU97">
        <f t="shared" si="143"/>
        <v>0</v>
      </c>
    </row>
    <row r="98" spans="1:47" ht="21" customHeight="1" x14ac:dyDescent="0.4">
      <c r="A98" s="5" t="s">
        <v>694</v>
      </c>
      <c r="B98" s="5" t="s">
        <v>113</v>
      </c>
      <c r="C98" s="6" t="s">
        <v>18</v>
      </c>
      <c r="D98" s="8">
        <v>330</v>
      </c>
      <c r="E98" s="8">
        <f>ROUNDDOWN(단가대비표!N46, 0)</f>
        <v>830</v>
      </c>
      <c r="F98" s="8">
        <f t="shared" si="110"/>
        <v>273900</v>
      </c>
      <c r="G98" s="8"/>
      <c r="H98" s="8">
        <f t="shared" si="111"/>
        <v>0</v>
      </c>
      <c r="I98" s="8"/>
      <c r="J98" s="8">
        <f t="shared" si="112"/>
        <v>0</v>
      </c>
      <c r="K98" s="8">
        <f t="shared" si="108"/>
        <v>830</v>
      </c>
      <c r="L98" s="8">
        <f t="shared" si="109"/>
        <v>273900</v>
      </c>
      <c r="M98" s="7"/>
      <c r="O98" t="str">
        <f t="shared" si="113"/>
        <v>01</v>
      </c>
      <c r="P98" s="10" t="s">
        <v>361</v>
      </c>
      <c r="Q98">
        <v>1</v>
      </c>
      <c r="R98">
        <f t="shared" si="114"/>
        <v>0</v>
      </c>
      <c r="S98">
        <f t="shared" si="115"/>
        <v>0</v>
      </c>
      <c r="T98">
        <f t="shared" si="116"/>
        <v>0</v>
      </c>
      <c r="U98">
        <f t="shared" si="117"/>
        <v>0</v>
      </c>
      <c r="V98">
        <f t="shared" si="118"/>
        <v>0</v>
      </c>
      <c r="W98">
        <f t="shared" si="119"/>
        <v>0</v>
      </c>
      <c r="X98">
        <f t="shared" si="120"/>
        <v>0</v>
      </c>
      <c r="Y98">
        <f t="shared" si="121"/>
        <v>0</v>
      </c>
      <c r="Z98">
        <f t="shared" si="122"/>
        <v>0</v>
      </c>
      <c r="AA98">
        <f t="shared" si="123"/>
        <v>0</v>
      </c>
      <c r="AB98">
        <f t="shared" si="124"/>
        <v>0</v>
      </c>
      <c r="AC98">
        <f t="shared" si="125"/>
        <v>0</v>
      </c>
      <c r="AD98">
        <f t="shared" si="126"/>
        <v>0</v>
      </c>
      <c r="AE98">
        <f t="shared" si="127"/>
        <v>0</v>
      </c>
      <c r="AF98">
        <f t="shared" si="128"/>
        <v>0</v>
      </c>
      <c r="AG98">
        <f t="shared" si="129"/>
        <v>0</v>
      </c>
      <c r="AH98">
        <f t="shared" si="130"/>
        <v>0</v>
      </c>
      <c r="AI98">
        <f t="shared" si="131"/>
        <v>0</v>
      </c>
      <c r="AJ98">
        <f t="shared" si="132"/>
        <v>0</v>
      </c>
      <c r="AK98">
        <f t="shared" si="133"/>
        <v>0</v>
      </c>
      <c r="AL98">
        <f t="shared" si="134"/>
        <v>0</v>
      </c>
      <c r="AM98">
        <f t="shared" si="135"/>
        <v>0</v>
      </c>
      <c r="AN98">
        <f t="shared" si="136"/>
        <v>0</v>
      </c>
      <c r="AO98">
        <f t="shared" si="137"/>
        <v>0</v>
      </c>
      <c r="AP98">
        <f t="shared" si="138"/>
        <v>0</v>
      </c>
      <c r="AQ98">
        <f t="shared" si="139"/>
        <v>0</v>
      </c>
      <c r="AR98">
        <f t="shared" si="140"/>
        <v>0</v>
      </c>
      <c r="AS98">
        <f t="shared" si="141"/>
        <v>0</v>
      </c>
      <c r="AT98">
        <f t="shared" si="142"/>
        <v>0</v>
      </c>
      <c r="AU98">
        <f t="shared" si="143"/>
        <v>0</v>
      </c>
    </row>
    <row r="99" spans="1:47" ht="21" customHeight="1" x14ac:dyDescent="0.4">
      <c r="A99" s="5" t="s">
        <v>695</v>
      </c>
      <c r="B99" s="5" t="s">
        <v>132</v>
      </c>
      <c r="C99" s="6" t="s">
        <v>78</v>
      </c>
      <c r="D99" s="8">
        <v>12500</v>
      </c>
      <c r="E99" s="8">
        <f>ROUNDDOWN(단가대비표!N56, 0)</f>
        <v>120</v>
      </c>
      <c r="F99" s="8">
        <f t="shared" si="110"/>
        <v>1500000</v>
      </c>
      <c r="G99" s="8"/>
      <c r="H99" s="8">
        <f t="shared" si="111"/>
        <v>0</v>
      </c>
      <c r="I99" s="8"/>
      <c r="J99" s="8">
        <f t="shared" si="112"/>
        <v>0</v>
      </c>
      <c r="K99" s="8">
        <f t="shared" si="108"/>
        <v>120</v>
      </c>
      <c r="L99" s="8">
        <f t="shared" si="109"/>
        <v>1500000</v>
      </c>
      <c r="M99" s="7"/>
      <c r="O99" t="str">
        <f t="shared" si="113"/>
        <v>01</v>
      </c>
      <c r="P99" s="10" t="s">
        <v>361</v>
      </c>
      <c r="Q99">
        <v>1</v>
      </c>
      <c r="R99">
        <f t="shared" si="114"/>
        <v>0</v>
      </c>
      <c r="S99">
        <f t="shared" si="115"/>
        <v>0</v>
      </c>
      <c r="T99">
        <f t="shared" si="116"/>
        <v>0</v>
      </c>
      <c r="U99">
        <f t="shared" si="117"/>
        <v>0</v>
      </c>
      <c r="V99">
        <f t="shared" si="118"/>
        <v>0</v>
      </c>
      <c r="W99">
        <f t="shared" si="119"/>
        <v>0</v>
      </c>
      <c r="X99">
        <f t="shared" si="120"/>
        <v>0</v>
      </c>
      <c r="Y99">
        <f t="shared" si="121"/>
        <v>0</v>
      </c>
      <c r="Z99">
        <f t="shared" si="122"/>
        <v>0</v>
      </c>
      <c r="AA99">
        <f t="shared" si="123"/>
        <v>0</v>
      </c>
      <c r="AB99">
        <f t="shared" si="124"/>
        <v>0</v>
      </c>
      <c r="AC99">
        <f t="shared" si="125"/>
        <v>0</v>
      </c>
      <c r="AD99">
        <f t="shared" si="126"/>
        <v>0</v>
      </c>
      <c r="AE99">
        <f t="shared" si="127"/>
        <v>0</v>
      </c>
      <c r="AF99">
        <f t="shared" si="128"/>
        <v>0</v>
      </c>
      <c r="AG99">
        <f t="shared" si="129"/>
        <v>0</v>
      </c>
      <c r="AH99">
        <f t="shared" si="130"/>
        <v>0</v>
      </c>
      <c r="AI99">
        <f t="shared" si="131"/>
        <v>0</v>
      </c>
      <c r="AJ99">
        <f t="shared" si="132"/>
        <v>0</v>
      </c>
      <c r="AK99">
        <f t="shared" si="133"/>
        <v>0</v>
      </c>
      <c r="AL99">
        <f t="shared" si="134"/>
        <v>0</v>
      </c>
      <c r="AM99">
        <f t="shared" si="135"/>
        <v>0</v>
      </c>
      <c r="AN99">
        <f t="shared" si="136"/>
        <v>0</v>
      </c>
      <c r="AO99">
        <f t="shared" si="137"/>
        <v>0</v>
      </c>
      <c r="AP99">
        <f t="shared" si="138"/>
        <v>0</v>
      </c>
      <c r="AQ99">
        <f t="shared" si="139"/>
        <v>0</v>
      </c>
      <c r="AR99">
        <f t="shared" si="140"/>
        <v>0</v>
      </c>
      <c r="AS99">
        <f t="shared" si="141"/>
        <v>0</v>
      </c>
      <c r="AT99">
        <f t="shared" si="142"/>
        <v>0</v>
      </c>
      <c r="AU99">
        <f t="shared" si="143"/>
        <v>0</v>
      </c>
    </row>
    <row r="100" spans="1:47" ht="21" customHeight="1" x14ac:dyDescent="0.4">
      <c r="A100" s="5" t="s">
        <v>696</v>
      </c>
      <c r="B100" s="5" t="s">
        <v>132</v>
      </c>
      <c r="C100" s="6" t="s">
        <v>78</v>
      </c>
      <c r="D100" s="8">
        <v>11500</v>
      </c>
      <c r="E100" s="8">
        <f>ROUNDDOWN(단가대비표!N79, 0)</f>
        <v>120</v>
      </c>
      <c r="F100" s="8">
        <f t="shared" si="110"/>
        <v>1380000</v>
      </c>
      <c r="G100" s="8"/>
      <c r="H100" s="8">
        <f t="shared" si="111"/>
        <v>0</v>
      </c>
      <c r="I100" s="8"/>
      <c r="J100" s="8">
        <f t="shared" si="112"/>
        <v>0</v>
      </c>
      <c r="K100" s="8">
        <f t="shared" si="108"/>
        <v>120</v>
      </c>
      <c r="L100" s="8">
        <f t="shared" si="109"/>
        <v>1380000</v>
      </c>
      <c r="M100" s="7"/>
      <c r="O100" t="str">
        <f t="shared" si="113"/>
        <v>01</v>
      </c>
      <c r="P100" s="10" t="s">
        <v>361</v>
      </c>
      <c r="Q100">
        <v>1</v>
      </c>
      <c r="R100">
        <f t="shared" si="114"/>
        <v>0</v>
      </c>
      <c r="S100">
        <f t="shared" si="115"/>
        <v>0</v>
      </c>
      <c r="T100">
        <f t="shared" si="116"/>
        <v>0</v>
      </c>
      <c r="U100">
        <f t="shared" si="117"/>
        <v>0</v>
      </c>
      <c r="V100">
        <f t="shared" si="118"/>
        <v>0</v>
      </c>
      <c r="W100">
        <f t="shared" si="119"/>
        <v>0</v>
      </c>
      <c r="X100">
        <f t="shared" si="120"/>
        <v>0</v>
      </c>
      <c r="Y100">
        <f t="shared" si="121"/>
        <v>0</v>
      </c>
      <c r="Z100">
        <f t="shared" si="122"/>
        <v>0</v>
      </c>
      <c r="AA100">
        <f t="shared" si="123"/>
        <v>0</v>
      </c>
      <c r="AB100">
        <f t="shared" si="124"/>
        <v>0</v>
      </c>
      <c r="AC100">
        <f t="shared" si="125"/>
        <v>0</v>
      </c>
      <c r="AD100">
        <f t="shared" si="126"/>
        <v>0</v>
      </c>
      <c r="AE100">
        <f t="shared" si="127"/>
        <v>0</v>
      </c>
      <c r="AF100">
        <f t="shared" si="128"/>
        <v>0</v>
      </c>
      <c r="AG100">
        <f t="shared" si="129"/>
        <v>0</v>
      </c>
      <c r="AH100">
        <f t="shared" si="130"/>
        <v>0</v>
      </c>
      <c r="AI100">
        <f t="shared" si="131"/>
        <v>0</v>
      </c>
      <c r="AJ100">
        <f t="shared" si="132"/>
        <v>0</v>
      </c>
      <c r="AK100">
        <f t="shared" si="133"/>
        <v>0</v>
      </c>
      <c r="AL100">
        <f t="shared" si="134"/>
        <v>0</v>
      </c>
      <c r="AM100">
        <f t="shared" si="135"/>
        <v>0</v>
      </c>
      <c r="AN100">
        <f t="shared" si="136"/>
        <v>0</v>
      </c>
      <c r="AO100">
        <f t="shared" si="137"/>
        <v>0</v>
      </c>
      <c r="AP100">
        <f t="shared" si="138"/>
        <v>0</v>
      </c>
      <c r="AQ100">
        <f t="shared" si="139"/>
        <v>0</v>
      </c>
      <c r="AR100">
        <f t="shared" si="140"/>
        <v>0</v>
      </c>
      <c r="AS100">
        <f t="shared" si="141"/>
        <v>0</v>
      </c>
      <c r="AT100">
        <f t="shared" si="142"/>
        <v>0</v>
      </c>
      <c r="AU100">
        <f t="shared" si="143"/>
        <v>0</v>
      </c>
    </row>
    <row r="101" spans="1:47" ht="21" customHeight="1" x14ac:dyDescent="0.4">
      <c r="A101" s="5" t="s">
        <v>697</v>
      </c>
      <c r="B101" s="5" t="s">
        <v>187</v>
      </c>
      <c r="C101" s="6" t="s">
        <v>18</v>
      </c>
      <c r="D101" s="8">
        <v>1000</v>
      </c>
      <c r="E101" s="8">
        <f>ROUNDDOWN(단가대비표!N80, 0)</f>
        <v>1560</v>
      </c>
      <c r="F101" s="8">
        <f t="shared" si="110"/>
        <v>1560000</v>
      </c>
      <c r="G101" s="8"/>
      <c r="H101" s="8">
        <f t="shared" si="111"/>
        <v>0</v>
      </c>
      <c r="I101" s="8"/>
      <c r="J101" s="8">
        <f t="shared" si="112"/>
        <v>0</v>
      </c>
      <c r="K101" s="8">
        <f t="shared" si="108"/>
        <v>1560</v>
      </c>
      <c r="L101" s="8">
        <f t="shared" si="109"/>
        <v>1560000</v>
      </c>
      <c r="M101" s="7"/>
      <c r="O101" t="str">
        <f t="shared" si="113"/>
        <v>01</v>
      </c>
      <c r="P101" s="10" t="s">
        <v>361</v>
      </c>
      <c r="Q101">
        <v>1</v>
      </c>
      <c r="R101">
        <f t="shared" si="114"/>
        <v>0</v>
      </c>
      <c r="S101">
        <f t="shared" si="115"/>
        <v>0</v>
      </c>
      <c r="T101">
        <f t="shared" si="116"/>
        <v>0</v>
      </c>
      <c r="U101">
        <f t="shared" si="117"/>
        <v>0</v>
      </c>
      <c r="V101">
        <f t="shared" si="118"/>
        <v>0</v>
      </c>
      <c r="W101">
        <f t="shared" si="119"/>
        <v>0</v>
      </c>
      <c r="X101">
        <f t="shared" si="120"/>
        <v>0</v>
      </c>
      <c r="Y101">
        <f t="shared" si="121"/>
        <v>0</v>
      </c>
      <c r="Z101">
        <f t="shared" si="122"/>
        <v>0</v>
      </c>
      <c r="AA101">
        <f t="shared" si="123"/>
        <v>0</v>
      </c>
      <c r="AB101">
        <f t="shared" si="124"/>
        <v>0</v>
      </c>
      <c r="AC101">
        <f t="shared" si="125"/>
        <v>0</v>
      </c>
      <c r="AD101">
        <f t="shared" si="126"/>
        <v>0</v>
      </c>
      <c r="AE101">
        <f t="shared" si="127"/>
        <v>0</v>
      </c>
      <c r="AF101">
        <f t="shared" si="128"/>
        <v>0</v>
      </c>
      <c r="AG101">
        <f t="shared" si="129"/>
        <v>0</v>
      </c>
      <c r="AH101">
        <f t="shared" si="130"/>
        <v>0</v>
      </c>
      <c r="AI101">
        <f t="shared" si="131"/>
        <v>0</v>
      </c>
      <c r="AJ101">
        <f t="shared" si="132"/>
        <v>0</v>
      </c>
      <c r="AK101">
        <f t="shared" si="133"/>
        <v>0</v>
      </c>
      <c r="AL101">
        <f t="shared" si="134"/>
        <v>0</v>
      </c>
      <c r="AM101">
        <f t="shared" si="135"/>
        <v>0</v>
      </c>
      <c r="AN101">
        <f t="shared" si="136"/>
        <v>0</v>
      </c>
      <c r="AO101">
        <f t="shared" si="137"/>
        <v>0</v>
      </c>
      <c r="AP101">
        <f t="shared" si="138"/>
        <v>0</v>
      </c>
      <c r="AQ101">
        <f t="shared" si="139"/>
        <v>0</v>
      </c>
      <c r="AR101">
        <f t="shared" si="140"/>
        <v>0</v>
      </c>
      <c r="AS101">
        <f t="shared" si="141"/>
        <v>0</v>
      </c>
      <c r="AT101">
        <f t="shared" si="142"/>
        <v>0</v>
      </c>
      <c r="AU101">
        <f t="shared" si="143"/>
        <v>0</v>
      </c>
    </row>
    <row r="102" spans="1:47" ht="21" customHeight="1" x14ac:dyDescent="0.4">
      <c r="A102" s="5" t="s">
        <v>698</v>
      </c>
      <c r="B102" s="7"/>
      <c r="C102" s="6" t="s">
        <v>18</v>
      </c>
      <c r="D102" s="8">
        <v>8</v>
      </c>
      <c r="E102" s="8">
        <f>ROUNDDOWN(단가대비표!N86, 0)</f>
        <v>4680</v>
      </c>
      <c r="F102" s="8">
        <f t="shared" si="110"/>
        <v>37440</v>
      </c>
      <c r="G102" s="8"/>
      <c r="H102" s="8">
        <f t="shared" si="111"/>
        <v>0</v>
      </c>
      <c r="I102" s="8"/>
      <c r="J102" s="8">
        <f t="shared" si="112"/>
        <v>0</v>
      </c>
      <c r="K102" s="8">
        <f t="shared" si="108"/>
        <v>4680</v>
      </c>
      <c r="L102" s="8">
        <f t="shared" si="109"/>
        <v>37440</v>
      </c>
      <c r="M102" s="7"/>
      <c r="O102" t="str">
        <f t="shared" si="113"/>
        <v>01</v>
      </c>
      <c r="P102" s="10" t="s">
        <v>361</v>
      </c>
      <c r="Q102">
        <v>1</v>
      </c>
      <c r="R102">
        <f t="shared" si="114"/>
        <v>0</v>
      </c>
      <c r="S102">
        <f t="shared" si="115"/>
        <v>0</v>
      </c>
      <c r="T102">
        <f t="shared" si="116"/>
        <v>0</v>
      </c>
      <c r="U102">
        <f t="shared" si="117"/>
        <v>0</v>
      </c>
      <c r="V102">
        <f t="shared" si="118"/>
        <v>0</v>
      </c>
      <c r="W102">
        <f t="shared" si="119"/>
        <v>0</v>
      </c>
      <c r="X102">
        <f t="shared" si="120"/>
        <v>0</v>
      </c>
      <c r="Y102">
        <f t="shared" si="121"/>
        <v>0</v>
      </c>
      <c r="Z102">
        <f t="shared" si="122"/>
        <v>0</v>
      </c>
      <c r="AA102">
        <f t="shared" si="123"/>
        <v>0</v>
      </c>
      <c r="AB102">
        <f t="shared" si="124"/>
        <v>0</v>
      </c>
      <c r="AC102">
        <f t="shared" si="125"/>
        <v>0</v>
      </c>
      <c r="AD102">
        <f t="shared" si="126"/>
        <v>0</v>
      </c>
      <c r="AE102">
        <f t="shared" si="127"/>
        <v>0</v>
      </c>
      <c r="AF102">
        <f t="shared" si="128"/>
        <v>0</v>
      </c>
      <c r="AG102">
        <f t="shared" si="129"/>
        <v>0</v>
      </c>
      <c r="AH102">
        <f t="shared" si="130"/>
        <v>0</v>
      </c>
      <c r="AI102">
        <f t="shared" si="131"/>
        <v>0</v>
      </c>
      <c r="AJ102">
        <f t="shared" si="132"/>
        <v>0</v>
      </c>
      <c r="AK102">
        <f t="shared" si="133"/>
        <v>0</v>
      </c>
      <c r="AL102">
        <f t="shared" si="134"/>
        <v>0</v>
      </c>
      <c r="AM102">
        <f t="shared" si="135"/>
        <v>0</v>
      </c>
      <c r="AN102">
        <f t="shared" si="136"/>
        <v>0</v>
      </c>
      <c r="AO102">
        <f t="shared" si="137"/>
        <v>0</v>
      </c>
      <c r="AP102">
        <f t="shared" si="138"/>
        <v>0</v>
      </c>
      <c r="AQ102">
        <f t="shared" si="139"/>
        <v>0</v>
      </c>
      <c r="AR102">
        <f t="shared" si="140"/>
        <v>0</v>
      </c>
      <c r="AS102">
        <f t="shared" si="141"/>
        <v>0</v>
      </c>
      <c r="AT102">
        <f t="shared" si="142"/>
        <v>0</v>
      </c>
      <c r="AU102">
        <f t="shared" si="143"/>
        <v>0</v>
      </c>
    </row>
    <row r="103" spans="1:47" ht="21" customHeight="1" x14ac:dyDescent="0.4">
      <c r="A103" s="5" t="s">
        <v>699</v>
      </c>
      <c r="B103" s="7"/>
      <c r="C103" s="6" t="s">
        <v>18</v>
      </c>
      <c r="D103" s="8">
        <v>16</v>
      </c>
      <c r="E103" s="8">
        <f>ROUNDDOWN(단가대비표!N81, 0)</f>
        <v>520</v>
      </c>
      <c r="F103" s="8">
        <f t="shared" si="110"/>
        <v>8320</v>
      </c>
      <c r="G103" s="8"/>
      <c r="H103" s="8">
        <f t="shared" si="111"/>
        <v>0</v>
      </c>
      <c r="I103" s="8"/>
      <c r="J103" s="8">
        <f t="shared" si="112"/>
        <v>0</v>
      </c>
      <c r="K103" s="8">
        <f t="shared" si="108"/>
        <v>520</v>
      </c>
      <c r="L103" s="8">
        <f t="shared" si="109"/>
        <v>8320</v>
      </c>
      <c r="M103" s="7"/>
      <c r="O103" t="str">
        <f t="shared" si="113"/>
        <v>01</v>
      </c>
      <c r="P103" s="10" t="s">
        <v>361</v>
      </c>
      <c r="Q103">
        <v>1</v>
      </c>
      <c r="R103">
        <f t="shared" si="114"/>
        <v>0</v>
      </c>
      <c r="S103">
        <f t="shared" si="115"/>
        <v>0</v>
      </c>
      <c r="T103">
        <f t="shared" si="116"/>
        <v>0</v>
      </c>
      <c r="U103">
        <f t="shared" si="117"/>
        <v>0</v>
      </c>
      <c r="V103">
        <f t="shared" si="118"/>
        <v>0</v>
      </c>
      <c r="W103">
        <f t="shared" si="119"/>
        <v>0</v>
      </c>
      <c r="X103">
        <f t="shared" si="120"/>
        <v>0</v>
      </c>
      <c r="Y103">
        <f t="shared" si="121"/>
        <v>0</v>
      </c>
      <c r="Z103">
        <f t="shared" si="122"/>
        <v>0</v>
      </c>
      <c r="AA103">
        <f t="shared" si="123"/>
        <v>0</v>
      </c>
      <c r="AB103">
        <f t="shared" si="124"/>
        <v>0</v>
      </c>
      <c r="AC103">
        <f t="shared" si="125"/>
        <v>0</v>
      </c>
      <c r="AD103">
        <f t="shared" si="126"/>
        <v>0</v>
      </c>
      <c r="AE103">
        <f t="shared" si="127"/>
        <v>0</v>
      </c>
      <c r="AF103">
        <f t="shared" si="128"/>
        <v>0</v>
      </c>
      <c r="AG103">
        <f t="shared" si="129"/>
        <v>0</v>
      </c>
      <c r="AH103">
        <f t="shared" si="130"/>
        <v>0</v>
      </c>
      <c r="AI103">
        <f t="shared" si="131"/>
        <v>0</v>
      </c>
      <c r="AJ103">
        <f t="shared" si="132"/>
        <v>0</v>
      </c>
      <c r="AK103">
        <f t="shared" si="133"/>
        <v>0</v>
      </c>
      <c r="AL103">
        <f t="shared" si="134"/>
        <v>0</v>
      </c>
      <c r="AM103">
        <f t="shared" si="135"/>
        <v>0</v>
      </c>
      <c r="AN103">
        <f t="shared" si="136"/>
        <v>0</v>
      </c>
      <c r="AO103">
        <f t="shared" si="137"/>
        <v>0</v>
      </c>
      <c r="AP103">
        <f t="shared" si="138"/>
        <v>0</v>
      </c>
      <c r="AQ103">
        <f t="shared" si="139"/>
        <v>0</v>
      </c>
      <c r="AR103">
        <f t="shared" si="140"/>
        <v>0</v>
      </c>
      <c r="AS103">
        <f t="shared" si="141"/>
        <v>0</v>
      </c>
      <c r="AT103">
        <f t="shared" si="142"/>
        <v>0</v>
      </c>
      <c r="AU103">
        <f t="shared" si="143"/>
        <v>0</v>
      </c>
    </row>
    <row r="104" spans="1:47" ht="21" customHeight="1" x14ac:dyDescent="0.4">
      <c r="A104" s="5" t="s">
        <v>666</v>
      </c>
      <c r="B104" s="5" t="s">
        <v>113</v>
      </c>
      <c r="C104" s="6" t="s">
        <v>18</v>
      </c>
      <c r="D104" s="8">
        <v>4000</v>
      </c>
      <c r="E104" s="8">
        <f>ROUNDDOWN(단가대비표!N129, 0)</f>
        <v>160</v>
      </c>
      <c r="F104" s="8">
        <f t="shared" si="110"/>
        <v>640000</v>
      </c>
      <c r="G104" s="8"/>
      <c r="H104" s="8">
        <f t="shared" si="111"/>
        <v>0</v>
      </c>
      <c r="I104" s="8"/>
      <c r="J104" s="8">
        <f t="shared" si="112"/>
        <v>0</v>
      </c>
      <c r="K104" s="8">
        <f t="shared" si="108"/>
        <v>160</v>
      </c>
      <c r="L104" s="8">
        <f t="shared" si="109"/>
        <v>640000</v>
      </c>
      <c r="M104" s="7"/>
      <c r="O104" t="str">
        <f t="shared" si="113"/>
        <v>01</v>
      </c>
      <c r="P104" s="10" t="s">
        <v>361</v>
      </c>
      <c r="Q104">
        <v>1</v>
      </c>
      <c r="R104">
        <f t="shared" si="114"/>
        <v>0</v>
      </c>
      <c r="S104">
        <f t="shared" si="115"/>
        <v>0</v>
      </c>
      <c r="T104">
        <f t="shared" si="116"/>
        <v>0</v>
      </c>
      <c r="U104">
        <f t="shared" si="117"/>
        <v>0</v>
      </c>
      <c r="V104">
        <f t="shared" si="118"/>
        <v>0</v>
      </c>
      <c r="W104">
        <f t="shared" si="119"/>
        <v>0</v>
      </c>
      <c r="X104">
        <f t="shared" si="120"/>
        <v>0</v>
      </c>
      <c r="Y104">
        <f t="shared" si="121"/>
        <v>0</v>
      </c>
      <c r="Z104">
        <f t="shared" si="122"/>
        <v>0</v>
      </c>
      <c r="AA104">
        <f t="shared" si="123"/>
        <v>0</v>
      </c>
      <c r="AB104">
        <f t="shared" si="124"/>
        <v>0</v>
      </c>
      <c r="AC104">
        <f t="shared" si="125"/>
        <v>0</v>
      </c>
      <c r="AD104">
        <f t="shared" si="126"/>
        <v>0</v>
      </c>
      <c r="AE104">
        <f t="shared" si="127"/>
        <v>0</v>
      </c>
      <c r="AF104">
        <f t="shared" si="128"/>
        <v>0</v>
      </c>
      <c r="AG104">
        <f t="shared" si="129"/>
        <v>0</v>
      </c>
      <c r="AH104">
        <f t="shared" si="130"/>
        <v>0</v>
      </c>
      <c r="AI104">
        <f t="shared" si="131"/>
        <v>0</v>
      </c>
      <c r="AJ104">
        <f t="shared" si="132"/>
        <v>0</v>
      </c>
      <c r="AK104">
        <f t="shared" si="133"/>
        <v>0</v>
      </c>
      <c r="AL104">
        <f t="shared" si="134"/>
        <v>0</v>
      </c>
      <c r="AM104">
        <f t="shared" si="135"/>
        <v>0</v>
      </c>
      <c r="AN104">
        <f t="shared" si="136"/>
        <v>0</v>
      </c>
      <c r="AO104">
        <f t="shared" si="137"/>
        <v>0</v>
      </c>
      <c r="AP104">
        <f t="shared" si="138"/>
        <v>0</v>
      </c>
      <c r="AQ104">
        <f t="shared" si="139"/>
        <v>0</v>
      </c>
      <c r="AR104">
        <f t="shared" si="140"/>
        <v>0</v>
      </c>
      <c r="AS104">
        <f t="shared" si="141"/>
        <v>0</v>
      </c>
      <c r="AT104">
        <f t="shared" si="142"/>
        <v>0</v>
      </c>
      <c r="AU104">
        <f t="shared" si="143"/>
        <v>0</v>
      </c>
    </row>
    <row r="105" spans="1:47" ht="21" customHeight="1" x14ac:dyDescent="0.4">
      <c r="A105" s="5" t="s">
        <v>666</v>
      </c>
      <c r="B105" s="5" t="s">
        <v>150</v>
      </c>
      <c r="C105" s="6" t="s">
        <v>18</v>
      </c>
      <c r="D105" s="8">
        <v>3500</v>
      </c>
      <c r="E105" s="8">
        <f>ROUNDDOWN(단가대비표!N128, 0)</f>
        <v>110</v>
      </c>
      <c r="F105" s="8">
        <f t="shared" si="110"/>
        <v>385000</v>
      </c>
      <c r="G105" s="8"/>
      <c r="H105" s="8">
        <f t="shared" si="111"/>
        <v>0</v>
      </c>
      <c r="I105" s="8"/>
      <c r="J105" s="8">
        <f t="shared" si="112"/>
        <v>0</v>
      </c>
      <c r="K105" s="8">
        <f t="shared" si="108"/>
        <v>110</v>
      </c>
      <c r="L105" s="8">
        <f t="shared" si="109"/>
        <v>385000</v>
      </c>
      <c r="M105" s="7"/>
      <c r="O105" t="str">
        <f t="shared" si="113"/>
        <v>01</v>
      </c>
      <c r="P105" s="10" t="s">
        <v>361</v>
      </c>
      <c r="Q105">
        <v>1</v>
      </c>
      <c r="R105">
        <f t="shared" si="114"/>
        <v>0</v>
      </c>
      <c r="S105">
        <f t="shared" si="115"/>
        <v>0</v>
      </c>
      <c r="T105">
        <f t="shared" si="116"/>
        <v>0</v>
      </c>
      <c r="U105">
        <f t="shared" si="117"/>
        <v>0</v>
      </c>
      <c r="V105">
        <f t="shared" si="118"/>
        <v>0</v>
      </c>
      <c r="W105">
        <f t="shared" si="119"/>
        <v>0</v>
      </c>
      <c r="X105">
        <f t="shared" si="120"/>
        <v>0</v>
      </c>
      <c r="Y105">
        <f t="shared" si="121"/>
        <v>0</v>
      </c>
      <c r="Z105">
        <f t="shared" si="122"/>
        <v>0</v>
      </c>
      <c r="AA105">
        <f t="shared" si="123"/>
        <v>0</v>
      </c>
      <c r="AB105">
        <f t="shared" si="124"/>
        <v>0</v>
      </c>
      <c r="AC105">
        <f t="shared" si="125"/>
        <v>0</v>
      </c>
      <c r="AD105">
        <f t="shared" si="126"/>
        <v>0</v>
      </c>
      <c r="AE105">
        <f t="shared" si="127"/>
        <v>0</v>
      </c>
      <c r="AF105">
        <f t="shared" si="128"/>
        <v>0</v>
      </c>
      <c r="AG105">
        <f t="shared" si="129"/>
        <v>0</v>
      </c>
      <c r="AH105">
        <f t="shared" si="130"/>
        <v>0</v>
      </c>
      <c r="AI105">
        <f t="shared" si="131"/>
        <v>0</v>
      </c>
      <c r="AJ105">
        <f t="shared" si="132"/>
        <v>0</v>
      </c>
      <c r="AK105">
        <f t="shared" si="133"/>
        <v>0</v>
      </c>
      <c r="AL105">
        <f t="shared" si="134"/>
        <v>0</v>
      </c>
      <c r="AM105">
        <f t="shared" si="135"/>
        <v>0</v>
      </c>
      <c r="AN105">
        <f t="shared" si="136"/>
        <v>0</v>
      </c>
      <c r="AO105">
        <f t="shared" si="137"/>
        <v>0</v>
      </c>
      <c r="AP105">
        <f t="shared" si="138"/>
        <v>0</v>
      </c>
      <c r="AQ105">
        <f t="shared" si="139"/>
        <v>0</v>
      </c>
      <c r="AR105">
        <f t="shared" si="140"/>
        <v>0</v>
      </c>
      <c r="AS105">
        <f t="shared" si="141"/>
        <v>0</v>
      </c>
      <c r="AT105">
        <f t="shared" si="142"/>
        <v>0</v>
      </c>
      <c r="AU105">
        <f t="shared" si="143"/>
        <v>0</v>
      </c>
    </row>
    <row r="106" spans="1:47" ht="21" customHeight="1" x14ac:dyDescent="0.4">
      <c r="A106" s="5" t="s">
        <v>700</v>
      </c>
      <c r="B106" s="5" t="s">
        <v>100</v>
      </c>
      <c r="C106" s="6" t="s">
        <v>21</v>
      </c>
      <c r="D106" s="8">
        <v>18</v>
      </c>
      <c r="E106" s="8">
        <f>ROUNDDOWN(단가대비표!N40, 0)</f>
        <v>1414400</v>
      </c>
      <c r="F106" s="8">
        <f t="shared" si="110"/>
        <v>25459200</v>
      </c>
      <c r="G106" s="8"/>
      <c r="H106" s="8">
        <f t="shared" si="111"/>
        <v>0</v>
      </c>
      <c r="I106" s="8"/>
      <c r="J106" s="8">
        <f t="shared" si="112"/>
        <v>0</v>
      </c>
      <c r="K106" s="8">
        <f t="shared" si="108"/>
        <v>1414400</v>
      </c>
      <c r="L106" s="8">
        <f t="shared" si="109"/>
        <v>25459200</v>
      </c>
      <c r="M106" s="7"/>
      <c r="O106" t="str">
        <f t="shared" si="113"/>
        <v>01</v>
      </c>
      <c r="P106" s="10" t="s">
        <v>361</v>
      </c>
      <c r="Q106">
        <v>1</v>
      </c>
      <c r="R106">
        <f t="shared" si="114"/>
        <v>0</v>
      </c>
      <c r="S106">
        <f t="shared" si="115"/>
        <v>0</v>
      </c>
      <c r="T106">
        <f t="shared" si="116"/>
        <v>0</v>
      </c>
      <c r="U106">
        <f t="shared" si="117"/>
        <v>0</v>
      </c>
      <c r="V106">
        <f t="shared" si="118"/>
        <v>0</v>
      </c>
      <c r="W106">
        <f t="shared" si="119"/>
        <v>0</v>
      </c>
      <c r="X106">
        <f t="shared" si="120"/>
        <v>0</v>
      </c>
      <c r="Y106">
        <f t="shared" si="121"/>
        <v>0</v>
      </c>
      <c r="Z106">
        <f t="shared" si="122"/>
        <v>0</v>
      </c>
      <c r="AA106">
        <f t="shared" si="123"/>
        <v>0</v>
      </c>
      <c r="AB106">
        <f t="shared" si="124"/>
        <v>0</v>
      </c>
      <c r="AC106">
        <f t="shared" si="125"/>
        <v>0</v>
      </c>
      <c r="AD106">
        <f t="shared" si="126"/>
        <v>0</v>
      </c>
      <c r="AE106">
        <f t="shared" si="127"/>
        <v>0</v>
      </c>
      <c r="AF106">
        <f t="shared" si="128"/>
        <v>0</v>
      </c>
      <c r="AG106">
        <f t="shared" si="129"/>
        <v>0</v>
      </c>
      <c r="AH106">
        <f t="shared" si="130"/>
        <v>0</v>
      </c>
      <c r="AI106">
        <f t="shared" si="131"/>
        <v>0</v>
      </c>
      <c r="AJ106">
        <f t="shared" si="132"/>
        <v>0</v>
      </c>
      <c r="AK106">
        <f t="shared" si="133"/>
        <v>0</v>
      </c>
      <c r="AL106">
        <f t="shared" si="134"/>
        <v>0</v>
      </c>
      <c r="AM106">
        <f t="shared" si="135"/>
        <v>0</v>
      </c>
      <c r="AN106">
        <f t="shared" si="136"/>
        <v>0</v>
      </c>
      <c r="AO106">
        <f t="shared" si="137"/>
        <v>0</v>
      </c>
      <c r="AP106">
        <f t="shared" si="138"/>
        <v>0</v>
      </c>
      <c r="AQ106">
        <f t="shared" si="139"/>
        <v>0</v>
      </c>
      <c r="AR106">
        <f t="shared" si="140"/>
        <v>0</v>
      </c>
      <c r="AS106">
        <f t="shared" si="141"/>
        <v>0</v>
      </c>
      <c r="AT106">
        <f t="shared" si="142"/>
        <v>0</v>
      </c>
      <c r="AU106">
        <f t="shared" si="143"/>
        <v>0</v>
      </c>
    </row>
    <row r="107" spans="1:47" ht="21" customHeight="1" x14ac:dyDescent="0.4">
      <c r="A107" s="5" t="s">
        <v>701</v>
      </c>
      <c r="B107" s="5" t="s">
        <v>102</v>
      </c>
      <c r="C107" s="6" t="s">
        <v>21</v>
      </c>
      <c r="D107" s="8">
        <v>3</v>
      </c>
      <c r="E107" s="8">
        <f>ROUNDDOWN(단가대비표!N41, 0)</f>
        <v>1679600</v>
      </c>
      <c r="F107" s="8">
        <f t="shared" si="110"/>
        <v>5038800</v>
      </c>
      <c r="G107" s="8"/>
      <c r="H107" s="8">
        <f t="shared" si="111"/>
        <v>0</v>
      </c>
      <c r="I107" s="8"/>
      <c r="J107" s="8">
        <f t="shared" si="112"/>
        <v>0</v>
      </c>
      <c r="K107" s="8">
        <f t="shared" si="108"/>
        <v>1679600</v>
      </c>
      <c r="L107" s="8">
        <f t="shared" si="109"/>
        <v>5038800</v>
      </c>
      <c r="M107" s="7"/>
      <c r="O107" t="str">
        <f t="shared" si="113"/>
        <v>01</v>
      </c>
      <c r="P107" s="10" t="s">
        <v>361</v>
      </c>
      <c r="Q107">
        <v>1</v>
      </c>
      <c r="R107">
        <f t="shared" si="114"/>
        <v>0</v>
      </c>
      <c r="S107">
        <f t="shared" si="115"/>
        <v>0</v>
      </c>
      <c r="T107">
        <f t="shared" si="116"/>
        <v>0</v>
      </c>
      <c r="U107">
        <f t="shared" si="117"/>
        <v>0</v>
      </c>
      <c r="V107">
        <f t="shared" si="118"/>
        <v>0</v>
      </c>
      <c r="W107">
        <f t="shared" si="119"/>
        <v>0</v>
      </c>
      <c r="X107">
        <f t="shared" si="120"/>
        <v>0</v>
      </c>
      <c r="Y107">
        <f t="shared" si="121"/>
        <v>0</v>
      </c>
      <c r="Z107">
        <f t="shared" si="122"/>
        <v>0</v>
      </c>
      <c r="AA107">
        <f t="shared" si="123"/>
        <v>0</v>
      </c>
      <c r="AB107">
        <f t="shared" si="124"/>
        <v>0</v>
      </c>
      <c r="AC107">
        <f t="shared" si="125"/>
        <v>0</v>
      </c>
      <c r="AD107">
        <f t="shared" si="126"/>
        <v>0</v>
      </c>
      <c r="AE107">
        <f t="shared" si="127"/>
        <v>0</v>
      </c>
      <c r="AF107">
        <f t="shared" si="128"/>
        <v>0</v>
      </c>
      <c r="AG107">
        <f t="shared" si="129"/>
        <v>0</v>
      </c>
      <c r="AH107">
        <f t="shared" si="130"/>
        <v>0</v>
      </c>
      <c r="AI107">
        <f t="shared" si="131"/>
        <v>0</v>
      </c>
      <c r="AJ107">
        <f t="shared" si="132"/>
        <v>0</v>
      </c>
      <c r="AK107">
        <f t="shared" si="133"/>
        <v>0</v>
      </c>
      <c r="AL107">
        <f t="shared" si="134"/>
        <v>0</v>
      </c>
      <c r="AM107">
        <f t="shared" si="135"/>
        <v>0</v>
      </c>
      <c r="AN107">
        <f t="shared" si="136"/>
        <v>0</v>
      </c>
      <c r="AO107">
        <f t="shared" si="137"/>
        <v>0</v>
      </c>
      <c r="AP107">
        <f t="shared" si="138"/>
        <v>0</v>
      </c>
      <c r="AQ107">
        <f t="shared" si="139"/>
        <v>0</v>
      </c>
      <c r="AR107">
        <f t="shared" si="140"/>
        <v>0</v>
      </c>
      <c r="AS107">
        <f t="shared" si="141"/>
        <v>0</v>
      </c>
      <c r="AT107">
        <f t="shared" si="142"/>
        <v>0</v>
      </c>
      <c r="AU107">
        <f t="shared" si="143"/>
        <v>0</v>
      </c>
    </row>
    <row r="108" spans="1:47" ht="21" customHeight="1" x14ac:dyDescent="0.4">
      <c r="A108" s="5" t="s">
        <v>702</v>
      </c>
      <c r="B108" s="5" t="s">
        <v>104</v>
      </c>
      <c r="C108" s="6" t="s">
        <v>21</v>
      </c>
      <c r="D108" s="8">
        <v>3</v>
      </c>
      <c r="E108" s="8">
        <f>ROUNDDOWN(단가대비표!N42, 0)</f>
        <v>353600</v>
      </c>
      <c r="F108" s="8">
        <f t="shared" si="110"/>
        <v>1060800</v>
      </c>
      <c r="G108" s="8"/>
      <c r="H108" s="8">
        <f t="shared" si="111"/>
        <v>0</v>
      </c>
      <c r="I108" s="8"/>
      <c r="J108" s="8">
        <f t="shared" si="112"/>
        <v>0</v>
      </c>
      <c r="K108" s="8">
        <f t="shared" si="108"/>
        <v>353600</v>
      </c>
      <c r="L108" s="8">
        <f t="shared" si="109"/>
        <v>1060800</v>
      </c>
      <c r="M108" s="7"/>
      <c r="O108" t="str">
        <f t="shared" si="113"/>
        <v>01</v>
      </c>
      <c r="P108" s="10" t="s">
        <v>361</v>
      </c>
      <c r="Q108">
        <v>1</v>
      </c>
      <c r="R108">
        <f t="shared" si="114"/>
        <v>0</v>
      </c>
      <c r="S108">
        <f t="shared" si="115"/>
        <v>0</v>
      </c>
      <c r="T108">
        <f t="shared" si="116"/>
        <v>0</v>
      </c>
      <c r="U108">
        <f t="shared" si="117"/>
        <v>0</v>
      </c>
      <c r="V108">
        <f t="shared" si="118"/>
        <v>0</v>
      </c>
      <c r="W108">
        <f t="shared" si="119"/>
        <v>0</v>
      </c>
      <c r="X108">
        <f t="shared" si="120"/>
        <v>0</v>
      </c>
      <c r="Y108">
        <f t="shared" si="121"/>
        <v>0</v>
      </c>
      <c r="Z108">
        <f t="shared" si="122"/>
        <v>0</v>
      </c>
      <c r="AA108">
        <f t="shared" si="123"/>
        <v>0</v>
      </c>
      <c r="AB108">
        <f t="shared" si="124"/>
        <v>0</v>
      </c>
      <c r="AC108">
        <f t="shared" si="125"/>
        <v>0</v>
      </c>
      <c r="AD108">
        <f t="shared" si="126"/>
        <v>0</v>
      </c>
      <c r="AE108">
        <f t="shared" si="127"/>
        <v>0</v>
      </c>
      <c r="AF108">
        <f t="shared" si="128"/>
        <v>0</v>
      </c>
      <c r="AG108">
        <f t="shared" si="129"/>
        <v>0</v>
      </c>
      <c r="AH108">
        <f t="shared" si="130"/>
        <v>0</v>
      </c>
      <c r="AI108">
        <f t="shared" si="131"/>
        <v>0</v>
      </c>
      <c r="AJ108">
        <f t="shared" si="132"/>
        <v>0</v>
      </c>
      <c r="AK108">
        <f t="shared" si="133"/>
        <v>0</v>
      </c>
      <c r="AL108">
        <f t="shared" si="134"/>
        <v>0</v>
      </c>
      <c r="AM108">
        <f t="shared" si="135"/>
        <v>0</v>
      </c>
      <c r="AN108">
        <f t="shared" si="136"/>
        <v>0</v>
      </c>
      <c r="AO108">
        <f t="shared" si="137"/>
        <v>0</v>
      </c>
      <c r="AP108">
        <f t="shared" si="138"/>
        <v>0</v>
      </c>
      <c r="AQ108">
        <f t="shared" si="139"/>
        <v>0</v>
      </c>
      <c r="AR108">
        <f t="shared" si="140"/>
        <v>0</v>
      </c>
      <c r="AS108">
        <f t="shared" si="141"/>
        <v>0</v>
      </c>
      <c r="AT108">
        <f t="shared" si="142"/>
        <v>0</v>
      </c>
      <c r="AU108">
        <f t="shared" si="143"/>
        <v>0</v>
      </c>
    </row>
    <row r="109" spans="1:47" ht="21" customHeight="1" x14ac:dyDescent="0.4">
      <c r="A109" s="5" t="s">
        <v>703</v>
      </c>
      <c r="B109" s="5" t="s">
        <v>96</v>
      </c>
      <c r="C109" s="6" t="s">
        <v>21</v>
      </c>
      <c r="D109" s="8">
        <v>2</v>
      </c>
      <c r="E109" s="8">
        <f>ROUNDDOWN(단가대비표!N38, 0)</f>
        <v>1352000</v>
      </c>
      <c r="F109" s="8">
        <f t="shared" si="110"/>
        <v>2704000</v>
      </c>
      <c r="G109" s="8"/>
      <c r="H109" s="8">
        <f t="shared" si="111"/>
        <v>0</v>
      </c>
      <c r="I109" s="8"/>
      <c r="J109" s="8">
        <f t="shared" si="112"/>
        <v>0</v>
      </c>
      <c r="K109" s="8">
        <f t="shared" si="108"/>
        <v>1352000</v>
      </c>
      <c r="L109" s="8">
        <f t="shared" si="109"/>
        <v>2704000</v>
      </c>
      <c r="M109" s="7"/>
      <c r="O109" t="str">
        <f t="shared" si="113"/>
        <v>01</v>
      </c>
      <c r="P109" s="10" t="s">
        <v>361</v>
      </c>
      <c r="Q109">
        <v>1</v>
      </c>
      <c r="R109">
        <f t="shared" si="114"/>
        <v>0</v>
      </c>
      <c r="S109">
        <f t="shared" si="115"/>
        <v>0</v>
      </c>
      <c r="T109">
        <f t="shared" si="116"/>
        <v>0</v>
      </c>
      <c r="U109">
        <f t="shared" si="117"/>
        <v>0</v>
      </c>
      <c r="V109">
        <f t="shared" si="118"/>
        <v>0</v>
      </c>
      <c r="W109">
        <f t="shared" si="119"/>
        <v>0</v>
      </c>
      <c r="X109">
        <f t="shared" si="120"/>
        <v>0</v>
      </c>
      <c r="Y109">
        <f t="shared" si="121"/>
        <v>0</v>
      </c>
      <c r="Z109">
        <f t="shared" si="122"/>
        <v>0</v>
      </c>
      <c r="AA109">
        <f t="shared" si="123"/>
        <v>0</v>
      </c>
      <c r="AB109">
        <f t="shared" si="124"/>
        <v>0</v>
      </c>
      <c r="AC109">
        <f t="shared" si="125"/>
        <v>0</v>
      </c>
      <c r="AD109">
        <f t="shared" si="126"/>
        <v>0</v>
      </c>
      <c r="AE109">
        <f t="shared" si="127"/>
        <v>0</v>
      </c>
      <c r="AF109">
        <f t="shared" si="128"/>
        <v>0</v>
      </c>
      <c r="AG109">
        <f t="shared" si="129"/>
        <v>0</v>
      </c>
      <c r="AH109">
        <f t="shared" si="130"/>
        <v>0</v>
      </c>
      <c r="AI109">
        <f t="shared" si="131"/>
        <v>0</v>
      </c>
      <c r="AJ109">
        <f t="shared" si="132"/>
        <v>0</v>
      </c>
      <c r="AK109">
        <f t="shared" si="133"/>
        <v>0</v>
      </c>
      <c r="AL109">
        <f t="shared" si="134"/>
        <v>0</v>
      </c>
      <c r="AM109">
        <f t="shared" si="135"/>
        <v>0</v>
      </c>
      <c r="AN109">
        <f t="shared" si="136"/>
        <v>0</v>
      </c>
      <c r="AO109">
        <f t="shared" si="137"/>
        <v>0</v>
      </c>
      <c r="AP109">
        <f t="shared" si="138"/>
        <v>0</v>
      </c>
      <c r="AQ109">
        <f t="shared" si="139"/>
        <v>0</v>
      </c>
      <c r="AR109">
        <f t="shared" si="140"/>
        <v>0</v>
      </c>
      <c r="AS109">
        <f t="shared" si="141"/>
        <v>0</v>
      </c>
      <c r="AT109">
        <f t="shared" si="142"/>
        <v>0</v>
      </c>
      <c r="AU109">
        <f t="shared" si="143"/>
        <v>0</v>
      </c>
    </row>
    <row r="110" spans="1:47" ht="21" customHeight="1" x14ac:dyDescent="0.4">
      <c r="A110" s="5" t="s">
        <v>704</v>
      </c>
      <c r="B110" s="5" t="s">
        <v>94</v>
      </c>
      <c r="C110" s="6" t="s">
        <v>21</v>
      </c>
      <c r="D110" s="8">
        <v>2</v>
      </c>
      <c r="E110" s="8">
        <f>ROUNDDOWN(단가대비표!N37, 0)</f>
        <v>582400</v>
      </c>
      <c r="F110" s="8">
        <f t="shared" si="110"/>
        <v>1164800</v>
      </c>
      <c r="G110" s="8"/>
      <c r="H110" s="8">
        <f t="shared" si="111"/>
        <v>0</v>
      </c>
      <c r="I110" s="8"/>
      <c r="J110" s="8">
        <f t="shared" si="112"/>
        <v>0</v>
      </c>
      <c r="K110" s="8">
        <f t="shared" si="108"/>
        <v>582400</v>
      </c>
      <c r="L110" s="8">
        <f t="shared" si="109"/>
        <v>1164800</v>
      </c>
      <c r="M110" s="7"/>
      <c r="O110" t="str">
        <f t="shared" si="113"/>
        <v>01</v>
      </c>
      <c r="P110" s="10" t="s">
        <v>361</v>
      </c>
      <c r="Q110">
        <v>1</v>
      </c>
      <c r="R110">
        <f t="shared" si="114"/>
        <v>0</v>
      </c>
      <c r="S110">
        <f t="shared" si="115"/>
        <v>0</v>
      </c>
      <c r="T110">
        <f t="shared" si="116"/>
        <v>0</v>
      </c>
      <c r="U110">
        <f t="shared" si="117"/>
        <v>0</v>
      </c>
      <c r="V110">
        <f t="shared" si="118"/>
        <v>0</v>
      </c>
      <c r="W110">
        <f t="shared" si="119"/>
        <v>0</v>
      </c>
      <c r="X110">
        <f t="shared" si="120"/>
        <v>0</v>
      </c>
      <c r="Y110">
        <f t="shared" si="121"/>
        <v>0</v>
      </c>
      <c r="Z110">
        <f t="shared" si="122"/>
        <v>0</v>
      </c>
      <c r="AA110">
        <f t="shared" si="123"/>
        <v>0</v>
      </c>
      <c r="AB110">
        <f t="shared" si="124"/>
        <v>0</v>
      </c>
      <c r="AC110">
        <f t="shared" si="125"/>
        <v>0</v>
      </c>
      <c r="AD110">
        <f t="shared" si="126"/>
        <v>0</v>
      </c>
      <c r="AE110">
        <f t="shared" si="127"/>
        <v>0</v>
      </c>
      <c r="AF110">
        <f t="shared" si="128"/>
        <v>0</v>
      </c>
      <c r="AG110">
        <f t="shared" si="129"/>
        <v>0</v>
      </c>
      <c r="AH110">
        <f t="shared" si="130"/>
        <v>0</v>
      </c>
      <c r="AI110">
        <f t="shared" si="131"/>
        <v>0</v>
      </c>
      <c r="AJ110">
        <f t="shared" si="132"/>
        <v>0</v>
      </c>
      <c r="AK110">
        <f t="shared" si="133"/>
        <v>0</v>
      </c>
      <c r="AL110">
        <f t="shared" si="134"/>
        <v>0</v>
      </c>
      <c r="AM110">
        <f t="shared" si="135"/>
        <v>0</v>
      </c>
      <c r="AN110">
        <f t="shared" si="136"/>
        <v>0</v>
      </c>
      <c r="AO110">
        <f t="shared" si="137"/>
        <v>0</v>
      </c>
      <c r="AP110">
        <f t="shared" si="138"/>
        <v>0</v>
      </c>
      <c r="AQ110">
        <f t="shared" si="139"/>
        <v>0</v>
      </c>
      <c r="AR110">
        <f t="shared" si="140"/>
        <v>0</v>
      </c>
      <c r="AS110">
        <f t="shared" si="141"/>
        <v>0</v>
      </c>
      <c r="AT110">
        <f t="shared" si="142"/>
        <v>0</v>
      </c>
      <c r="AU110">
        <f t="shared" si="143"/>
        <v>0</v>
      </c>
    </row>
    <row r="111" spans="1:47" ht="21" customHeight="1" x14ac:dyDescent="0.4">
      <c r="A111" s="5" t="s">
        <v>705</v>
      </c>
      <c r="B111" s="5" t="s">
        <v>98</v>
      </c>
      <c r="C111" s="6" t="s">
        <v>21</v>
      </c>
      <c r="D111" s="8">
        <v>8</v>
      </c>
      <c r="E111" s="8">
        <f>ROUNDDOWN(단가대비표!N39, 0)</f>
        <v>249600</v>
      </c>
      <c r="F111" s="8">
        <f t="shared" si="110"/>
        <v>1996800</v>
      </c>
      <c r="G111" s="8"/>
      <c r="H111" s="8">
        <f t="shared" si="111"/>
        <v>0</v>
      </c>
      <c r="I111" s="8"/>
      <c r="J111" s="8">
        <f t="shared" si="112"/>
        <v>0</v>
      </c>
      <c r="K111" s="8">
        <f t="shared" si="108"/>
        <v>249600</v>
      </c>
      <c r="L111" s="8">
        <f t="shared" si="109"/>
        <v>1996800</v>
      </c>
      <c r="M111" s="7"/>
      <c r="O111" t="str">
        <f t="shared" si="113"/>
        <v>01</v>
      </c>
      <c r="P111" s="10" t="s">
        <v>361</v>
      </c>
      <c r="Q111">
        <v>1</v>
      </c>
      <c r="R111">
        <f t="shared" si="114"/>
        <v>0</v>
      </c>
      <c r="S111">
        <f t="shared" si="115"/>
        <v>0</v>
      </c>
      <c r="T111">
        <f t="shared" si="116"/>
        <v>0</v>
      </c>
      <c r="U111">
        <f t="shared" si="117"/>
        <v>0</v>
      </c>
      <c r="V111">
        <f t="shared" si="118"/>
        <v>0</v>
      </c>
      <c r="W111">
        <f t="shared" si="119"/>
        <v>0</v>
      </c>
      <c r="X111">
        <f t="shared" si="120"/>
        <v>0</v>
      </c>
      <c r="Y111">
        <f t="shared" si="121"/>
        <v>0</v>
      </c>
      <c r="Z111">
        <f t="shared" si="122"/>
        <v>0</v>
      </c>
      <c r="AA111">
        <f t="shared" si="123"/>
        <v>0</v>
      </c>
      <c r="AB111">
        <f t="shared" si="124"/>
        <v>0</v>
      </c>
      <c r="AC111">
        <f t="shared" si="125"/>
        <v>0</v>
      </c>
      <c r="AD111">
        <f t="shared" si="126"/>
        <v>0</v>
      </c>
      <c r="AE111">
        <f t="shared" si="127"/>
        <v>0</v>
      </c>
      <c r="AF111">
        <f t="shared" si="128"/>
        <v>0</v>
      </c>
      <c r="AG111">
        <f t="shared" si="129"/>
        <v>0</v>
      </c>
      <c r="AH111">
        <f t="shared" si="130"/>
        <v>0</v>
      </c>
      <c r="AI111">
        <f t="shared" si="131"/>
        <v>0</v>
      </c>
      <c r="AJ111">
        <f t="shared" si="132"/>
        <v>0</v>
      </c>
      <c r="AK111">
        <f t="shared" si="133"/>
        <v>0</v>
      </c>
      <c r="AL111">
        <f t="shared" si="134"/>
        <v>0</v>
      </c>
      <c r="AM111">
        <f t="shared" si="135"/>
        <v>0</v>
      </c>
      <c r="AN111">
        <f t="shared" si="136"/>
        <v>0</v>
      </c>
      <c r="AO111">
        <f t="shared" si="137"/>
        <v>0</v>
      </c>
      <c r="AP111">
        <f t="shared" si="138"/>
        <v>0</v>
      </c>
      <c r="AQ111">
        <f t="shared" si="139"/>
        <v>0</v>
      </c>
      <c r="AR111">
        <f t="shared" si="140"/>
        <v>0</v>
      </c>
      <c r="AS111">
        <f t="shared" si="141"/>
        <v>0</v>
      </c>
      <c r="AT111">
        <f t="shared" si="142"/>
        <v>0</v>
      </c>
      <c r="AU111">
        <f t="shared" si="143"/>
        <v>0</v>
      </c>
    </row>
    <row r="112" spans="1:47" ht="21" customHeight="1" x14ac:dyDescent="0.4">
      <c r="A112" s="5" t="s">
        <v>706</v>
      </c>
      <c r="B112" s="5" t="s">
        <v>48</v>
      </c>
      <c r="C112" s="6" t="s">
        <v>18</v>
      </c>
      <c r="D112" s="8">
        <v>6</v>
      </c>
      <c r="E112" s="8">
        <f>ROUNDDOWN(단가대비표!N18, 0)</f>
        <v>31200</v>
      </c>
      <c r="F112" s="8">
        <f t="shared" si="110"/>
        <v>187200</v>
      </c>
      <c r="G112" s="8"/>
      <c r="H112" s="8">
        <f t="shared" si="111"/>
        <v>0</v>
      </c>
      <c r="I112" s="8"/>
      <c r="J112" s="8">
        <f t="shared" si="112"/>
        <v>0</v>
      </c>
      <c r="K112" s="8">
        <f t="shared" si="108"/>
        <v>31200</v>
      </c>
      <c r="L112" s="8">
        <f t="shared" si="109"/>
        <v>187200</v>
      </c>
      <c r="M112" s="7"/>
      <c r="O112" t="str">
        <f t="shared" si="113"/>
        <v>01</v>
      </c>
      <c r="P112" s="10" t="s">
        <v>361</v>
      </c>
      <c r="Q112">
        <v>1</v>
      </c>
      <c r="R112">
        <f t="shared" si="114"/>
        <v>0</v>
      </c>
      <c r="S112">
        <f t="shared" si="115"/>
        <v>0</v>
      </c>
      <c r="T112">
        <f t="shared" si="116"/>
        <v>0</v>
      </c>
      <c r="U112">
        <f t="shared" si="117"/>
        <v>0</v>
      </c>
      <c r="V112">
        <f t="shared" si="118"/>
        <v>0</v>
      </c>
      <c r="W112">
        <f t="shared" si="119"/>
        <v>0</v>
      </c>
      <c r="X112">
        <f t="shared" si="120"/>
        <v>0</v>
      </c>
      <c r="Y112">
        <f t="shared" si="121"/>
        <v>0</v>
      </c>
      <c r="Z112">
        <f t="shared" si="122"/>
        <v>0</v>
      </c>
      <c r="AA112">
        <f t="shared" si="123"/>
        <v>0</v>
      </c>
      <c r="AB112">
        <f t="shared" si="124"/>
        <v>0</v>
      </c>
      <c r="AC112">
        <f t="shared" si="125"/>
        <v>0</v>
      </c>
      <c r="AD112">
        <f t="shared" si="126"/>
        <v>0</v>
      </c>
      <c r="AE112">
        <f t="shared" si="127"/>
        <v>0</v>
      </c>
      <c r="AF112">
        <f t="shared" si="128"/>
        <v>0</v>
      </c>
      <c r="AG112">
        <f t="shared" si="129"/>
        <v>0</v>
      </c>
      <c r="AH112">
        <f t="shared" si="130"/>
        <v>0</v>
      </c>
      <c r="AI112">
        <f t="shared" si="131"/>
        <v>0</v>
      </c>
      <c r="AJ112">
        <f t="shared" si="132"/>
        <v>0</v>
      </c>
      <c r="AK112">
        <f t="shared" si="133"/>
        <v>0</v>
      </c>
      <c r="AL112">
        <f t="shared" si="134"/>
        <v>0</v>
      </c>
      <c r="AM112">
        <f t="shared" si="135"/>
        <v>0</v>
      </c>
      <c r="AN112">
        <f t="shared" si="136"/>
        <v>0</v>
      </c>
      <c r="AO112">
        <f t="shared" si="137"/>
        <v>0</v>
      </c>
      <c r="AP112">
        <f t="shared" si="138"/>
        <v>0</v>
      </c>
      <c r="AQ112">
        <f t="shared" si="139"/>
        <v>0</v>
      </c>
      <c r="AR112">
        <f t="shared" si="140"/>
        <v>0</v>
      </c>
      <c r="AS112">
        <f t="shared" si="141"/>
        <v>0</v>
      </c>
      <c r="AT112">
        <f t="shared" si="142"/>
        <v>0</v>
      </c>
      <c r="AU112">
        <f t="shared" si="143"/>
        <v>0</v>
      </c>
    </row>
    <row r="113" spans="1:51" ht="21" customHeight="1" x14ac:dyDescent="0.4">
      <c r="A113" s="5" t="s">
        <v>707</v>
      </c>
      <c r="B113" s="5" t="s">
        <v>213</v>
      </c>
      <c r="C113" s="6" t="s">
        <v>70</v>
      </c>
      <c r="D113" s="8">
        <v>2</v>
      </c>
      <c r="E113" s="8">
        <f>ROUNDDOWN(단가대비표!N94, 0)</f>
        <v>988000</v>
      </c>
      <c r="F113" s="8">
        <f t="shared" si="110"/>
        <v>1976000</v>
      </c>
      <c r="G113" s="8"/>
      <c r="H113" s="8">
        <f t="shared" si="111"/>
        <v>0</v>
      </c>
      <c r="I113" s="8"/>
      <c r="J113" s="8">
        <f t="shared" si="112"/>
        <v>0</v>
      </c>
      <c r="K113" s="8">
        <f t="shared" si="108"/>
        <v>988000</v>
      </c>
      <c r="L113" s="8">
        <f t="shared" si="109"/>
        <v>1976000</v>
      </c>
      <c r="M113" s="7"/>
      <c r="O113" t="str">
        <f t="shared" si="113"/>
        <v>01</v>
      </c>
      <c r="P113" s="10" t="s">
        <v>361</v>
      </c>
      <c r="Q113">
        <v>1</v>
      </c>
      <c r="R113">
        <f t="shared" si="114"/>
        <v>0</v>
      </c>
      <c r="S113">
        <f t="shared" si="115"/>
        <v>0</v>
      </c>
      <c r="T113">
        <f t="shared" si="116"/>
        <v>0</v>
      </c>
      <c r="U113">
        <f t="shared" si="117"/>
        <v>0</v>
      </c>
      <c r="V113">
        <f t="shared" si="118"/>
        <v>0</v>
      </c>
      <c r="W113">
        <f t="shared" si="119"/>
        <v>0</v>
      </c>
      <c r="X113">
        <f t="shared" si="120"/>
        <v>0</v>
      </c>
      <c r="Y113">
        <f t="shared" si="121"/>
        <v>0</v>
      </c>
      <c r="Z113">
        <f t="shared" si="122"/>
        <v>0</v>
      </c>
      <c r="AA113">
        <f t="shared" si="123"/>
        <v>0</v>
      </c>
      <c r="AB113">
        <f t="shared" si="124"/>
        <v>0</v>
      </c>
      <c r="AC113">
        <f t="shared" si="125"/>
        <v>0</v>
      </c>
      <c r="AD113">
        <f t="shared" si="126"/>
        <v>0</v>
      </c>
      <c r="AE113">
        <f t="shared" si="127"/>
        <v>0</v>
      </c>
      <c r="AF113">
        <f t="shared" si="128"/>
        <v>0</v>
      </c>
      <c r="AG113">
        <f t="shared" si="129"/>
        <v>0</v>
      </c>
      <c r="AH113">
        <f t="shared" si="130"/>
        <v>0</v>
      </c>
      <c r="AI113">
        <f t="shared" si="131"/>
        <v>0</v>
      </c>
      <c r="AJ113">
        <f t="shared" si="132"/>
        <v>0</v>
      </c>
      <c r="AK113">
        <f t="shared" si="133"/>
        <v>0</v>
      </c>
      <c r="AL113">
        <f t="shared" si="134"/>
        <v>0</v>
      </c>
      <c r="AM113">
        <f t="shared" si="135"/>
        <v>0</v>
      </c>
      <c r="AN113">
        <f t="shared" si="136"/>
        <v>0</v>
      </c>
      <c r="AO113">
        <f t="shared" si="137"/>
        <v>0</v>
      </c>
      <c r="AP113">
        <f t="shared" si="138"/>
        <v>0</v>
      </c>
      <c r="AQ113">
        <f t="shared" si="139"/>
        <v>0</v>
      </c>
      <c r="AR113">
        <f t="shared" si="140"/>
        <v>0</v>
      </c>
      <c r="AS113">
        <f t="shared" si="141"/>
        <v>0</v>
      </c>
      <c r="AT113">
        <f t="shared" si="142"/>
        <v>0</v>
      </c>
      <c r="AU113">
        <f t="shared" si="143"/>
        <v>0</v>
      </c>
    </row>
    <row r="114" spans="1:51" ht="21" customHeight="1" x14ac:dyDescent="0.4">
      <c r="A114" s="5" t="s">
        <v>708</v>
      </c>
      <c r="B114" s="5" t="s">
        <v>205</v>
      </c>
      <c r="C114" s="6" t="s">
        <v>70</v>
      </c>
      <c r="D114" s="8">
        <v>6</v>
      </c>
      <c r="E114" s="8">
        <f>ROUNDDOWN(단가대비표!N90, 0)</f>
        <v>309920</v>
      </c>
      <c r="F114" s="8">
        <f t="shared" si="110"/>
        <v>1859520</v>
      </c>
      <c r="G114" s="8"/>
      <c r="H114" s="8">
        <f t="shared" si="111"/>
        <v>0</v>
      </c>
      <c r="I114" s="8"/>
      <c r="J114" s="8">
        <f t="shared" si="112"/>
        <v>0</v>
      </c>
      <c r="K114" s="8">
        <f t="shared" si="108"/>
        <v>309920</v>
      </c>
      <c r="L114" s="8">
        <f t="shared" si="109"/>
        <v>1859520</v>
      </c>
      <c r="M114" s="7"/>
      <c r="O114" t="str">
        <f t="shared" si="113"/>
        <v>01</v>
      </c>
      <c r="P114" s="10" t="s">
        <v>361</v>
      </c>
      <c r="Q114">
        <v>1</v>
      </c>
      <c r="R114">
        <f t="shared" si="114"/>
        <v>0</v>
      </c>
      <c r="S114">
        <f t="shared" si="115"/>
        <v>0</v>
      </c>
      <c r="T114">
        <f t="shared" si="116"/>
        <v>0</v>
      </c>
      <c r="U114">
        <f t="shared" si="117"/>
        <v>0</v>
      </c>
      <c r="V114">
        <f t="shared" si="118"/>
        <v>0</v>
      </c>
      <c r="W114">
        <f t="shared" si="119"/>
        <v>0</v>
      </c>
      <c r="X114">
        <f t="shared" si="120"/>
        <v>0</v>
      </c>
      <c r="Y114">
        <f t="shared" si="121"/>
        <v>0</v>
      </c>
      <c r="Z114">
        <f t="shared" si="122"/>
        <v>0</v>
      </c>
      <c r="AA114">
        <f t="shared" si="123"/>
        <v>0</v>
      </c>
      <c r="AB114">
        <f t="shared" si="124"/>
        <v>0</v>
      </c>
      <c r="AC114">
        <f t="shared" si="125"/>
        <v>0</v>
      </c>
      <c r="AD114">
        <f t="shared" si="126"/>
        <v>0</v>
      </c>
      <c r="AE114">
        <f t="shared" si="127"/>
        <v>0</v>
      </c>
      <c r="AF114">
        <f t="shared" si="128"/>
        <v>0</v>
      </c>
      <c r="AG114">
        <f t="shared" si="129"/>
        <v>0</v>
      </c>
      <c r="AH114">
        <f t="shared" si="130"/>
        <v>0</v>
      </c>
      <c r="AI114">
        <f t="shared" si="131"/>
        <v>0</v>
      </c>
      <c r="AJ114">
        <f t="shared" si="132"/>
        <v>0</v>
      </c>
      <c r="AK114">
        <f t="shared" si="133"/>
        <v>0</v>
      </c>
      <c r="AL114">
        <f t="shared" si="134"/>
        <v>0</v>
      </c>
      <c r="AM114">
        <f t="shared" si="135"/>
        <v>0</v>
      </c>
      <c r="AN114">
        <f t="shared" si="136"/>
        <v>0</v>
      </c>
      <c r="AO114">
        <f t="shared" si="137"/>
        <v>0</v>
      </c>
      <c r="AP114">
        <f t="shared" si="138"/>
        <v>0</v>
      </c>
      <c r="AQ114">
        <f t="shared" si="139"/>
        <v>0</v>
      </c>
      <c r="AR114">
        <f t="shared" si="140"/>
        <v>0</v>
      </c>
      <c r="AS114">
        <f t="shared" si="141"/>
        <v>0</v>
      </c>
      <c r="AT114">
        <f t="shared" si="142"/>
        <v>0</v>
      </c>
      <c r="AU114">
        <f t="shared" si="143"/>
        <v>0</v>
      </c>
    </row>
    <row r="115" spans="1:51" ht="21" customHeight="1" x14ac:dyDescent="0.4">
      <c r="A115" s="5" t="s">
        <v>709</v>
      </c>
      <c r="B115" s="5" t="s">
        <v>117</v>
      </c>
      <c r="C115" s="6" t="s">
        <v>51</v>
      </c>
      <c r="D115" s="8">
        <v>8</v>
      </c>
      <c r="E115" s="8">
        <f>ROUNDDOWN(단가대비표!N50, 0)</f>
        <v>78000</v>
      </c>
      <c r="F115" s="8">
        <f t="shared" si="110"/>
        <v>624000</v>
      </c>
      <c r="G115" s="8"/>
      <c r="H115" s="8">
        <f t="shared" si="111"/>
        <v>0</v>
      </c>
      <c r="I115" s="8"/>
      <c r="J115" s="8">
        <f t="shared" si="112"/>
        <v>0</v>
      </c>
      <c r="K115" s="8">
        <f t="shared" si="108"/>
        <v>78000</v>
      </c>
      <c r="L115" s="8">
        <f t="shared" si="109"/>
        <v>624000</v>
      </c>
      <c r="M115" s="7"/>
      <c r="O115" t="str">
        <f t="shared" si="113"/>
        <v>01</v>
      </c>
      <c r="P115" s="10" t="s">
        <v>361</v>
      </c>
      <c r="Q115">
        <v>1</v>
      </c>
      <c r="R115">
        <f t="shared" si="114"/>
        <v>0</v>
      </c>
      <c r="S115">
        <f t="shared" si="115"/>
        <v>0</v>
      </c>
      <c r="T115">
        <f t="shared" si="116"/>
        <v>0</v>
      </c>
      <c r="U115">
        <f t="shared" si="117"/>
        <v>0</v>
      </c>
      <c r="V115">
        <f t="shared" si="118"/>
        <v>0</v>
      </c>
      <c r="W115">
        <f t="shared" si="119"/>
        <v>0</v>
      </c>
      <c r="X115">
        <f t="shared" si="120"/>
        <v>0</v>
      </c>
      <c r="Y115">
        <f t="shared" si="121"/>
        <v>0</v>
      </c>
      <c r="Z115">
        <f t="shared" si="122"/>
        <v>0</v>
      </c>
      <c r="AA115">
        <f t="shared" si="123"/>
        <v>0</v>
      </c>
      <c r="AB115">
        <f t="shared" si="124"/>
        <v>0</v>
      </c>
      <c r="AC115">
        <f t="shared" si="125"/>
        <v>0</v>
      </c>
      <c r="AD115">
        <f t="shared" si="126"/>
        <v>0</v>
      </c>
      <c r="AE115">
        <f t="shared" si="127"/>
        <v>0</v>
      </c>
      <c r="AF115">
        <f t="shared" si="128"/>
        <v>0</v>
      </c>
      <c r="AG115">
        <f t="shared" si="129"/>
        <v>0</v>
      </c>
      <c r="AH115">
        <f t="shared" si="130"/>
        <v>0</v>
      </c>
      <c r="AI115">
        <f t="shared" si="131"/>
        <v>0</v>
      </c>
      <c r="AJ115">
        <f t="shared" si="132"/>
        <v>0</v>
      </c>
      <c r="AK115">
        <f t="shared" si="133"/>
        <v>0</v>
      </c>
      <c r="AL115">
        <f t="shared" si="134"/>
        <v>0</v>
      </c>
      <c r="AM115">
        <f t="shared" si="135"/>
        <v>0</v>
      </c>
      <c r="AN115">
        <f t="shared" si="136"/>
        <v>0</v>
      </c>
      <c r="AO115">
        <f t="shared" si="137"/>
        <v>0</v>
      </c>
      <c r="AP115">
        <f t="shared" si="138"/>
        <v>0</v>
      </c>
      <c r="AQ115">
        <f t="shared" si="139"/>
        <v>0</v>
      </c>
      <c r="AR115">
        <f t="shared" si="140"/>
        <v>0</v>
      </c>
      <c r="AS115">
        <f t="shared" si="141"/>
        <v>0</v>
      </c>
      <c r="AT115">
        <f t="shared" si="142"/>
        <v>0</v>
      </c>
      <c r="AU115">
        <f t="shared" si="143"/>
        <v>0</v>
      </c>
    </row>
    <row r="116" spans="1:51" ht="21" customHeight="1" x14ac:dyDescent="0.4">
      <c r="A116" s="5" t="s">
        <v>710</v>
      </c>
      <c r="B116" s="5" t="s">
        <v>50</v>
      </c>
      <c r="C116" s="6" t="s">
        <v>51</v>
      </c>
      <c r="D116" s="8">
        <v>1</v>
      </c>
      <c r="E116" s="8">
        <f>ROUNDDOWN(단가대비표!N19, 0)</f>
        <v>707200</v>
      </c>
      <c r="F116" s="8">
        <f t="shared" si="110"/>
        <v>707200</v>
      </c>
      <c r="G116" s="8"/>
      <c r="H116" s="8">
        <f t="shared" si="111"/>
        <v>0</v>
      </c>
      <c r="I116" s="8"/>
      <c r="J116" s="8">
        <f t="shared" si="112"/>
        <v>0</v>
      </c>
      <c r="K116" s="8">
        <f t="shared" si="108"/>
        <v>707200</v>
      </c>
      <c r="L116" s="8">
        <f t="shared" si="109"/>
        <v>707200</v>
      </c>
      <c r="M116" s="7"/>
      <c r="O116" t="str">
        <f t="shared" si="113"/>
        <v>01</v>
      </c>
      <c r="P116" s="10" t="s">
        <v>361</v>
      </c>
      <c r="Q116">
        <v>1</v>
      </c>
      <c r="R116">
        <f t="shared" si="114"/>
        <v>0</v>
      </c>
      <c r="S116">
        <f t="shared" si="115"/>
        <v>0</v>
      </c>
      <c r="T116">
        <f t="shared" si="116"/>
        <v>0</v>
      </c>
      <c r="U116">
        <f t="shared" si="117"/>
        <v>0</v>
      </c>
      <c r="V116">
        <f t="shared" si="118"/>
        <v>0</v>
      </c>
      <c r="W116">
        <f t="shared" si="119"/>
        <v>0</v>
      </c>
      <c r="X116">
        <f t="shared" si="120"/>
        <v>0</v>
      </c>
      <c r="Y116">
        <f t="shared" si="121"/>
        <v>0</v>
      </c>
      <c r="Z116">
        <f t="shared" si="122"/>
        <v>0</v>
      </c>
      <c r="AA116">
        <f t="shared" si="123"/>
        <v>0</v>
      </c>
      <c r="AB116">
        <f t="shared" si="124"/>
        <v>0</v>
      </c>
      <c r="AC116">
        <f t="shared" si="125"/>
        <v>0</v>
      </c>
      <c r="AD116">
        <f t="shared" si="126"/>
        <v>0</v>
      </c>
      <c r="AE116">
        <f t="shared" si="127"/>
        <v>0</v>
      </c>
      <c r="AF116">
        <f t="shared" si="128"/>
        <v>0</v>
      </c>
      <c r="AG116">
        <f t="shared" si="129"/>
        <v>0</v>
      </c>
      <c r="AH116">
        <f t="shared" si="130"/>
        <v>0</v>
      </c>
      <c r="AI116">
        <f t="shared" si="131"/>
        <v>0</v>
      </c>
      <c r="AJ116">
        <f t="shared" si="132"/>
        <v>0</v>
      </c>
      <c r="AK116">
        <f t="shared" si="133"/>
        <v>0</v>
      </c>
      <c r="AL116">
        <f t="shared" si="134"/>
        <v>0</v>
      </c>
      <c r="AM116">
        <f t="shared" si="135"/>
        <v>0</v>
      </c>
      <c r="AN116">
        <f t="shared" si="136"/>
        <v>0</v>
      </c>
      <c r="AO116">
        <f t="shared" si="137"/>
        <v>0</v>
      </c>
      <c r="AP116">
        <f t="shared" si="138"/>
        <v>0</v>
      </c>
      <c r="AQ116">
        <f t="shared" si="139"/>
        <v>0</v>
      </c>
      <c r="AR116">
        <f t="shared" si="140"/>
        <v>0</v>
      </c>
      <c r="AS116">
        <f t="shared" si="141"/>
        <v>0</v>
      </c>
      <c r="AT116">
        <f t="shared" si="142"/>
        <v>0</v>
      </c>
      <c r="AU116">
        <f t="shared" si="143"/>
        <v>0</v>
      </c>
    </row>
    <row r="117" spans="1:51" ht="21" customHeight="1" x14ac:dyDescent="0.4">
      <c r="A117" s="5" t="s">
        <v>710</v>
      </c>
      <c r="B117" s="5" t="s">
        <v>52</v>
      </c>
      <c r="C117" s="6" t="s">
        <v>51</v>
      </c>
      <c r="D117" s="8">
        <v>1</v>
      </c>
      <c r="E117" s="8">
        <f>ROUNDDOWN(단가대비표!N20, 0)</f>
        <v>572000</v>
      </c>
      <c r="F117" s="8">
        <f t="shared" si="110"/>
        <v>572000</v>
      </c>
      <c r="G117" s="8"/>
      <c r="H117" s="8">
        <f t="shared" si="111"/>
        <v>0</v>
      </c>
      <c r="I117" s="8"/>
      <c r="J117" s="8">
        <f t="shared" si="112"/>
        <v>0</v>
      </c>
      <c r="K117" s="8">
        <f t="shared" si="108"/>
        <v>572000</v>
      </c>
      <c r="L117" s="8">
        <f t="shared" si="109"/>
        <v>572000</v>
      </c>
      <c r="M117" s="7"/>
      <c r="O117" t="str">
        <f t="shared" si="113"/>
        <v>01</v>
      </c>
      <c r="P117" s="10" t="s">
        <v>361</v>
      </c>
      <c r="Q117">
        <v>1</v>
      </c>
      <c r="R117">
        <f t="shared" si="114"/>
        <v>0</v>
      </c>
      <c r="S117">
        <f t="shared" si="115"/>
        <v>0</v>
      </c>
      <c r="T117">
        <f t="shared" si="116"/>
        <v>0</v>
      </c>
      <c r="U117">
        <f t="shared" si="117"/>
        <v>0</v>
      </c>
      <c r="V117">
        <f t="shared" si="118"/>
        <v>0</v>
      </c>
      <c r="W117">
        <f t="shared" si="119"/>
        <v>0</v>
      </c>
      <c r="X117">
        <f t="shared" si="120"/>
        <v>0</v>
      </c>
      <c r="Y117">
        <f t="shared" si="121"/>
        <v>0</v>
      </c>
      <c r="Z117">
        <f t="shared" si="122"/>
        <v>0</v>
      </c>
      <c r="AA117">
        <f t="shared" si="123"/>
        <v>0</v>
      </c>
      <c r="AB117">
        <f t="shared" si="124"/>
        <v>0</v>
      </c>
      <c r="AC117">
        <f t="shared" si="125"/>
        <v>0</v>
      </c>
      <c r="AD117">
        <f t="shared" si="126"/>
        <v>0</v>
      </c>
      <c r="AE117">
        <f t="shared" si="127"/>
        <v>0</v>
      </c>
      <c r="AF117">
        <f t="shared" si="128"/>
        <v>0</v>
      </c>
      <c r="AG117">
        <f t="shared" si="129"/>
        <v>0</v>
      </c>
      <c r="AH117">
        <f t="shared" si="130"/>
        <v>0</v>
      </c>
      <c r="AI117">
        <f t="shared" si="131"/>
        <v>0</v>
      </c>
      <c r="AJ117">
        <f t="shared" si="132"/>
        <v>0</v>
      </c>
      <c r="AK117">
        <f t="shared" si="133"/>
        <v>0</v>
      </c>
      <c r="AL117">
        <f t="shared" si="134"/>
        <v>0</v>
      </c>
      <c r="AM117">
        <f t="shared" si="135"/>
        <v>0</v>
      </c>
      <c r="AN117">
        <f t="shared" si="136"/>
        <v>0</v>
      </c>
      <c r="AO117">
        <f t="shared" si="137"/>
        <v>0</v>
      </c>
      <c r="AP117">
        <f t="shared" si="138"/>
        <v>0</v>
      </c>
      <c r="AQ117">
        <f t="shared" si="139"/>
        <v>0</v>
      </c>
      <c r="AR117">
        <f t="shared" si="140"/>
        <v>0</v>
      </c>
      <c r="AS117">
        <f t="shared" si="141"/>
        <v>0</v>
      </c>
      <c r="AT117">
        <f t="shared" si="142"/>
        <v>0</v>
      </c>
      <c r="AU117">
        <f t="shared" si="143"/>
        <v>0</v>
      </c>
    </row>
    <row r="118" spans="1:51" ht="21" customHeight="1" x14ac:dyDescent="0.4">
      <c r="A118" s="5" t="s">
        <v>678</v>
      </c>
      <c r="B118" s="5" t="s">
        <v>552</v>
      </c>
      <c r="C118" s="6" t="s">
        <v>553</v>
      </c>
      <c r="D118" s="8">
        <v>2.36</v>
      </c>
      <c r="E118" s="8">
        <f>ROUNDDOWN(일위대가목록!G11, 0)</f>
        <v>96990</v>
      </c>
      <c r="F118" s="8">
        <f t="shared" si="110"/>
        <v>228896</v>
      </c>
      <c r="G118" s="8">
        <f>ROUNDDOWN(일위대가목록!I11, 0)</f>
        <v>1616500</v>
      </c>
      <c r="H118" s="8">
        <f t="shared" si="111"/>
        <v>3814940</v>
      </c>
      <c r="I118" s="8">
        <f>ROUNDDOWN(일위대가목록!K11, 2)</f>
        <v>0</v>
      </c>
      <c r="J118" s="8">
        <f t="shared" si="112"/>
        <v>0</v>
      </c>
      <c r="K118" s="8">
        <f t="shared" si="108"/>
        <v>1713490</v>
      </c>
      <c r="L118" s="8">
        <f t="shared" si="109"/>
        <v>4043836</v>
      </c>
      <c r="M118" s="5" t="s">
        <v>550</v>
      </c>
      <c r="O118" t="str">
        <f>""</f>
        <v/>
      </c>
      <c r="P118" s="10" t="s">
        <v>361</v>
      </c>
      <c r="Q118">
        <v>1</v>
      </c>
      <c r="R118">
        <f t="shared" si="114"/>
        <v>0</v>
      </c>
      <c r="S118">
        <f t="shared" si="115"/>
        <v>0</v>
      </c>
      <c r="T118">
        <f t="shared" si="116"/>
        <v>0</v>
      </c>
      <c r="U118">
        <f t="shared" si="117"/>
        <v>0</v>
      </c>
      <c r="V118">
        <f t="shared" si="118"/>
        <v>0</v>
      </c>
      <c r="W118">
        <f t="shared" si="119"/>
        <v>0</v>
      </c>
      <c r="X118">
        <f t="shared" si="120"/>
        <v>0</v>
      </c>
      <c r="Y118">
        <f t="shared" si="121"/>
        <v>0</v>
      </c>
      <c r="Z118">
        <f t="shared" si="122"/>
        <v>0</v>
      </c>
      <c r="AA118">
        <f t="shared" si="123"/>
        <v>0</v>
      </c>
      <c r="AB118">
        <f t="shared" si="124"/>
        <v>0</v>
      </c>
      <c r="AC118">
        <f t="shared" si="125"/>
        <v>0</v>
      </c>
      <c r="AD118">
        <f t="shared" si="126"/>
        <v>0</v>
      </c>
      <c r="AE118">
        <f t="shared" si="127"/>
        <v>0</v>
      </c>
      <c r="AF118">
        <f t="shared" si="128"/>
        <v>0</v>
      </c>
      <c r="AG118">
        <f t="shared" si="129"/>
        <v>0</v>
      </c>
      <c r="AH118">
        <f t="shared" si="130"/>
        <v>0</v>
      </c>
      <c r="AI118">
        <f t="shared" si="131"/>
        <v>0</v>
      </c>
      <c r="AJ118">
        <f t="shared" si="132"/>
        <v>0</v>
      </c>
      <c r="AK118">
        <f t="shared" si="133"/>
        <v>0</v>
      </c>
      <c r="AL118">
        <f t="shared" si="134"/>
        <v>0</v>
      </c>
      <c r="AM118">
        <f t="shared" si="135"/>
        <v>0</v>
      </c>
      <c r="AN118">
        <f t="shared" si="136"/>
        <v>0</v>
      </c>
      <c r="AO118">
        <f t="shared" si="137"/>
        <v>0</v>
      </c>
      <c r="AP118">
        <f t="shared" si="138"/>
        <v>0</v>
      </c>
      <c r="AQ118">
        <f t="shared" si="139"/>
        <v>0</v>
      </c>
      <c r="AR118">
        <f t="shared" si="140"/>
        <v>0</v>
      </c>
      <c r="AS118">
        <f t="shared" si="141"/>
        <v>0</v>
      </c>
      <c r="AT118">
        <f t="shared" si="142"/>
        <v>0</v>
      </c>
      <c r="AU118">
        <f t="shared" si="143"/>
        <v>0</v>
      </c>
      <c r="AY118" s="10" t="s">
        <v>554</v>
      </c>
    </row>
    <row r="119" spans="1:51" ht="21" customHeight="1" x14ac:dyDescent="0.4">
      <c r="A119" s="5" t="s">
        <v>711</v>
      </c>
      <c r="B119" s="7"/>
      <c r="C119" s="6" t="s">
        <v>472</v>
      </c>
      <c r="D119" s="8">
        <v>5383.0749999999998</v>
      </c>
      <c r="E119" s="8">
        <f>ROUNDDOWN(단가산출서목록!G8, 0)</f>
        <v>53</v>
      </c>
      <c r="F119" s="8">
        <f t="shared" si="110"/>
        <v>285302</v>
      </c>
      <c r="G119" s="8">
        <f>ROUNDDOWN(단가산출서목록!I8, 0)</f>
        <v>366</v>
      </c>
      <c r="H119" s="8">
        <f t="shared" si="111"/>
        <v>1970205</v>
      </c>
      <c r="I119" s="8">
        <f>ROUNDDOWN(단가산출서목록!K8, 0)</f>
        <v>38</v>
      </c>
      <c r="J119" s="8">
        <f t="shared" si="112"/>
        <v>204556</v>
      </c>
      <c r="K119" s="8">
        <f t="shared" si="108"/>
        <v>457</v>
      </c>
      <c r="L119" s="8">
        <f t="shared" si="109"/>
        <v>2460063</v>
      </c>
      <c r="M119" s="5" t="s">
        <v>470</v>
      </c>
      <c r="O119" t="str">
        <f>""</f>
        <v/>
      </c>
      <c r="P119" s="10" t="s">
        <v>361</v>
      </c>
      <c r="Q119">
        <v>1</v>
      </c>
      <c r="R119">
        <f t="shared" si="114"/>
        <v>204556</v>
      </c>
      <c r="S119">
        <f t="shared" si="115"/>
        <v>0</v>
      </c>
      <c r="T119">
        <f t="shared" si="116"/>
        <v>0</v>
      </c>
      <c r="U119">
        <f t="shared" si="117"/>
        <v>0</v>
      </c>
      <c r="V119">
        <f t="shared" si="118"/>
        <v>0</v>
      </c>
      <c r="W119">
        <f t="shared" si="119"/>
        <v>0</v>
      </c>
      <c r="X119">
        <f t="shared" si="120"/>
        <v>0</v>
      </c>
      <c r="Y119">
        <f t="shared" si="121"/>
        <v>0</v>
      </c>
      <c r="Z119">
        <f t="shared" si="122"/>
        <v>0</v>
      </c>
      <c r="AA119">
        <f t="shared" si="123"/>
        <v>0</v>
      </c>
      <c r="AB119">
        <f t="shared" si="124"/>
        <v>0</v>
      </c>
      <c r="AC119">
        <f t="shared" si="125"/>
        <v>0</v>
      </c>
      <c r="AD119">
        <f t="shared" si="126"/>
        <v>0</v>
      </c>
      <c r="AE119">
        <f t="shared" si="127"/>
        <v>0</v>
      </c>
      <c r="AF119">
        <f t="shared" si="128"/>
        <v>0</v>
      </c>
      <c r="AG119">
        <f t="shared" si="129"/>
        <v>0</v>
      </c>
      <c r="AH119">
        <f t="shared" si="130"/>
        <v>0</v>
      </c>
      <c r="AI119">
        <f t="shared" si="131"/>
        <v>0</v>
      </c>
      <c r="AJ119">
        <f t="shared" si="132"/>
        <v>0</v>
      </c>
      <c r="AK119">
        <f t="shared" si="133"/>
        <v>0</v>
      </c>
      <c r="AL119">
        <f t="shared" si="134"/>
        <v>0</v>
      </c>
      <c r="AM119">
        <f t="shared" si="135"/>
        <v>0</v>
      </c>
      <c r="AN119">
        <f t="shared" si="136"/>
        <v>0</v>
      </c>
      <c r="AO119">
        <f t="shared" si="137"/>
        <v>0</v>
      </c>
      <c r="AP119">
        <f t="shared" si="138"/>
        <v>0</v>
      </c>
      <c r="AQ119">
        <f t="shared" si="139"/>
        <v>0</v>
      </c>
      <c r="AR119">
        <f t="shared" si="140"/>
        <v>0</v>
      </c>
      <c r="AS119">
        <f t="shared" si="141"/>
        <v>0</v>
      </c>
      <c r="AT119">
        <f t="shared" si="142"/>
        <v>0</v>
      </c>
      <c r="AU119">
        <f t="shared" si="143"/>
        <v>0</v>
      </c>
      <c r="AY119" s="10" t="s">
        <v>473</v>
      </c>
    </row>
    <row r="120" spans="1:51" ht="21" customHeight="1" x14ac:dyDescent="0.4">
      <c r="A120" s="12" t="s">
        <v>372</v>
      </c>
      <c r="B120" s="13"/>
      <c r="C120" s="14"/>
      <c r="D120" s="15"/>
      <c r="E120" s="15"/>
      <c r="F120" s="15">
        <f>ROUNDDOWN(SUMIF(Q82:Q119, "1", F82:F119), 0)</f>
        <v>56556298</v>
      </c>
      <c r="G120" s="15"/>
      <c r="H120" s="15">
        <f>ROUNDDOWN(SUMIF(Q82:Q119, "1", H82:H119), 0)</f>
        <v>5785145</v>
      </c>
      <c r="I120" s="15"/>
      <c r="J120" s="15">
        <f>ROUNDDOWN(SUMIF(Q82:Q119, "1", J82:J119), 0)</f>
        <v>204556</v>
      </c>
      <c r="K120" s="15"/>
      <c r="L120" s="15">
        <f>F120+H120+J120</f>
        <v>62545999</v>
      </c>
      <c r="M120" s="13"/>
      <c r="R120">
        <f t="shared" ref="R120:AY120" si="144">ROUNDDOWN(SUM(R82:R119), 0)</f>
        <v>204556</v>
      </c>
      <c r="S120">
        <f t="shared" si="144"/>
        <v>0</v>
      </c>
      <c r="T120">
        <f t="shared" si="144"/>
        <v>0</v>
      </c>
      <c r="U120">
        <f t="shared" si="144"/>
        <v>0</v>
      </c>
      <c r="V120">
        <f t="shared" si="144"/>
        <v>0</v>
      </c>
      <c r="W120">
        <f t="shared" si="144"/>
        <v>0</v>
      </c>
      <c r="X120">
        <f t="shared" si="144"/>
        <v>0</v>
      </c>
      <c r="Y120">
        <f t="shared" si="144"/>
        <v>0</v>
      </c>
      <c r="Z120">
        <f t="shared" si="144"/>
        <v>0</v>
      </c>
      <c r="AA120">
        <f t="shared" si="144"/>
        <v>0</v>
      </c>
      <c r="AB120">
        <f t="shared" si="144"/>
        <v>0</v>
      </c>
      <c r="AC120">
        <f t="shared" si="144"/>
        <v>0</v>
      </c>
      <c r="AD120">
        <f t="shared" si="144"/>
        <v>0</v>
      </c>
      <c r="AE120">
        <f t="shared" si="144"/>
        <v>0</v>
      </c>
      <c r="AF120">
        <f t="shared" si="144"/>
        <v>0</v>
      </c>
      <c r="AG120">
        <f t="shared" si="144"/>
        <v>0</v>
      </c>
      <c r="AH120">
        <f t="shared" si="144"/>
        <v>0</v>
      </c>
      <c r="AI120">
        <f t="shared" si="144"/>
        <v>0</v>
      </c>
      <c r="AJ120">
        <f t="shared" si="144"/>
        <v>0</v>
      </c>
      <c r="AK120">
        <f t="shared" si="144"/>
        <v>0</v>
      </c>
      <c r="AL120">
        <f t="shared" si="144"/>
        <v>0</v>
      </c>
      <c r="AM120">
        <f t="shared" si="144"/>
        <v>0</v>
      </c>
      <c r="AN120">
        <f t="shared" si="144"/>
        <v>0</v>
      </c>
      <c r="AO120">
        <f t="shared" si="144"/>
        <v>0</v>
      </c>
      <c r="AP120">
        <f t="shared" si="144"/>
        <v>0</v>
      </c>
      <c r="AQ120">
        <f t="shared" si="144"/>
        <v>0</v>
      </c>
      <c r="AR120">
        <f t="shared" si="144"/>
        <v>0</v>
      </c>
      <c r="AS120">
        <f t="shared" si="144"/>
        <v>0</v>
      </c>
      <c r="AT120">
        <f t="shared" si="144"/>
        <v>0</v>
      </c>
      <c r="AU120">
        <f t="shared" si="144"/>
        <v>0</v>
      </c>
      <c r="AV120">
        <f t="shared" si="144"/>
        <v>0</v>
      </c>
      <c r="AW120">
        <f t="shared" si="144"/>
        <v>0</v>
      </c>
      <c r="AX120">
        <f t="shared" si="144"/>
        <v>0</v>
      </c>
      <c r="AY120">
        <f t="shared" si="144"/>
        <v>0</v>
      </c>
    </row>
    <row r="121" spans="1:51" ht="21.9" customHeight="1" x14ac:dyDescent="0.4">
      <c r="A121" s="56" t="s">
        <v>712</v>
      </c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</row>
    <row r="122" spans="1:51" ht="21.9" customHeight="1" x14ac:dyDescent="0.4">
      <c r="A122" s="5" t="s">
        <v>713</v>
      </c>
      <c r="B122" s="7"/>
      <c r="C122" s="6" t="s">
        <v>359</v>
      </c>
      <c r="D122" s="8"/>
      <c r="E122" s="8"/>
      <c r="F122" s="8">
        <f>SUMIF(Q123:Q151, "1", F123:F151)</f>
        <v>40587225</v>
      </c>
      <c r="G122" s="8"/>
      <c r="H122" s="8">
        <f>SUMIF(Q123:Q151, "1", H123:H151)</f>
        <v>13005159</v>
      </c>
      <c r="I122" s="8"/>
      <c r="J122" s="8">
        <f>SUMIF(Q123:Q151, "1", J123:J151)</f>
        <v>0</v>
      </c>
      <c r="K122" s="8">
        <f t="shared" ref="K122:K151" si="145">E122+G122+I122</f>
        <v>0</v>
      </c>
      <c r="L122" s="8">
        <f t="shared" ref="L122:L151" si="146">F122+H122+J122</f>
        <v>53592384</v>
      </c>
      <c r="M122" s="7"/>
      <c r="O122" t="str">
        <f>""</f>
        <v/>
      </c>
    </row>
    <row r="123" spans="1:51" ht="21.9" customHeight="1" x14ac:dyDescent="0.4">
      <c r="A123" s="5" t="s">
        <v>681</v>
      </c>
      <c r="B123" s="5" t="s">
        <v>246</v>
      </c>
      <c r="C123" s="6" t="s">
        <v>38</v>
      </c>
      <c r="D123" s="8">
        <v>178.5</v>
      </c>
      <c r="E123" s="8">
        <f>ROUNDDOWN(단가대비표!N108, 0)</f>
        <v>4010</v>
      </c>
      <c r="F123" s="8">
        <f t="shared" ref="F123:F151" si="147">ROUNDDOWN(D123*E123, 0)</f>
        <v>715785</v>
      </c>
      <c r="G123" s="8">
        <v>0</v>
      </c>
      <c r="H123" s="8">
        <f t="shared" ref="H123:H151" si="148">ROUNDDOWN(D123*G123, 0)</f>
        <v>0</v>
      </c>
      <c r="I123" s="8">
        <v>0</v>
      </c>
      <c r="J123" s="8">
        <f t="shared" ref="J123:J151" si="149">ROUNDDOWN(D123*I123, 0)</f>
        <v>0</v>
      </c>
      <c r="K123" s="8">
        <f t="shared" si="145"/>
        <v>4010</v>
      </c>
      <c r="L123" s="8">
        <f t="shared" si="146"/>
        <v>715785</v>
      </c>
      <c r="M123" s="5" t="s">
        <v>247</v>
      </c>
      <c r="O123" t="str">
        <f t="shared" ref="O123:O149" si="150">"01"</f>
        <v>01</v>
      </c>
      <c r="P123" s="10" t="s">
        <v>361</v>
      </c>
      <c r="Q123">
        <v>1</v>
      </c>
      <c r="R123">
        <f t="shared" ref="R123:R151" si="151">IF(P123="기계경비", J123, 0)</f>
        <v>0</v>
      </c>
      <c r="S123">
        <f t="shared" ref="S123:S151" si="152">IF(P123="운반비", L123, 0)</f>
        <v>0</v>
      </c>
      <c r="T123">
        <f t="shared" ref="T123:T151" si="153">IF(P123="작업부산물", F123, 0)</f>
        <v>0</v>
      </c>
      <c r="U123">
        <f t="shared" ref="U123:U151" si="154">IF(P123="관급", F123, 0)</f>
        <v>0</v>
      </c>
      <c r="V123">
        <f t="shared" ref="V123:V151" si="155">IF(P123="외주비", J123, 0)</f>
        <v>0</v>
      </c>
      <c r="W123">
        <f t="shared" ref="W123:W151" si="156">IF(P123="장비비", J123, 0)</f>
        <v>0</v>
      </c>
      <c r="X123">
        <f t="shared" ref="X123:X151" si="157">IF(P123="폐기물처리비", L123, 0)</f>
        <v>0</v>
      </c>
      <c r="Y123">
        <f t="shared" ref="Y123:Y151" si="158">IF(P123="가설비", J123, 0)</f>
        <v>0</v>
      </c>
      <c r="Z123">
        <f t="shared" ref="Z123:Z151" si="159">IF(P123="잡비제외분", F123, 0)</f>
        <v>0</v>
      </c>
      <c r="AA123">
        <f t="shared" ref="AA123:AA151" si="160">IF(P123="사급자재대", L123, 0)</f>
        <v>0</v>
      </c>
      <c r="AB123">
        <f t="shared" ref="AB123:AB151" si="161">IF(P123="관급자재대", L123, 0)</f>
        <v>0</v>
      </c>
      <c r="AC123">
        <f t="shared" ref="AC123:AC151" si="162">IF(P123="고철처리비", L123, 0)</f>
        <v>0</v>
      </c>
      <c r="AD123">
        <f t="shared" ref="AD123:AD151" si="163">IF(P123="사용자항목2", L123, 0)</f>
        <v>0</v>
      </c>
      <c r="AE123">
        <f t="shared" ref="AE123:AE151" si="164">IF(P123="안전관리비", L123, 0)</f>
        <v>0</v>
      </c>
      <c r="AF123">
        <f t="shared" ref="AF123:AF151" si="165">IF(P123="품질관리비", L123, 0)</f>
        <v>0</v>
      </c>
      <c r="AG123">
        <f t="shared" ref="AG123:AG151" si="166">IF(P123="사용자항목5", L123, 0)</f>
        <v>0</v>
      </c>
      <c r="AH123">
        <f t="shared" ref="AH123:AH151" si="167">IF(P123="사용자항목6", L123, 0)</f>
        <v>0</v>
      </c>
      <c r="AI123">
        <f t="shared" ref="AI123:AI151" si="168">IF(P123="사용자항목7", L123, 0)</f>
        <v>0</v>
      </c>
      <c r="AJ123">
        <f t="shared" ref="AJ123:AJ151" si="169">IF(P123="관급자 관급 자재대", L123, 0)</f>
        <v>0</v>
      </c>
      <c r="AK123">
        <f t="shared" ref="AK123:AK151" si="170">IF(P123="전기공사", L123, 0)</f>
        <v>0</v>
      </c>
      <c r="AL123">
        <f t="shared" ref="AL123:AL151" si="171">IF(P123="석면분담금", L123, 0)</f>
        <v>0</v>
      </c>
      <c r="AM123">
        <f t="shared" ref="AM123:AM151" si="172">IF(P123="임금채권부담금", L123, 0)</f>
        <v>0</v>
      </c>
      <c r="AN123">
        <f t="shared" ref="AN123:AN151" si="173">IF(P123="건설기계대여보증수수료", L123, 0)</f>
        <v>0</v>
      </c>
      <c r="AO123">
        <f t="shared" ref="AO123:AO151" si="174">IF(P123="사용자항목13", L123, 0)</f>
        <v>0</v>
      </c>
      <c r="AP123">
        <f t="shared" ref="AP123:AP151" si="175">IF(P123="사용자항목14", L123, 0)</f>
        <v>0</v>
      </c>
      <c r="AQ123">
        <f t="shared" ref="AQ123:AQ151" si="176">IF(P123="사용자항목15", L123, 0)</f>
        <v>0</v>
      </c>
      <c r="AR123">
        <f t="shared" ref="AR123:AR151" si="177">IF(P123="사용자항목16", L123, 0)</f>
        <v>0</v>
      </c>
      <c r="AS123">
        <f t="shared" ref="AS123:AS151" si="178">IF(P123="사용자항목17", L123, 0)</f>
        <v>0</v>
      </c>
      <c r="AT123">
        <f t="shared" ref="AT123:AT151" si="179">IF(P123="사용자항목18", L123, 0)</f>
        <v>0</v>
      </c>
      <c r="AU123">
        <f t="shared" ref="AU123:AU151" si="180">IF(P123="사용자항목19", L123, 0)</f>
        <v>0</v>
      </c>
    </row>
    <row r="124" spans="1:51" ht="21.9" customHeight="1" x14ac:dyDescent="0.4">
      <c r="A124" s="5" t="s">
        <v>682</v>
      </c>
      <c r="B124" s="5" t="s">
        <v>45</v>
      </c>
      <c r="C124" s="6" t="s">
        <v>38</v>
      </c>
      <c r="D124" s="8">
        <v>441</v>
      </c>
      <c r="E124" s="8">
        <f>ROUNDDOWN(단가대비표!N117, 0)</f>
        <v>1600</v>
      </c>
      <c r="F124" s="8">
        <f t="shared" si="147"/>
        <v>705600</v>
      </c>
      <c r="G124" s="8">
        <v>0</v>
      </c>
      <c r="H124" s="8">
        <f t="shared" si="148"/>
        <v>0</v>
      </c>
      <c r="I124" s="8">
        <v>0</v>
      </c>
      <c r="J124" s="8">
        <f t="shared" si="149"/>
        <v>0</v>
      </c>
      <c r="K124" s="8">
        <f t="shared" si="145"/>
        <v>1600</v>
      </c>
      <c r="L124" s="8">
        <f t="shared" si="146"/>
        <v>705600</v>
      </c>
      <c r="M124" s="7"/>
      <c r="O124" t="str">
        <f t="shared" si="150"/>
        <v>01</v>
      </c>
      <c r="P124" s="10" t="s">
        <v>361</v>
      </c>
      <c r="Q124">
        <v>1</v>
      </c>
      <c r="R124">
        <f t="shared" si="151"/>
        <v>0</v>
      </c>
      <c r="S124">
        <f t="shared" si="152"/>
        <v>0</v>
      </c>
      <c r="T124">
        <f t="shared" si="153"/>
        <v>0</v>
      </c>
      <c r="U124">
        <f t="shared" si="154"/>
        <v>0</v>
      </c>
      <c r="V124">
        <f t="shared" si="155"/>
        <v>0</v>
      </c>
      <c r="W124">
        <f t="shared" si="156"/>
        <v>0</v>
      </c>
      <c r="X124">
        <f t="shared" si="157"/>
        <v>0</v>
      </c>
      <c r="Y124">
        <f t="shared" si="158"/>
        <v>0</v>
      </c>
      <c r="Z124">
        <f t="shared" si="159"/>
        <v>0</v>
      </c>
      <c r="AA124">
        <f t="shared" si="160"/>
        <v>0</v>
      </c>
      <c r="AB124">
        <f t="shared" si="161"/>
        <v>0</v>
      </c>
      <c r="AC124">
        <f t="shared" si="162"/>
        <v>0</v>
      </c>
      <c r="AD124">
        <f t="shared" si="163"/>
        <v>0</v>
      </c>
      <c r="AE124">
        <f t="shared" si="164"/>
        <v>0</v>
      </c>
      <c r="AF124">
        <f t="shared" si="165"/>
        <v>0</v>
      </c>
      <c r="AG124">
        <f t="shared" si="166"/>
        <v>0</v>
      </c>
      <c r="AH124">
        <f t="shared" si="167"/>
        <v>0</v>
      </c>
      <c r="AI124">
        <f t="shared" si="168"/>
        <v>0</v>
      </c>
      <c r="AJ124">
        <f t="shared" si="169"/>
        <v>0</v>
      </c>
      <c r="AK124">
        <f t="shared" si="170"/>
        <v>0</v>
      </c>
      <c r="AL124">
        <f t="shared" si="171"/>
        <v>0</v>
      </c>
      <c r="AM124">
        <f t="shared" si="172"/>
        <v>0</v>
      </c>
      <c r="AN124">
        <f t="shared" si="173"/>
        <v>0</v>
      </c>
      <c r="AO124">
        <f t="shared" si="174"/>
        <v>0</v>
      </c>
      <c r="AP124">
        <f t="shared" si="175"/>
        <v>0</v>
      </c>
      <c r="AQ124">
        <f t="shared" si="176"/>
        <v>0</v>
      </c>
      <c r="AR124">
        <f t="shared" si="177"/>
        <v>0</v>
      </c>
      <c r="AS124">
        <f t="shared" si="178"/>
        <v>0</v>
      </c>
      <c r="AT124">
        <f t="shared" si="179"/>
        <v>0</v>
      </c>
      <c r="AU124">
        <f t="shared" si="180"/>
        <v>0</v>
      </c>
    </row>
    <row r="125" spans="1:51" ht="21.9" customHeight="1" x14ac:dyDescent="0.4">
      <c r="A125" s="5" t="s">
        <v>682</v>
      </c>
      <c r="B125" s="5" t="s">
        <v>45</v>
      </c>
      <c r="C125" s="6" t="s">
        <v>38</v>
      </c>
      <c r="D125" s="8">
        <v>661.5</v>
      </c>
      <c r="E125" s="8">
        <f>ROUNDDOWN(단가대비표!N117, 0)</f>
        <v>1600</v>
      </c>
      <c r="F125" s="8">
        <f t="shared" si="147"/>
        <v>1058400</v>
      </c>
      <c r="G125" s="8">
        <v>0</v>
      </c>
      <c r="H125" s="8">
        <f t="shared" si="148"/>
        <v>0</v>
      </c>
      <c r="I125" s="8">
        <v>0</v>
      </c>
      <c r="J125" s="8">
        <f t="shared" si="149"/>
        <v>0</v>
      </c>
      <c r="K125" s="8">
        <f t="shared" si="145"/>
        <v>1600</v>
      </c>
      <c r="L125" s="8">
        <f t="shared" si="146"/>
        <v>1058400</v>
      </c>
      <c r="M125" s="7"/>
      <c r="O125" t="str">
        <f t="shared" si="150"/>
        <v>01</v>
      </c>
      <c r="P125" s="10" t="s">
        <v>361</v>
      </c>
      <c r="Q125">
        <v>1</v>
      </c>
      <c r="R125">
        <f t="shared" si="151"/>
        <v>0</v>
      </c>
      <c r="S125">
        <f t="shared" si="152"/>
        <v>0</v>
      </c>
      <c r="T125">
        <f t="shared" si="153"/>
        <v>0</v>
      </c>
      <c r="U125">
        <f t="shared" si="154"/>
        <v>0</v>
      </c>
      <c r="V125">
        <f t="shared" si="155"/>
        <v>0</v>
      </c>
      <c r="W125">
        <f t="shared" si="156"/>
        <v>0</v>
      </c>
      <c r="X125">
        <f t="shared" si="157"/>
        <v>0</v>
      </c>
      <c r="Y125">
        <f t="shared" si="158"/>
        <v>0</v>
      </c>
      <c r="Z125">
        <f t="shared" si="159"/>
        <v>0</v>
      </c>
      <c r="AA125">
        <f t="shared" si="160"/>
        <v>0</v>
      </c>
      <c r="AB125">
        <f t="shared" si="161"/>
        <v>0</v>
      </c>
      <c r="AC125">
        <f t="shared" si="162"/>
        <v>0</v>
      </c>
      <c r="AD125">
        <f t="shared" si="163"/>
        <v>0</v>
      </c>
      <c r="AE125">
        <f t="shared" si="164"/>
        <v>0</v>
      </c>
      <c r="AF125">
        <f t="shared" si="165"/>
        <v>0</v>
      </c>
      <c r="AG125">
        <f t="shared" si="166"/>
        <v>0</v>
      </c>
      <c r="AH125">
        <f t="shared" si="167"/>
        <v>0</v>
      </c>
      <c r="AI125">
        <f t="shared" si="168"/>
        <v>0</v>
      </c>
      <c r="AJ125">
        <f t="shared" si="169"/>
        <v>0</v>
      </c>
      <c r="AK125">
        <f t="shared" si="170"/>
        <v>0</v>
      </c>
      <c r="AL125">
        <f t="shared" si="171"/>
        <v>0</v>
      </c>
      <c r="AM125">
        <f t="shared" si="172"/>
        <v>0</v>
      </c>
      <c r="AN125">
        <f t="shared" si="173"/>
        <v>0</v>
      </c>
      <c r="AO125">
        <f t="shared" si="174"/>
        <v>0</v>
      </c>
      <c r="AP125">
        <f t="shared" si="175"/>
        <v>0</v>
      </c>
      <c r="AQ125">
        <f t="shared" si="176"/>
        <v>0</v>
      </c>
      <c r="AR125">
        <f t="shared" si="177"/>
        <v>0</v>
      </c>
      <c r="AS125">
        <f t="shared" si="178"/>
        <v>0</v>
      </c>
      <c r="AT125">
        <f t="shared" si="179"/>
        <v>0</v>
      </c>
      <c r="AU125">
        <f t="shared" si="180"/>
        <v>0</v>
      </c>
    </row>
    <row r="126" spans="1:51" ht="21.9" customHeight="1" x14ac:dyDescent="0.4">
      <c r="A126" s="5" t="s">
        <v>685</v>
      </c>
      <c r="B126" s="5" t="s">
        <v>45</v>
      </c>
      <c r="C126" s="6" t="s">
        <v>38</v>
      </c>
      <c r="D126" s="8">
        <v>52.5</v>
      </c>
      <c r="E126" s="8">
        <f>ROUNDDOWN(단가대비표!N110, 0)</f>
        <v>1600</v>
      </c>
      <c r="F126" s="8">
        <f t="shared" si="147"/>
        <v>84000</v>
      </c>
      <c r="G126" s="8">
        <v>0</v>
      </c>
      <c r="H126" s="8">
        <f t="shared" si="148"/>
        <v>0</v>
      </c>
      <c r="I126" s="8">
        <v>0</v>
      </c>
      <c r="J126" s="8">
        <f t="shared" si="149"/>
        <v>0</v>
      </c>
      <c r="K126" s="8">
        <f t="shared" si="145"/>
        <v>1600</v>
      </c>
      <c r="L126" s="8">
        <f t="shared" si="146"/>
        <v>84000</v>
      </c>
      <c r="M126" s="7"/>
      <c r="O126" t="str">
        <f t="shared" si="150"/>
        <v>01</v>
      </c>
      <c r="P126" s="10" t="s">
        <v>361</v>
      </c>
      <c r="Q126">
        <v>1</v>
      </c>
      <c r="R126">
        <f t="shared" si="151"/>
        <v>0</v>
      </c>
      <c r="S126">
        <f t="shared" si="152"/>
        <v>0</v>
      </c>
      <c r="T126">
        <f t="shared" si="153"/>
        <v>0</v>
      </c>
      <c r="U126">
        <f t="shared" si="154"/>
        <v>0</v>
      </c>
      <c r="V126">
        <f t="shared" si="155"/>
        <v>0</v>
      </c>
      <c r="W126">
        <f t="shared" si="156"/>
        <v>0</v>
      </c>
      <c r="X126">
        <f t="shared" si="157"/>
        <v>0</v>
      </c>
      <c r="Y126">
        <f t="shared" si="158"/>
        <v>0</v>
      </c>
      <c r="Z126">
        <f t="shared" si="159"/>
        <v>0</v>
      </c>
      <c r="AA126">
        <f t="shared" si="160"/>
        <v>0</v>
      </c>
      <c r="AB126">
        <f t="shared" si="161"/>
        <v>0</v>
      </c>
      <c r="AC126">
        <f t="shared" si="162"/>
        <v>0</v>
      </c>
      <c r="AD126">
        <f t="shared" si="163"/>
        <v>0</v>
      </c>
      <c r="AE126">
        <f t="shared" si="164"/>
        <v>0</v>
      </c>
      <c r="AF126">
        <f t="shared" si="165"/>
        <v>0</v>
      </c>
      <c r="AG126">
        <f t="shared" si="166"/>
        <v>0</v>
      </c>
      <c r="AH126">
        <f t="shared" si="167"/>
        <v>0</v>
      </c>
      <c r="AI126">
        <f t="shared" si="168"/>
        <v>0</v>
      </c>
      <c r="AJ126">
        <f t="shared" si="169"/>
        <v>0</v>
      </c>
      <c r="AK126">
        <f t="shared" si="170"/>
        <v>0</v>
      </c>
      <c r="AL126">
        <f t="shared" si="171"/>
        <v>0</v>
      </c>
      <c r="AM126">
        <f t="shared" si="172"/>
        <v>0</v>
      </c>
      <c r="AN126">
        <f t="shared" si="173"/>
        <v>0</v>
      </c>
      <c r="AO126">
        <f t="shared" si="174"/>
        <v>0</v>
      </c>
      <c r="AP126">
        <f t="shared" si="175"/>
        <v>0</v>
      </c>
      <c r="AQ126">
        <f t="shared" si="176"/>
        <v>0</v>
      </c>
      <c r="AR126">
        <f t="shared" si="177"/>
        <v>0</v>
      </c>
      <c r="AS126">
        <f t="shared" si="178"/>
        <v>0</v>
      </c>
      <c r="AT126">
        <f t="shared" si="179"/>
        <v>0</v>
      </c>
      <c r="AU126">
        <f t="shared" si="180"/>
        <v>0</v>
      </c>
    </row>
    <row r="127" spans="1:51" ht="21.9" customHeight="1" x14ac:dyDescent="0.4">
      <c r="A127" s="5" t="s">
        <v>686</v>
      </c>
      <c r="B127" s="5" t="s">
        <v>150</v>
      </c>
      <c r="C127" s="6" t="s">
        <v>18</v>
      </c>
      <c r="D127" s="8">
        <v>1500</v>
      </c>
      <c r="E127" s="8">
        <f>ROUNDDOWN(단가대비표!N66, 0)</f>
        <v>160</v>
      </c>
      <c r="F127" s="8">
        <f t="shared" si="147"/>
        <v>240000</v>
      </c>
      <c r="G127" s="8"/>
      <c r="H127" s="8">
        <f t="shared" si="148"/>
        <v>0</v>
      </c>
      <c r="I127" s="8"/>
      <c r="J127" s="8">
        <f t="shared" si="149"/>
        <v>0</v>
      </c>
      <c r="K127" s="8">
        <f t="shared" si="145"/>
        <v>160</v>
      </c>
      <c r="L127" s="8">
        <f t="shared" si="146"/>
        <v>240000</v>
      </c>
      <c r="M127" s="7"/>
      <c r="O127" t="str">
        <f t="shared" si="150"/>
        <v>01</v>
      </c>
      <c r="P127" s="10" t="s">
        <v>361</v>
      </c>
      <c r="Q127">
        <v>1</v>
      </c>
      <c r="R127">
        <f t="shared" si="151"/>
        <v>0</v>
      </c>
      <c r="S127">
        <f t="shared" si="152"/>
        <v>0</v>
      </c>
      <c r="T127">
        <f t="shared" si="153"/>
        <v>0</v>
      </c>
      <c r="U127">
        <f t="shared" si="154"/>
        <v>0</v>
      </c>
      <c r="V127">
        <f t="shared" si="155"/>
        <v>0</v>
      </c>
      <c r="W127">
        <f t="shared" si="156"/>
        <v>0</v>
      </c>
      <c r="X127">
        <f t="shared" si="157"/>
        <v>0</v>
      </c>
      <c r="Y127">
        <f t="shared" si="158"/>
        <v>0</v>
      </c>
      <c r="Z127">
        <f t="shared" si="159"/>
        <v>0</v>
      </c>
      <c r="AA127">
        <f t="shared" si="160"/>
        <v>0</v>
      </c>
      <c r="AB127">
        <f t="shared" si="161"/>
        <v>0</v>
      </c>
      <c r="AC127">
        <f t="shared" si="162"/>
        <v>0</v>
      </c>
      <c r="AD127">
        <f t="shared" si="163"/>
        <v>0</v>
      </c>
      <c r="AE127">
        <f t="shared" si="164"/>
        <v>0</v>
      </c>
      <c r="AF127">
        <f t="shared" si="165"/>
        <v>0</v>
      </c>
      <c r="AG127">
        <f t="shared" si="166"/>
        <v>0</v>
      </c>
      <c r="AH127">
        <f t="shared" si="167"/>
        <v>0</v>
      </c>
      <c r="AI127">
        <f t="shared" si="168"/>
        <v>0</v>
      </c>
      <c r="AJ127">
        <f t="shared" si="169"/>
        <v>0</v>
      </c>
      <c r="AK127">
        <f t="shared" si="170"/>
        <v>0</v>
      </c>
      <c r="AL127">
        <f t="shared" si="171"/>
        <v>0</v>
      </c>
      <c r="AM127">
        <f t="shared" si="172"/>
        <v>0</v>
      </c>
      <c r="AN127">
        <f t="shared" si="173"/>
        <v>0</v>
      </c>
      <c r="AO127">
        <f t="shared" si="174"/>
        <v>0</v>
      </c>
      <c r="AP127">
        <f t="shared" si="175"/>
        <v>0</v>
      </c>
      <c r="AQ127">
        <f t="shared" si="176"/>
        <v>0</v>
      </c>
      <c r="AR127">
        <f t="shared" si="177"/>
        <v>0</v>
      </c>
      <c r="AS127">
        <f t="shared" si="178"/>
        <v>0</v>
      </c>
      <c r="AT127">
        <f t="shared" si="179"/>
        <v>0</v>
      </c>
      <c r="AU127">
        <f t="shared" si="180"/>
        <v>0</v>
      </c>
    </row>
    <row r="128" spans="1:51" ht="21.9" customHeight="1" x14ac:dyDescent="0.4">
      <c r="A128" s="5" t="s">
        <v>655</v>
      </c>
      <c r="B128" s="5" t="s">
        <v>113</v>
      </c>
      <c r="C128" s="6" t="s">
        <v>18</v>
      </c>
      <c r="D128" s="8">
        <v>400</v>
      </c>
      <c r="E128" s="8">
        <f>ROUNDDOWN(단가대비표!N65, 0)</f>
        <v>210</v>
      </c>
      <c r="F128" s="8">
        <f t="shared" si="147"/>
        <v>84000</v>
      </c>
      <c r="G128" s="8"/>
      <c r="H128" s="8">
        <f t="shared" si="148"/>
        <v>0</v>
      </c>
      <c r="I128" s="8"/>
      <c r="J128" s="8">
        <f t="shared" si="149"/>
        <v>0</v>
      </c>
      <c r="K128" s="8">
        <f t="shared" si="145"/>
        <v>210</v>
      </c>
      <c r="L128" s="8">
        <f t="shared" si="146"/>
        <v>84000</v>
      </c>
      <c r="M128" s="7"/>
      <c r="O128" t="str">
        <f t="shared" si="150"/>
        <v>01</v>
      </c>
      <c r="P128" s="10" t="s">
        <v>361</v>
      </c>
      <c r="Q128">
        <v>1</v>
      </c>
      <c r="R128">
        <f t="shared" si="151"/>
        <v>0</v>
      </c>
      <c r="S128">
        <f t="shared" si="152"/>
        <v>0</v>
      </c>
      <c r="T128">
        <f t="shared" si="153"/>
        <v>0</v>
      </c>
      <c r="U128">
        <f t="shared" si="154"/>
        <v>0</v>
      </c>
      <c r="V128">
        <f t="shared" si="155"/>
        <v>0</v>
      </c>
      <c r="W128">
        <f t="shared" si="156"/>
        <v>0</v>
      </c>
      <c r="X128">
        <f t="shared" si="157"/>
        <v>0</v>
      </c>
      <c r="Y128">
        <f t="shared" si="158"/>
        <v>0</v>
      </c>
      <c r="Z128">
        <f t="shared" si="159"/>
        <v>0</v>
      </c>
      <c r="AA128">
        <f t="shared" si="160"/>
        <v>0</v>
      </c>
      <c r="AB128">
        <f t="shared" si="161"/>
        <v>0</v>
      </c>
      <c r="AC128">
        <f t="shared" si="162"/>
        <v>0</v>
      </c>
      <c r="AD128">
        <f t="shared" si="163"/>
        <v>0</v>
      </c>
      <c r="AE128">
        <f t="shared" si="164"/>
        <v>0</v>
      </c>
      <c r="AF128">
        <f t="shared" si="165"/>
        <v>0</v>
      </c>
      <c r="AG128">
        <f t="shared" si="166"/>
        <v>0</v>
      </c>
      <c r="AH128">
        <f t="shared" si="167"/>
        <v>0</v>
      </c>
      <c r="AI128">
        <f t="shared" si="168"/>
        <v>0</v>
      </c>
      <c r="AJ128">
        <f t="shared" si="169"/>
        <v>0</v>
      </c>
      <c r="AK128">
        <f t="shared" si="170"/>
        <v>0</v>
      </c>
      <c r="AL128">
        <f t="shared" si="171"/>
        <v>0</v>
      </c>
      <c r="AM128">
        <f t="shared" si="172"/>
        <v>0</v>
      </c>
      <c r="AN128">
        <f t="shared" si="173"/>
        <v>0</v>
      </c>
      <c r="AO128">
        <f t="shared" si="174"/>
        <v>0</v>
      </c>
      <c r="AP128">
        <f t="shared" si="175"/>
        <v>0</v>
      </c>
      <c r="AQ128">
        <f t="shared" si="176"/>
        <v>0</v>
      </c>
      <c r="AR128">
        <f t="shared" si="177"/>
        <v>0</v>
      </c>
      <c r="AS128">
        <f t="shared" si="178"/>
        <v>0</v>
      </c>
      <c r="AT128">
        <f t="shared" si="179"/>
        <v>0</v>
      </c>
      <c r="AU128">
        <f t="shared" si="180"/>
        <v>0</v>
      </c>
    </row>
    <row r="129" spans="1:47" ht="21.9" customHeight="1" x14ac:dyDescent="0.4">
      <c r="A129" s="5" t="s">
        <v>687</v>
      </c>
      <c r="B129" s="5" t="s">
        <v>179</v>
      </c>
      <c r="C129" s="6" t="s">
        <v>18</v>
      </c>
      <c r="D129" s="8">
        <v>165</v>
      </c>
      <c r="E129" s="8">
        <f>ROUNDDOWN(단가대비표!N77, 0)</f>
        <v>1330</v>
      </c>
      <c r="F129" s="8">
        <f t="shared" si="147"/>
        <v>219450</v>
      </c>
      <c r="G129" s="8">
        <v>0</v>
      </c>
      <c r="H129" s="8">
        <f t="shared" si="148"/>
        <v>0</v>
      </c>
      <c r="I129" s="8">
        <v>0</v>
      </c>
      <c r="J129" s="8">
        <f t="shared" si="149"/>
        <v>0</v>
      </c>
      <c r="K129" s="8">
        <f t="shared" si="145"/>
        <v>1330</v>
      </c>
      <c r="L129" s="8">
        <f t="shared" si="146"/>
        <v>219450</v>
      </c>
      <c r="M129" s="7"/>
      <c r="O129" t="str">
        <f t="shared" si="150"/>
        <v>01</v>
      </c>
      <c r="P129" s="10" t="s">
        <v>361</v>
      </c>
      <c r="Q129">
        <v>1</v>
      </c>
      <c r="R129">
        <f t="shared" si="151"/>
        <v>0</v>
      </c>
      <c r="S129">
        <f t="shared" si="152"/>
        <v>0</v>
      </c>
      <c r="T129">
        <f t="shared" si="153"/>
        <v>0</v>
      </c>
      <c r="U129">
        <f t="shared" si="154"/>
        <v>0</v>
      </c>
      <c r="V129">
        <f t="shared" si="155"/>
        <v>0</v>
      </c>
      <c r="W129">
        <f t="shared" si="156"/>
        <v>0</v>
      </c>
      <c r="X129">
        <f t="shared" si="157"/>
        <v>0</v>
      </c>
      <c r="Y129">
        <f t="shared" si="158"/>
        <v>0</v>
      </c>
      <c r="Z129">
        <f t="shared" si="159"/>
        <v>0</v>
      </c>
      <c r="AA129">
        <f t="shared" si="160"/>
        <v>0</v>
      </c>
      <c r="AB129">
        <f t="shared" si="161"/>
        <v>0</v>
      </c>
      <c r="AC129">
        <f t="shared" si="162"/>
        <v>0</v>
      </c>
      <c r="AD129">
        <f t="shared" si="163"/>
        <v>0</v>
      </c>
      <c r="AE129">
        <f t="shared" si="164"/>
        <v>0</v>
      </c>
      <c r="AF129">
        <f t="shared" si="165"/>
        <v>0</v>
      </c>
      <c r="AG129">
        <f t="shared" si="166"/>
        <v>0</v>
      </c>
      <c r="AH129">
        <f t="shared" si="167"/>
        <v>0</v>
      </c>
      <c r="AI129">
        <f t="shared" si="168"/>
        <v>0</v>
      </c>
      <c r="AJ129">
        <f t="shared" si="169"/>
        <v>0</v>
      </c>
      <c r="AK129">
        <f t="shared" si="170"/>
        <v>0</v>
      </c>
      <c r="AL129">
        <f t="shared" si="171"/>
        <v>0</v>
      </c>
      <c r="AM129">
        <f t="shared" si="172"/>
        <v>0</v>
      </c>
      <c r="AN129">
        <f t="shared" si="173"/>
        <v>0</v>
      </c>
      <c r="AO129">
        <f t="shared" si="174"/>
        <v>0</v>
      </c>
      <c r="AP129">
        <f t="shared" si="175"/>
        <v>0</v>
      </c>
      <c r="AQ129">
        <f t="shared" si="176"/>
        <v>0</v>
      </c>
      <c r="AR129">
        <f t="shared" si="177"/>
        <v>0</v>
      </c>
      <c r="AS129">
        <f t="shared" si="178"/>
        <v>0</v>
      </c>
      <c r="AT129">
        <f t="shared" si="179"/>
        <v>0</v>
      </c>
      <c r="AU129">
        <f t="shared" si="180"/>
        <v>0</v>
      </c>
    </row>
    <row r="130" spans="1:47" ht="21.9" customHeight="1" x14ac:dyDescent="0.4">
      <c r="A130" s="5" t="s">
        <v>688</v>
      </c>
      <c r="B130" s="5" t="s">
        <v>266</v>
      </c>
      <c r="C130" s="6" t="s">
        <v>38</v>
      </c>
      <c r="D130" s="8">
        <v>400</v>
      </c>
      <c r="E130" s="8">
        <f>ROUNDDOWN(단가대비표!N119, 0)</f>
        <v>520</v>
      </c>
      <c r="F130" s="8">
        <f t="shared" si="147"/>
        <v>208000</v>
      </c>
      <c r="G130" s="8"/>
      <c r="H130" s="8">
        <f t="shared" si="148"/>
        <v>0</v>
      </c>
      <c r="I130" s="8"/>
      <c r="J130" s="8">
        <f t="shared" si="149"/>
        <v>0</v>
      </c>
      <c r="K130" s="8">
        <f t="shared" si="145"/>
        <v>520</v>
      </c>
      <c r="L130" s="8">
        <f t="shared" si="146"/>
        <v>208000</v>
      </c>
      <c r="M130" s="7"/>
      <c r="O130" t="str">
        <f t="shared" si="150"/>
        <v>01</v>
      </c>
      <c r="P130" s="10" t="s">
        <v>361</v>
      </c>
      <c r="Q130">
        <v>1</v>
      </c>
      <c r="R130">
        <f t="shared" si="151"/>
        <v>0</v>
      </c>
      <c r="S130">
        <f t="shared" si="152"/>
        <v>0</v>
      </c>
      <c r="T130">
        <f t="shared" si="153"/>
        <v>0</v>
      </c>
      <c r="U130">
        <f t="shared" si="154"/>
        <v>0</v>
      </c>
      <c r="V130">
        <f t="shared" si="155"/>
        <v>0</v>
      </c>
      <c r="W130">
        <f t="shared" si="156"/>
        <v>0</v>
      </c>
      <c r="X130">
        <f t="shared" si="157"/>
        <v>0</v>
      </c>
      <c r="Y130">
        <f t="shared" si="158"/>
        <v>0</v>
      </c>
      <c r="Z130">
        <f t="shared" si="159"/>
        <v>0</v>
      </c>
      <c r="AA130">
        <f t="shared" si="160"/>
        <v>0</v>
      </c>
      <c r="AB130">
        <f t="shared" si="161"/>
        <v>0</v>
      </c>
      <c r="AC130">
        <f t="shared" si="162"/>
        <v>0</v>
      </c>
      <c r="AD130">
        <f t="shared" si="163"/>
        <v>0</v>
      </c>
      <c r="AE130">
        <f t="shared" si="164"/>
        <v>0</v>
      </c>
      <c r="AF130">
        <f t="shared" si="165"/>
        <v>0</v>
      </c>
      <c r="AG130">
        <f t="shared" si="166"/>
        <v>0</v>
      </c>
      <c r="AH130">
        <f t="shared" si="167"/>
        <v>0</v>
      </c>
      <c r="AI130">
        <f t="shared" si="168"/>
        <v>0</v>
      </c>
      <c r="AJ130">
        <f t="shared" si="169"/>
        <v>0</v>
      </c>
      <c r="AK130">
        <f t="shared" si="170"/>
        <v>0</v>
      </c>
      <c r="AL130">
        <f t="shared" si="171"/>
        <v>0</v>
      </c>
      <c r="AM130">
        <f t="shared" si="172"/>
        <v>0</v>
      </c>
      <c r="AN130">
        <f t="shared" si="173"/>
        <v>0</v>
      </c>
      <c r="AO130">
        <f t="shared" si="174"/>
        <v>0</v>
      </c>
      <c r="AP130">
        <f t="shared" si="175"/>
        <v>0</v>
      </c>
      <c r="AQ130">
        <f t="shared" si="176"/>
        <v>0</v>
      </c>
      <c r="AR130">
        <f t="shared" si="177"/>
        <v>0</v>
      </c>
      <c r="AS130">
        <f t="shared" si="178"/>
        <v>0</v>
      </c>
      <c r="AT130">
        <f t="shared" si="179"/>
        <v>0</v>
      </c>
      <c r="AU130">
        <f t="shared" si="180"/>
        <v>0</v>
      </c>
    </row>
    <row r="131" spans="1:47" ht="21.9" customHeight="1" x14ac:dyDescent="0.4">
      <c r="A131" s="5" t="s">
        <v>689</v>
      </c>
      <c r="B131" s="5" t="s">
        <v>145</v>
      </c>
      <c r="C131" s="6" t="s">
        <v>18</v>
      </c>
      <c r="D131" s="8">
        <v>72</v>
      </c>
      <c r="E131" s="8">
        <f>ROUNDDOWN(단가대비표!N62, 0)</f>
        <v>2080</v>
      </c>
      <c r="F131" s="8">
        <f t="shared" si="147"/>
        <v>149760</v>
      </c>
      <c r="G131" s="8"/>
      <c r="H131" s="8">
        <f t="shared" si="148"/>
        <v>0</v>
      </c>
      <c r="I131" s="8"/>
      <c r="J131" s="8">
        <f t="shared" si="149"/>
        <v>0</v>
      </c>
      <c r="K131" s="8">
        <f t="shared" si="145"/>
        <v>2080</v>
      </c>
      <c r="L131" s="8">
        <f t="shared" si="146"/>
        <v>149760</v>
      </c>
      <c r="M131" s="7"/>
      <c r="O131" t="str">
        <f t="shared" si="150"/>
        <v>01</v>
      </c>
      <c r="P131" s="10" t="s">
        <v>361</v>
      </c>
      <c r="Q131">
        <v>1</v>
      </c>
      <c r="R131">
        <f t="shared" si="151"/>
        <v>0</v>
      </c>
      <c r="S131">
        <f t="shared" si="152"/>
        <v>0</v>
      </c>
      <c r="T131">
        <f t="shared" si="153"/>
        <v>0</v>
      </c>
      <c r="U131">
        <f t="shared" si="154"/>
        <v>0</v>
      </c>
      <c r="V131">
        <f t="shared" si="155"/>
        <v>0</v>
      </c>
      <c r="W131">
        <f t="shared" si="156"/>
        <v>0</v>
      </c>
      <c r="X131">
        <f t="shared" si="157"/>
        <v>0</v>
      </c>
      <c r="Y131">
        <f t="shared" si="158"/>
        <v>0</v>
      </c>
      <c r="Z131">
        <f t="shared" si="159"/>
        <v>0</v>
      </c>
      <c r="AA131">
        <f t="shared" si="160"/>
        <v>0</v>
      </c>
      <c r="AB131">
        <f t="shared" si="161"/>
        <v>0</v>
      </c>
      <c r="AC131">
        <f t="shared" si="162"/>
        <v>0</v>
      </c>
      <c r="AD131">
        <f t="shared" si="163"/>
        <v>0</v>
      </c>
      <c r="AE131">
        <f t="shared" si="164"/>
        <v>0</v>
      </c>
      <c r="AF131">
        <f t="shared" si="165"/>
        <v>0</v>
      </c>
      <c r="AG131">
        <f t="shared" si="166"/>
        <v>0</v>
      </c>
      <c r="AH131">
        <f t="shared" si="167"/>
        <v>0</v>
      </c>
      <c r="AI131">
        <f t="shared" si="168"/>
        <v>0</v>
      </c>
      <c r="AJ131">
        <f t="shared" si="169"/>
        <v>0</v>
      </c>
      <c r="AK131">
        <f t="shared" si="170"/>
        <v>0</v>
      </c>
      <c r="AL131">
        <f t="shared" si="171"/>
        <v>0</v>
      </c>
      <c r="AM131">
        <f t="shared" si="172"/>
        <v>0</v>
      </c>
      <c r="AN131">
        <f t="shared" si="173"/>
        <v>0</v>
      </c>
      <c r="AO131">
        <f t="shared" si="174"/>
        <v>0</v>
      </c>
      <c r="AP131">
        <f t="shared" si="175"/>
        <v>0</v>
      </c>
      <c r="AQ131">
        <f t="shared" si="176"/>
        <v>0</v>
      </c>
      <c r="AR131">
        <f t="shared" si="177"/>
        <v>0</v>
      </c>
      <c r="AS131">
        <f t="shared" si="178"/>
        <v>0</v>
      </c>
      <c r="AT131">
        <f t="shared" si="179"/>
        <v>0</v>
      </c>
      <c r="AU131">
        <f t="shared" si="180"/>
        <v>0</v>
      </c>
    </row>
    <row r="132" spans="1:47" ht="21.9" customHeight="1" x14ac:dyDescent="0.4">
      <c r="A132" s="5" t="s">
        <v>690</v>
      </c>
      <c r="B132" s="5" t="s">
        <v>249</v>
      </c>
      <c r="C132" s="6" t="s">
        <v>18</v>
      </c>
      <c r="D132" s="8">
        <v>110</v>
      </c>
      <c r="E132" s="8">
        <f>ROUNDDOWN(단가대비표!N109, 0)</f>
        <v>7280</v>
      </c>
      <c r="F132" s="8">
        <f t="shared" si="147"/>
        <v>800800</v>
      </c>
      <c r="G132" s="8"/>
      <c r="H132" s="8">
        <f t="shared" si="148"/>
        <v>0</v>
      </c>
      <c r="I132" s="8"/>
      <c r="J132" s="8">
        <f t="shared" si="149"/>
        <v>0</v>
      </c>
      <c r="K132" s="8">
        <f t="shared" si="145"/>
        <v>7280</v>
      </c>
      <c r="L132" s="8">
        <f t="shared" si="146"/>
        <v>800800</v>
      </c>
      <c r="M132" s="7"/>
      <c r="O132" t="str">
        <f t="shared" si="150"/>
        <v>01</v>
      </c>
      <c r="P132" s="10" t="s">
        <v>361</v>
      </c>
      <c r="Q132">
        <v>1</v>
      </c>
      <c r="R132">
        <f t="shared" si="151"/>
        <v>0</v>
      </c>
      <c r="S132">
        <f t="shared" si="152"/>
        <v>0</v>
      </c>
      <c r="T132">
        <f t="shared" si="153"/>
        <v>0</v>
      </c>
      <c r="U132">
        <f t="shared" si="154"/>
        <v>0</v>
      </c>
      <c r="V132">
        <f t="shared" si="155"/>
        <v>0</v>
      </c>
      <c r="W132">
        <f t="shared" si="156"/>
        <v>0</v>
      </c>
      <c r="X132">
        <f t="shared" si="157"/>
        <v>0</v>
      </c>
      <c r="Y132">
        <f t="shared" si="158"/>
        <v>0</v>
      </c>
      <c r="Z132">
        <f t="shared" si="159"/>
        <v>0</v>
      </c>
      <c r="AA132">
        <f t="shared" si="160"/>
        <v>0</v>
      </c>
      <c r="AB132">
        <f t="shared" si="161"/>
        <v>0</v>
      </c>
      <c r="AC132">
        <f t="shared" si="162"/>
        <v>0</v>
      </c>
      <c r="AD132">
        <f t="shared" si="163"/>
        <v>0</v>
      </c>
      <c r="AE132">
        <f t="shared" si="164"/>
        <v>0</v>
      </c>
      <c r="AF132">
        <f t="shared" si="165"/>
        <v>0</v>
      </c>
      <c r="AG132">
        <f t="shared" si="166"/>
        <v>0</v>
      </c>
      <c r="AH132">
        <f t="shared" si="167"/>
        <v>0</v>
      </c>
      <c r="AI132">
        <f t="shared" si="168"/>
        <v>0</v>
      </c>
      <c r="AJ132">
        <f t="shared" si="169"/>
        <v>0</v>
      </c>
      <c r="AK132">
        <f t="shared" si="170"/>
        <v>0</v>
      </c>
      <c r="AL132">
        <f t="shared" si="171"/>
        <v>0</v>
      </c>
      <c r="AM132">
        <f t="shared" si="172"/>
        <v>0</v>
      </c>
      <c r="AN132">
        <f t="shared" si="173"/>
        <v>0</v>
      </c>
      <c r="AO132">
        <f t="shared" si="174"/>
        <v>0</v>
      </c>
      <c r="AP132">
        <f t="shared" si="175"/>
        <v>0</v>
      </c>
      <c r="AQ132">
        <f t="shared" si="176"/>
        <v>0</v>
      </c>
      <c r="AR132">
        <f t="shared" si="177"/>
        <v>0</v>
      </c>
      <c r="AS132">
        <f t="shared" si="178"/>
        <v>0</v>
      </c>
      <c r="AT132">
        <f t="shared" si="179"/>
        <v>0</v>
      </c>
      <c r="AU132">
        <f t="shared" si="180"/>
        <v>0</v>
      </c>
    </row>
    <row r="133" spans="1:47" ht="21.9" customHeight="1" x14ac:dyDescent="0.4">
      <c r="A133" s="5" t="s">
        <v>714</v>
      </c>
      <c r="B133" s="5" t="s">
        <v>298</v>
      </c>
      <c r="C133" s="6" t="s">
        <v>18</v>
      </c>
      <c r="D133" s="8">
        <v>110</v>
      </c>
      <c r="E133" s="8">
        <f>ROUNDDOWN(단가대비표!N139, 0)</f>
        <v>1744</v>
      </c>
      <c r="F133" s="8">
        <f t="shared" si="147"/>
        <v>191840</v>
      </c>
      <c r="G133" s="8">
        <v>0</v>
      </c>
      <c r="H133" s="8">
        <f t="shared" si="148"/>
        <v>0</v>
      </c>
      <c r="I133" s="8">
        <v>0</v>
      </c>
      <c r="J133" s="8">
        <f t="shared" si="149"/>
        <v>0</v>
      </c>
      <c r="K133" s="8">
        <f t="shared" si="145"/>
        <v>1744</v>
      </c>
      <c r="L133" s="8">
        <f t="shared" si="146"/>
        <v>191840</v>
      </c>
      <c r="M133" s="7"/>
      <c r="O133" t="str">
        <f t="shared" si="150"/>
        <v>01</v>
      </c>
      <c r="P133" s="10" t="s">
        <v>361</v>
      </c>
      <c r="Q133">
        <v>1</v>
      </c>
      <c r="R133">
        <f t="shared" si="151"/>
        <v>0</v>
      </c>
      <c r="S133">
        <f t="shared" si="152"/>
        <v>0</v>
      </c>
      <c r="T133">
        <f t="shared" si="153"/>
        <v>0</v>
      </c>
      <c r="U133">
        <f t="shared" si="154"/>
        <v>0</v>
      </c>
      <c r="V133">
        <f t="shared" si="155"/>
        <v>0</v>
      </c>
      <c r="W133">
        <f t="shared" si="156"/>
        <v>0</v>
      </c>
      <c r="X133">
        <f t="shared" si="157"/>
        <v>0</v>
      </c>
      <c r="Y133">
        <f t="shared" si="158"/>
        <v>0</v>
      </c>
      <c r="Z133">
        <f t="shared" si="159"/>
        <v>0</v>
      </c>
      <c r="AA133">
        <f t="shared" si="160"/>
        <v>0</v>
      </c>
      <c r="AB133">
        <f t="shared" si="161"/>
        <v>0</v>
      </c>
      <c r="AC133">
        <f t="shared" si="162"/>
        <v>0</v>
      </c>
      <c r="AD133">
        <f t="shared" si="163"/>
        <v>0</v>
      </c>
      <c r="AE133">
        <f t="shared" si="164"/>
        <v>0</v>
      </c>
      <c r="AF133">
        <f t="shared" si="165"/>
        <v>0</v>
      </c>
      <c r="AG133">
        <f t="shared" si="166"/>
        <v>0</v>
      </c>
      <c r="AH133">
        <f t="shared" si="167"/>
        <v>0</v>
      </c>
      <c r="AI133">
        <f t="shared" si="168"/>
        <v>0</v>
      </c>
      <c r="AJ133">
        <f t="shared" si="169"/>
        <v>0</v>
      </c>
      <c r="AK133">
        <f t="shared" si="170"/>
        <v>0</v>
      </c>
      <c r="AL133">
        <f t="shared" si="171"/>
        <v>0</v>
      </c>
      <c r="AM133">
        <f t="shared" si="172"/>
        <v>0</v>
      </c>
      <c r="AN133">
        <f t="shared" si="173"/>
        <v>0</v>
      </c>
      <c r="AO133">
        <f t="shared" si="174"/>
        <v>0</v>
      </c>
      <c r="AP133">
        <f t="shared" si="175"/>
        <v>0</v>
      </c>
      <c r="AQ133">
        <f t="shared" si="176"/>
        <v>0</v>
      </c>
      <c r="AR133">
        <f t="shared" si="177"/>
        <v>0</v>
      </c>
      <c r="AS133">
        <f t="shared" si="178"/>
        <v>0</v>
      </c>
      <c r="AT133">
        <f t="shared" si="179"/>
        <v>0</v>
      </c>
      <c r="AU133">
        <f t="shared" si="180"/>
        <v>0</v>
      </c>
    </row>
    <row r="134" spans="1:47" ht="21.9" customHeight="1" x14ac:dyDescent="0.4">
      <c r="A134" s="5" t="s">
        <v>691</v>
      </c>
      <c r="B134" s="5" t="s">
        <v>106</v>
      </c>
      <c r="C134" s="6" t="s">
        <v>18</v>
      </c>
      <c r="D134" s="8">
        <v>110</v>
      </c>
      <c r="E134" s="8">
        <f>ROUNDDOWN(단가대비표!N43, 0)</f>
        <v>4680</v>
      </c>
      <c r="F134" s="8">
        <f t="shared" si="147"/>
        <v>514800</v>
      </c>
      <c r="G134" s="8"/>
      <c r="H134" s="8">
        <f t="shared" si="148"/>
        <v>0</v>
      </c>
      <c r="I134" s="8"/>
      <c r="J134" s="8">
        <f t="shared" si="149"/>
        <v>0</v>
      </c>
      <c r="K134" s="8">
        <f t="shared" si="145"/>
        <v>4680</v>
      </c>
      <c r="L134" s="8">
        <f t="shared" si="146"/>
        <v>514800</v>
      </c>
      <c r="M134" s="7"/>
      <c r="O134" t="str">
        <f t="shared" si="150"/>
        <v>01</v>
      </c>
      <c r="P134" s="10" t="s">
        <v>361</v>
      </c>
      <c r="Q134">
        <v>1</v>
      </c>
      <c r="R134">
        <f t="shared" si="151"/>
        <v>0</v>
      </c>
      <c r="S134">
        <f t="shared" si="152"/>
        <v>0</v>
      </c>
      <c r="T134">
        <f t="shared" si="153"/>
        <v>0</v>
      </c>
      <c r="U134">
        <f t="shared" si="154"/>
        <v>0</v>
      </c>
      <c r="V134">
        <f t="shared" si="155"/>
        <v>0</v>
      </c>
      <c r="W134">
        <f t="shared" si="156"/>
        <v>0</v>
      </c>
      <c r="X134">
        <f t="shared" si="157"/>
        <v>0</v>
      </c>
      <c r="Y134">
        <f t="shared" si="158"/>
        <v>0</v>
      </c>
      <c r="Z134">
        <f t="shared" si="159"/>
        <v>0</v>
      </c>
      <c r="AA134">
        <f t="shared" si="160"/>
        <v>0</v>
      </c>
      <c r="AB134">
        <f t="shared" si="161"/>
        <v>0</v>
      </c>
      <c r="AC134">
        <f t="shared" si="162"/>
        <v>0</v>
      </c>
      <c r="AD134">
        <f t="shared" si="163"/>
        <v>0</v>
      </c>
      <c r="AE134">
        <f t="shared" si="164"/>
        <v>0</v>
      </c>
      <c r="AF134">
        <f t="shared" si="165"/>
        <v>0</v>
      </c>
      <c r="AG134">
        <f t="shared" si="166"/>
        <v>0</v>
      </c>
      <c r="AH134">
        <f t="shared" si="167"/>
        <v>0</v>
      </c>
      <c r="AI134">
        <f t="shared" si="168"/>
        <v>0</v>
      </c>
      <c r="AJ134">
        <f t="shared" si="169"/>
        <v>0</v>
      </c>
      <c r="AK134">
        <f t="shared" si="170"/>
        <v>0</v>
      </c>
      <c r="AL134">
        <f t="shared" si="171"/>
        <v>0</v>
      </c>
      <c r="AM134">
        <f t="shared" si="172"/>
        <v>0</v>
      </c>
      <c r="AN134">
        <f t="shared" si="173"/>
        <v>0</v>
      </c>
      <c r="AO134">
        <f t="shared" si="174"/>
        <v>0</v>
      </c>
      <c r="AP134">
        <f t="shared" si="175"/>
        <v>0</v>
      </c>
      <c r="AQ134">
        <f t="shared" si="176"/>
        <v>0</v>
      </c>
      <c r="AR134">
        <f t="shared" si="177"/>
        <v>0</v>
      </c>
      <c r="AS134">
        <f t="shared" si="178"/>
        <v>0</v>
      </c>
      <c r="AT134">
        <f t="shared" si="179"/>
        <v>0</v>
      </c>
      <c r="AU134">
        <f t="shared" si="180"/>
        <v>0</v>
      </c>
    </row>
    <row r="135" spans="1:47" ht="21.9" customHeight="1" x14ac:dyDescent="0.4">
      <c r="A135" s="5" t="s">
        <v>692</v>
      </c>
      <c r="B135" s="5" t="s">
        <v>259</v>
      </c>
      <c r="C135" s="6" t="s">
        <v>18</v>
      </c>
      <c r="D135" s="8">
        <v>220</v>
      </c>
      <c r="E135" s="8">
        <f>ROUNDDOWN(단가대비표!N115, 0)</f>
        <v>1560</v>
      </c>
      <c r="F135" s="8">
        <f t="shared" si="147"/>
        <v>343200</v>
      </c>
      <c r="G135" s="8"/>
      <c r="H135" s="8">
        <f t="shared" si="148"/>
        <v>0</v>
      </c>
      <c r="I135" s="8"/>
      <c r="J135" s="8">
        <f t="shared" si="149"/>
        <v>0</v>
      </c>
      <c r="K135" s="8">
        <f t="shared" si="145"/>
        <v>1560</v>
      </c>
      <c r="L135" s="8">
        <f t="shared" si="146"/>
        <v>343200</v>
      </c>
      <c r="M135" s="7"/>
      <c r="O135" t="str">
        <f t="shared" si="150"/>
        <v>01</v>
      </c>
      <c r="P135" s="10" t="s">
        <v>361</v>
      </c>
      <c r="Q135">
        <v>1</v>
      </c>
      <c r="R135">
        <f t="shared" si="151"/>
        <v>0</v>
      </c>
      <c r="S135">
        <f t="shared" si="152"/>
        <v>0</v>
      </c>
      <c r="T135">
        <f t="shared" si="153"/>
        <v>0</v>
      </c>
      <c r="U135">
        <f t="shared" si="154"/>
        <v>0</v>
      </c>
      <c r="V135">
        <f t="shared" si="155"/>
        <v>0</v>
      </c>
      <c r="W135">
        <f t="shared" si="156"/>
        <v>0</v>
      </c>
      <c r="X135">
        <f t="shared" si="157"/>
        <v>0</v>
      </c>
      <c r="Y135">
        <f t="shared" si="158"/>
        <v>0</v>
      </c>
      <c r="Z135">
        <f t="shared" si="159"/>
        <v>0</v>
      </c>
      <c r="AA135">
        <f t="shared" si="160"/>
        <v>0</v>
      </c>
      <c r="AB135">
        <f t="shared" si="161"/>
        <v>0</v>
      </c>
      <c r="AC135">
        <f t="shared" si="162"/>
        <v>0</v>
      </c>
      <c r="AD135">
        <f t="shared" si="163"/>
        <v>0</v>
      </c>
      <c r="AE135">
        <f t="shared" si="164"/>
        <v>0</v>
      </c>
      <c r="AF135">
        <f t="shared" si="165"/>
        <v>0</v>
      </c>
      <c r="AG135">
        <f t="shared" si="166"/>
        <v>0</v>
      </c>
      <c r="AH135">
        <f t="shared" si="167"/>
        <v>0</v>
      </c>
      <c r="AI135">
        <f t="shared" si="168"/>
        <v>0</v>
      </c>
      <c r="AJ135">
        <f t="shared" si="169"/>
        <v>0</v>
      </c>
      <c r="AK135">
        <f t="shared" si="170"/>
        <v>0</v>
      </c>
      <c r="AL135">
        <f t="shared" si="171"/>
        <v>0</v>
      </c>
      <c r="AM135">
        <f t="shared" si="172"/>
        <v>0</v>
      </c>
      <c r="AN135">
        <f t="shared" si="173"/>
        <v>0</v>
      </c>
      <c r="AO135">
        <f t="shared" si="174"/>
        <v>0</v>
      </c>
      <c r="AP135">
        <f t="shared" si="175"/>
        <v>0</v>
      </c>
      <c r="AQ135">
        <f t="shared" si="176"/>
        <v>0</v>
      </c>
      <c r="AR135">
        <f t="shared" si="177"/>
        <v>0</v>
      </c>
      <c r="AS135">
        <f t="shared" si="178"/>
        <v>0</v>
      </c>
      <c r="AT135">
        <f t="shared" si="179"/>
        <v>0</v>
      </c>
      <c r="AU135">
        <f t="shared" si="180"/>
        <v>0</v>
      </c>
    </row>
    <row r="136" spans="1:47" ht="21.9" customHeight="1" x14ac:dyDescent="0.4">
      <c r="A136" s="5" t="s">
        <v>693</v>
      </c>
      <c r="B136" s="5" t="s">
        <v>261</v>
      </c>
      <c r="C136" s="6" t="s">
        <v>18</v>
      </c>
      <c r="D136" s="8">
        <v>110</v>
      </c>
      <c r="E136" s="8">
        <f>ROUNDDOWN(단가대비표!N116, 0)</f>
        <v>1870</v>
      </c>
      <c r="F136" s="8">
        <f t="shared" si="147"/>
        <v>205700</v>
      </c>
      <c r="G136" s="8"/>
      <c r="H136" s="8">
        <f t="shared" si="148"/>
        <v>0</v>
      </c>
      <c r="I136" s="8"/>
      <c r="J136" s="8">
        <f t="shared" si="149"/>
        <v>0</v>
      </c>
      <c r="K136" s="8">
        <f t="shared" si="145"/>
        <v>1870</v>
      </c>
      <c r="L136" s="8">
        <f t="shared" si="146"/>
        <v>205700</v>
      </c>
      <c r="M136" s="7"/>
      <c r="O136" t="str">
        <f t="shared" si="150"/>
        <v>01</v>
      </c>
      <c r="P136" s="10" t="s">
        <v>361</v>
      </c>
      <c r="Q136">
        <v>1</v>
      </c>
      <c r="R136">
        <f t="shared" si="151"/>
        <v>0</v>
      </c>
      <c r="S136">
        <f t="shared" si="152"/>
        <v>0</v>
      </c>
      <c r="T136">
        <f t="shared" si="153"/>
        <v>0</v>
      </c>
      <c r="U136">
        <f t="shared" si="154"/>
        <v>0</v>
      </c>
      <c r="V136">
        <f t="shared" si="155"/>
        <v>0</v>
      </c>
      <c r="W136">
        <f t="shared" si="156"/>
        <v>0</v>
      </c>
      <c r="X136">
        <f t="shared" si="157"/>
        <v>0</v>
      </c>
      <c r="Y136">
        <f t="shared" si="158"/>
        <v>0</v>
      </c>
      <c r="Z136">
        <f t="shared" si="159"/>
        <v>0</v>
      </c>
      <c r="AA136">
        <f t="shared" si="160"/>
        <v>0</v>
      </c>
      <c r="AB136">
        <f t="shared" si="161"/>
        <v>0</v>
      </c>
      <c r="AC136">
        <f t="shared" si="162"/>
        <v>0</v>
      </c>
      <c r="AD136">
        <f t="shared" si="163"/>
        <v>0</v>
      </c>
      <c r="AE136">
        <f t="shared" si="164"/>
        <v>0</v>
      </c>
      <c r="AF136">
        <f t="shared" si="165"/>
        <v>0</v>
      </c>
      <c r="AG136">
        <f t="shared" si="166"/>
        <v>0</v>
      </c>
      <c r="AH136">
        <f t="shared" si="167"/>
        <v>0</v>
      </c>
      <c r="AI136">
        <f t="shared" si="168"/>
        <v>0</v>
      </c>
      <c r="AJ136">
        <f t="shared" si="169"/>
        <v>0</v>
      </c>
      <c r="AK136">
        <f t="shared" si="170"/>
        <v>0</v>
      </c>
      <c r="AL136">
        <f t="shared" si="171"/>
        <v>0</v>
      </c>
      <c r="AM136">
        <f t="shared" si="172"/>
        <v>0</v>
      </c>
      <c r="AN136">
        <f t="shared" si="173"/>
        <v>0</v>
      </c>
      <c r="AO136">
        <f t="shared" si="174"/>
        <v>0</v>
      </c>
      <c r="AP136">
        <f t="shared" si="175"/>
        <v>0</v>
      </c>
      <c r="AQ136">
        <f t="shared" si="176"/>
        <v>0</v>
      </c>
      <c r="AR136">
        <f t="shared" si="177"/>
        <v>0</v>
      </c>
      <c r="AS136">
        <f t="shared" si="178"/>
        <v>0</v>
      </c>
      <c r="AT136">
        <f t="shared" si="179"/>
        <v>0</v>
      </c>
      <c r="AU136">
        <f t="shared" si="180"/>
        <v>0</v>
      </c>
    </row>
    <row r="137" spans="1:47" ht="21.9" customHeight="1" x14ac:dyDescent="0.4">
      <c r="A137" s="5" t="s">
        <v>694</v>
      </c>
      <c r="B137" s="5" t="s">
        <v>113</v>
      </c>
      <c r="C137" s="6" t="s">
        <v>18</v>
      </c>
      <c r="D137" s="8">
        <v>330</v>
      </c>
      <c r="E137" s="8">
        <f>ROUNDDOWN(단가대비표!N46, 0)</f>
        <v>830</v>
      </c>
      <c r="F137" s="8">
        <f t="shared" si="147"/>
        <v>273900</v>
      </c>
      <c r="G137" s="8"/>
      <c r="H137" s="8">
        <f t="shared" si="148"/>
        <v>0</v>
      </c>
      <c r="I137" s="8"/>
      <c r="J137" s="8">
        <f t="shared" si="149"/>
        <v>0</v>
      </c>
      <c r="K137" s="8">
        <f t="shared" si="145"/>
        <v>830</v>
      </c>
      <c r="L137" s="8">
        <f t="shared" si="146"/>
        <v>273900</v>
      </c>
      <c r="M137" s="7"/>
      <c r="O137" t="str">
        <f t="shared" si="150"/>
        <v>01</v>
      </c>
      <c r="P137" s="10" t="s">
        <v>361</v>
      </c>
      <c r="Q137">
        <v>1</v>
      </c>
      <c r="R137">
        <f t="shared" si="151"/>
        <v>0</v>
      </c>
      <c r="S137">
        <f t="shared" si="152"/>
        <v>0</v>
      </c>
      <c r="T137">
        <f t="shared" si="153"/>
        <v>0</v>
      </c>
      <c r="U137">
        <f t="shared" si="154"/>
        <v>0</v>
      </c>
      <c r="V137">
        <f t="shared" si="155"/>
        <v>0</v>
      </c>
      <c r="W137">
        <f t="shared" si="156"/>
        <v>0</v>
      </c>
      <c r="X137">
        <f t="shared" si="157"/>
        <v>0</v>
      </c>
      <c r="Y137">
        <f t="shared" si="158"/>
        <v>0</v>
      </c>
      <c r="Z137">
        <f t="shared" si="159"/>
        <v>0</v>
      </c>
      <c r="AA137">
        <f t="shared" si="160"/>
        <v>0</v>
      </c>
      <c r="AB137">
        <f t="shared" si="161"/>
        <v>0</v>
      </c>
      <c r="AC137">
        <f t="shared" si="162"/>
        <v>0</v>
      </c>
      <c r="AD137">
        <f t="shared" si="163"/>
        <v>0</v>
      </c>
      <c r="AE137">
        <f t="shared" si="164"/>
        <v>0</v>
      </c>
      <c r="AF137">
        <f t="shared" si="165"/>
        <v>0</v>
      </c>
      <c r="AG137">
        <f t="shared" si="166"/>
        <v>0</v>
      </c>
      <c r="AH137">
        <f t="shared" si="167"/>
        <v>0</v>
      </c>
      <c r="AI137">
        <f t="shared" si="168"/>
        <v>0</v>
      </c>
      <c r="AJ137">
        <f t="shared" si="169"/>
        <v>0</v>
      </c>
      <c r="AK137">
        <f t="shared" si="170"/>
        <v>0</v>
      </c>
      <c r="AL137">
        <f t="shared" si="171"/>
        <v>0</v>
      </c>
      <c r="AM137">
        <f t="shared" si="172"/>
        <v>0</v>
      </c>
      <c r="AN137">
        <f t="shared" si="173"/>
        <v>0</v>
      </c>
      <c r="AO137">
        <f t="shared" si="174"/>
        <v>0</v>
      </c>
      <c r="AP137">
        <f t="shared" si="175"/>
        <v>0</v>
      </c>
      <c r="AQ137">
        <f t="shared" si="176"/>
        <v>0</v>
      </c>
      <c r="AR137">
        <f t="shared" si="177"/>
        <v>0</v>
      </c>
      <c r="AS137">
        <f t="shared" si="178"/>
        <v>0</v>
      </c>
      <c r="AT137">
        <f t="shared" si="179"/>
        <v>0</v>
      </c>
      <c r="AU137">
        <f t="shared" si="180"/>
        <v>0</v>
      </c>
    </row>
    <row r="138" spans="1:47" ht="21.9" customHeight="1" x14ac:dyDescent="0.4">
      <c r="A138" s="5" t="s">
        <v>695</v>
      </c>
      <c r="B138" s="5" t="s">
        <v>132</v>
      </c>
      <c r="C138" s="6" t="s">
        <v>78</v>
      </c>
      <c r="D138" s="8">
        <v>12500</v>
      </c>
      <c r="E138" s="8">
        <f>ROUNDDOWN(단가대비표!N56, 0)</f>
        <v>120</v>
      </c>
      <c r="F138" s="8">
        <f t="shared" si="147"/>
        <v>1500000</v>
      </c>
      <c r="G138" s="8"/>
      <c r="H138" s="8">
        <f t="shared" si="148"/>
        <v>0</v>
      </c>
      <c r="I138" s="8"/>
      <c r="J138" s="8">
        <f t="shared" si="149"/>
        <v>0</v>
      </c>
      <c r="K138" s="8">
        <f t="shared" si="145"/>
        <v>120</v>
      </c>
      <c r="L138" s="8">
        <f t="shared" si="146"/>
        <v>1500000</v>
      </c>
      <c r="M138" s="7"/>
      <c r="O138" t="str">
        <f t="shared" si="150"/>
        <v>01</v>
      </c>
      <c r="P138" s="10" t="s">
        <v>361</v>
      </c>
      <c r="Q138">
        <v>1</v>
      </c>
      <c r="R138">
        <f t="shared" si="151"/>
        <v>0</v>
      </c>
      <c r="S138">
        <f t="shared" si="152"/>
        <v>0</v>
      </c>
      <c r="T138">
        <f t="shared" si="153"/>
        <v>0</v>
      </c>
      <c r="U138">
        <f t="shared" si="154"/>
        <v>0</v>
      </c>
      <c r="V138">
        <f t="shared" si="155"/>
        <v>0</v>
      </c>
      <c r="W138">
        <f t="shared" si="156"/>
        <v>0</v>
      </c>
      <c r="X138">
        <f t="shared" si="157"/>
        <v>0</v>
      </c>
      <c r="Y138">
        <f t="shared" si="158"/>
        <v>0</v>
      </c>
      <c r="Z138">
        <f t="shared" si="159"/>
        <v>0</v>
      </c>
      <c r="AA138">
        <f t="shared" si="160"/>
        <v>0</v>
      </c>
      <c r="AB138">
        <f t="shared" si="161"/>
        <v>0</v>
      </c>
      <c r="AC138">
        <f t="shared" si="162"/>
        <v>0</v>
      </c>
      <c r="AD138">
        <f t="shared" si="163"/>
        <v>0</v>
      </c>
      <c r="AE138">
        <f t="shared" si="164"/>
        <v>0</v>
      </c>
      <c r="AF138">
        <f t="shared" si="165"/>
        <v>0</v>
      </c>
      <c r="AG138">
        <f t="shared" si="166"/>
        <v>0</v>
      </c>
      <c r="AH138">
        <f t="shared" si="167"/>
        <v>0</v>
      </c>
      <c r="AI138">
        <f t="shared" si="168"/>
        <v>0</v>
      </c>
      <c r="AJ138">
        <f t="shared" si="169"/>
        <v>0</v>
      </c>
      <c r="AK138">
        <f t="shared" si="170"/>
        <v>0</v>
      </c>
      <c r="AL138">
        <f t="shared" si="171"/>
        <v>0</v>
      </c>
      <c r="AM138">
        <f t="shared" si="172"/>
        <v>0</v>
      </c>
      <c r="AN138">
        <f t="shared" si="173"/>
        <v>0</v>
      </c>
      <c r="AO138">
        <f t="shared" si="174"/>
        <v>0</v>
      </c>
      <c r="AP138">
        <f t="shared" si="175"/>
        <v>0</v>
      </c>
      <c r="AQ138">
        <f t="shared" si="176"/>
        <v>0</v>
      </c>
      <c r="AR138">
        <f t="shared" si="177"/>
        <v>0</v>
      </c>
      <c r="AS138">
        <f t="shared" si="178"/>
        <v>0</v>
      </c>
      <c r="AT138">
        <f t="shared" si="179"/>
        <v>0</v>
      </c>
      <c r="AU138">
        <f t="shared" si="180"/>
        <v>0</v>
      </c>
    </row>
    <row r="139" spans="1:47" ht="21.9" customHeight="1" x14ac:dyDescent="0.4">
      <c r="A139" s="5" t="s">
        <v>696</v>
      </c>
      <c r="B139" s="5" t="s">
        <v>132</v>
      </c>
      <c r="C139" s="6" t="s">
        <v>78</v>
      </c>
      <c r="D139" s="8">
        <v>11500</v>
      </c>
      <c r="E139" s="8">
        <f>ROUNDDOWN(단가대비표!N79, 0)</f>
        <v>120</v>
      </c>
      <c r="F139" s="8">
        <f t="shared" si="147"/>
        <v>1380000</v>
      </c>
      <c r="G139" s="8"/>
      <c r="H139" s="8">
        <f t="shared" si="148"/>
        <v>0</v>
      </c>
      <c r="I139" s="8"/>
      <c r="J139" s="8">
        <f t="shared" si="149"/>
        <v>0</v>
      </c>
      <c r="K139" s="8">
        <f t="shared" si="145"/>
        <v>120</v>
      </c>
      <c r="L139" s="8">
        <f t="shared" si="146"/>
        <v>1380000</v>
      </c>
      <c r="M139" s="7"/>
      <c r="O139" t="str">
        <f t="shared" si="150"/>
        <v>01</v>
      </c>
      <c r="P139" s="10" t="s">
        <v>361</v>
      </c>
      <c r="Q139">
        <v>1</v>
      </c>
      <c r="R139">
        <f t="shared" si="151"/>
        <v>0</v>
      </c>
      <c r="S139">
        <f t="shared" si="152"/>
        <v>0</v>
      </c>
      <c r="T139">
        <f t="shared" si="153"/>
        <v>0</v>
      </c>
      <c r="U139">
        <f t="shared" si="154"/>
        <v>0</v>
      </c>
      <c r="V139">
        <f t="shared" si="155"/>
        <v>0</v>
      </c>
      <c r="W139">
        <f t="shared" si="156"/>
        <v>0</v>
      </c>
      <c r="X139">
        <f t="shared" si="157"/>
        <v>0</v>
      </c>
      <c r="Y139">
        <f t="shared" si="158"/>
        <v>0</v>
      </c>
      <c r="Z139">
        <f t="shared" si="159"/>
        <v>0</v>
      </c>
      <c r="AA139">
        <f t="shared" si="160"/>
        <v>0</v>
      </c>
      <c r="AB139">
        <f t="shared" si="161"/>
        <v>0</v>
      </c>
      <c r="AC139">
        <f t="shared" si="162"/>
        <v>0</v>
      </c>
      <c r="AD139">
        <f t="shared" si="163"/>
        <v>0</v>
      </c>
      <c r="AE139">
        <f t="shared" si="164"/>
        <v>0</v>
      </c>
      <c r="AF139">
        <f t="shared" si="165"/>
        <v>0</v>
      </c>
      <c r="AG139">
        <f t="shared" si="166"/>
        <v>0</v>
      </c>
      <c r="AH139">
        <f t="shared" si="167"/>
        <v>0</v>
      </c>
      <c r="AI139">
        <f t="shared" si="168"/>
        <v>0</v>
      </c>
      <c r="AJ139">
        <f t="shared" si="169"/>
        <v>0</v>
      </c>
      <c r="AK139">
        <f t="shared" si="170"/>
        <v>0</v>
      </c>
      <c r="AL139">
        <f t="shared" si="171"/>
        <v>0</v>
      </c>
      <c r="AM139">
        <f t="shared" si="172"/>
        <v>0</v>
      </c>
      <c r="AN139">
        <f t="shared" si="173"/>
        <v>0</v>
      </c>
      <c r="AO139">
        <f t="shared" si="174"/>
        <v>0</v>
      </c>
      <c r="AP139">
        <f t="shared" si="175"/>
        <v>0</v>
      </c>
      <c r="AQ139">
        <f t="shared" si="176"/>
        <v>0</v>
      </c>
      <c r="AR139">
        <f t="shared" si="177"/>
        <v>0</v>
      </c>
      <c r="AS139">
        <f t="shared" si="178"/>
        <v>0</v>
      </c>
      <c r="AT139">
        <f t="shared" si="179"/>
        <v>0</v>
      </c>
      <c r="AU139">
        <f t="shared" si="180"/>
        <v>0</v>
      </c>
    </row>
    <row r="140" spans="1:47" ht="21.9" customHeight="1" x14ac:dyDescent="0.4">
      <c r="A140" s="5" t="s">
        <v>697</v>
      </c>
      <c r="B140" s="5" t="s">
        <v>187</v>
      </c>
      <c r="C140" s="6" t="s">
        <v>18</v>
      </c>
      <c r="D140" s="8">
        <v>1000</v>
      </c>
      <c r="E140" s="8">
        <f>ROUNDDOWN(단가대비표!N80, 0)</f>
        <v>1560</v>
      </c>
      <c r="F140" s="8">
        <f t="shared" si="147"/>
        <v>1560000</v>
      </c>
      <c r="G140" s="8"/>
      <c r="H140" s="8">
        <f t="shared" si="148"/>
        <v>0</v>
      </c>
      <c r="I140" s="8"/>
      <c r="J140" s="8">
        <f t="shared" si="149"/>
        <v>0</v>
      </c>
      <c r="K140" s="8">
        <f t="shared" si="145"/>
        <v>1560</v>
      </c>
      <c r="L140" s="8">
        <f t="shared" si="146"/>
        <v>1560000</v>
      </c>
      <c r="M140" s="7"/>
      <c r="O140" t="str">
        <f t="shared" si="150"/>
        <v>01</v>
      </c>
      <c r="P140" s="10" t="s">
        <v>361</v>
      </c>
      <c r="Q140">
        <v>1</v>
      </c>
      <c r="R140">
        <f t="shared" si="151"/>
        <v>0</v>
      </c>
      <c r="S140">
        <f t="shared" si="152"/>
        <v>0</v>
      </c>
      <c r="T140">
        <f t="shared" si="153"/>
        <v>0</v>
      </c>
      <c r="U140">
        <f t="shared" si="154"/>
        <v>0</v>
      </c>
      <c r="V140">
        <f t="shared" si="155"/>
        <v>0</v>
      </c>
      <c r="W140">
        <f t="shared" si="156"/>
        <v>0</v>
      </c>
      <c r="X140">
        <f t="shared" si="157"/>
        <v>0</v>
      </c>
      <c r="Y140">
        <f t="shared" si="158"/>
        <v>0</v>
      </c>
      <c r="Z140">
        <f t="shared" si="159"/>
        <v>0</v>
      </c>
      <c r="AA140">
        <f t="shared" si="160"/>
        <v>0</v>
      </c>
      <c r="AB140">
        <f t="shared" si="161"/>
        <v>0</v>
      </c>
      <c r="AC140">
        <f t="shared" si="162"/>
        <v>0</v>
      </c>
      <c r="AD140">
        <f t="shared" si="163"/>
        <v>0</v>
      </c>
      <c r="AE140">
        <f t="shared" si="164"/>
        <v>0</v>
      </c>
      <c r="AF140">
        <f t="shared" si="165"/>
        <v>0</v>
      </c>
      <c r="AG140">
        <f t="shared" si="166"/>
        <v>0</v>
      </c>
      <c r="AH140">
        <f t="shared" si="167"/>
        <v>0</v>
      </c>
      <c r="AI140">
        <f t="shared" si="168"/>
        <v>0</v>
      </c>
      <c r="AJ140">
        <f t="shared" si="169"/>
        <v>0</v>
      </c>
      <c r="AK140">
        <f t="shared" si="170"/>
        <v>0</v>
      </c>
      <c r="AL140">
        <f t="shared" si="171"/>
        <v>0</v>
      </c>
      <c r="AM140">
        <f t="shared" si="172"/>
        <v>0</v>
      </c>
      <c r="AN140">
        <f t="shared" si="173"/>
        <v>0</v>
      </c>
      <c r="AO140">
        <f t="shared" si="174"/>
        <v>0</v>
      </c>
      <c r="AP140">
        <f t="shared" si="175"/>
        <v>0</v>
      </c>
      <c r="AQ140">
        <f t="shared" si="176"/>
        <v>0</v>
      </c>
      <c r="AR140">
        <f t="shared" si="177"/>
        <v>0</v>
      </c>
      <c r="AS140">
        <f t="shared" si="178"/>
        <v>0</v>
      </c>
      <c r="AT140">
        <f t="shared" si="179"/>
        <v>0</v>
      </c>
      <c r="AU140">
        <f t="shared" si="180"/>
        <v>0</v>
      </c>
    </row>
    <row r="141" spans="1:47" ht="21.9" customHeight="1" x14ac:dyDescent="0.4">
      <c r="A141" s="5" t="s">
        <v>698</v>
      </c>
      <c r="B141" s="7"/>
      <c r="C141" s="6" t="s">
        <v>18</v>
      </c>
      <c r="D141" s="8">
        <v>8</v>
      </c>
      <c r="E141" s="8">
        <f>ROUNDDOWN(단가대비표!N86, 0)</f>
        <v>4680</v>
      </c>
      <c r="F141" s="8">
        <f t="shared" si="147"/>
        <v>37440</v>
      </c>
      <c r="G141" s="8"/>
      <c r="H141" s="8">
        <f t="shared" si="148"/>
        <v>0</v>
      </c>
      <c r="I141" s="8"/>
      <c r="J141" s="8">
        <f t="shared" si="149"/>
        <v>0</v>
      </c>
      <c r="K141" s="8">
        <f t="shared" si="145"/>
        <v>4680</v>
      </c>
      <c r="L141" s="8">
        <f t="shared" si="146"/>
        <v>37440</v>
      </c>
      <c r="M141" s="7"/>
      <c r="O141" t="str">
        <f t="shared" si="150"/>
        <v>01</v>
      </c>
      <c r="P141" s="10" t="s">
        <v>361</v>
      </c>
      <c r="Q141">
        <v>1</v>
      </c>
      <c r="R141">
        <f t="shared" si="151"/>
        <v>0</v>
      </c>
      <c r="S141">
        <f t="shared" si="152"/>
        <v>0</v>
      </c>
      <c r="T141">
        <f t="shared" si="153"/>
        <v>0</v>
      </c>
      <c r="U141">
        <f t="shared" si="154"/>
        <v>0</v>
      </c>
      <c r="V141">
        <f t="shared" si="155"/>
        <v>0</v>
      </c>
      <c r="W141">
        <f t="shared" si="156"/>
        <v>0</v>
      </c>
      <c r="X141">
        <f t="shared" si="157"/>
        <v>0</v>
      </c>
      <c r="Y141">
        <f t="shared" si="158"/>
        <v>0</v>
      </c>
      <c r="Z141">
        <f t="shared" si="159"/>
        <v>0</v>
      </c>
      <c r="AA141">
        <f t="shared" si="160"/>
        <v>0</v>
      </c>
      <c r="AB141">
        <f t="shared" si="161"/>
        <v>0</v>
      </c>
      <c r="AC141">
        <f t="shared" si="162"/>
        <v>0</v>
      </c>
      <c r="AD141">
        <f t="shared" si="163"/>
        <v>0</v>
      </c>
      <c r="AE141">
        <f t="shared" si="164"/>
        <v>0</v>
      </c>
      <c r="AF141">
        <f t="shared" si="165"/>
        <v>0</v>
      </c>
      <c r="AG141">
        <f t="shared" si="166"/>
        <v>0</v>
      </c>
      <c r="AH141">
        <f t="shared" si="167"/>
        <v>0</v>
      </c>
      <c r="AI141">
        <f t="shared" si="168"/>
        <v>0</v>
      </c>
      <c r="AJ141">
        <f t="shared" si="169"/>
        <v>0</v>
      </c>
      <c r="AK141">
        <f t="shared" si="170"/>
        <v>0</v>
      </c>
      <c r="AL141">
        <f t="shared" si="171"/>
        <v>0</v>
      </c>
      <c r="AM141">
        <f t="shared" si="172"/>
        <v>0</v>
      </c>
      <c r="AN141">
        <f t="shared" si="173"/>
        <v>0</v>
      </c>
      <c r="AO141">
        <f t="shared" si="174"/>
        <v>0</v>
      </c>
      <c r="AP141">
        <f t="shared" si="175"/>
        <v>0</v>
      </c>
      <c r="AQ141">
        <f t="shared" si="176"/>
        <v>0</v>
      </c>
      <c r="AR141">
        <f t="shared" si="177"/>
        <v>0</v>
      </c>
      <c r="AS141">
        <f t="shared" si="178"/>
        <v>0</v>
      </c>
      <c r="AT141">
        <f t="shared" si="179"/>
        <v>0</v>
      </c>
      <c r="AU141">
        <f t="shared" si="180"/>
        <v>0</v>
      </c>
    </row>
    <row r="142" spans="1:47" ht="21.9" customHeight="1" x14ac:dyDescent="0.4">
      <c r="A142" s="5" t="s">
        <v>699</v>
      </c>
      <c r="B142" s="7"/>
      <c r="C142" s="6" t="s">
        <v>18</v>
      </c>
      <c r="D142" s="8">
        <v>16</v>
      </c>
      <c r="E142" s="8">
        <f>ROUNDDOWN(단가대비표!N81, 0)</f>
        <v>520</v>
      </c>
      <c r="F142" s="8">
        <f t="shared" si="147"/>
        <v>8320</v>
      </c>
      <c r="G142" s="8"/>
      <c r="H142" s="8">
        <f t="shared" si="148"/>
        <v>0</v>
      </c>
      <c r="I142" s="8"/>
      <c r="J142" s="8">
        <f t="shared" si="149"/>
        <v>0</v>
      </c>
      <c r="K142" s="8">
        <f t="shared" si="145"/>
        <v>520</v>
      </c>
      <c r="L142" s="8">
        <f t="shared" si="146"/>
        <v>8320</v>
      </c>
      <c r="M142" s="7"/>
      <c r="O142" t="str">
        <f t="shared" si="150"/>
        <v>01</v>
      </c>
      <c r="P142" s="10" t="s">
        <v>361</v>
      </c>
      <c r="Q142">
        <v>1</v>
      </c>
      <c r="R142">
        <f t="shared" si="151"/>
        <v>0</v>
      </c>
      <c r="S142">
        <f t="shared" si="152"/>
        <v>0</v>
      </c>
      <c r="T142">
        <f t="shared" si="153"/>
        <v>0</v>
      </c>
      <c r="U142">
        <f t="shared" si="154"/>
        <v>0</v>
      </c>
      <c r="V142">
        <f t="shared" si="155"/>
        <v>0</v>
      </c>
      <c r="W142">
        <f t="shared" si="156"/>
        <v>0</v>
      </c>
      <c r="X142">
        <f t="shared" si="157"/>
        <v>0</v>
      </c>
      <c r="Y142">
        <f t="shared" si="158"/>
        <v>0</v>
      </c>
      <c r="Z142">
        <f t="shared" si="159"/>
        <v>0</v>
      </c>
      <c r="AA142">
        <f t="shared" si="160"/>
        <v>0</v>
      </c>
      <c r="AB142">
        <f t="shared" si="161"/>
        <v>0</v>
      </c>
      <c r="AC142">
        <f t="shared" si="162"/>
        <v>0</v>
      </c>
      <c r="AD142">
        <f t="shared" si="163"/>
        <v>0</v>
      </c>
      <c r="AE142">
        <f t="shared" si="164"/>
        <v>0</v>
      </c>
      <c r="AF142">
        <f t="shared" si="165"/>
        <v>0</v>
      </c>
      <c r="AG142">
        <f t="shared" si="166"/>
        <v>0</v>
      </c>
      <c r="AH142">
        <f t="shared" si="167"/>
        <v>0</v>
      </c>
      <c r="AI142">
        <f t="shared" si="168"/>
        <v>0</v>
      </c>
      <c r="AJ142">
        <f t="shared" si="169"/>
        <v>0</v>
      </c>
      <c r="AK142">
        <f t="shared" si="170"/>
        <v>0</v>
      </c>
      <c r="AL142">
        <f t="shared" si="171"/>
        <v>0</v>
      </c>
      <c r="AM142">
        <f t="shared" si="172"/>
        <v>0</v>
      </c>
      <c r="AN142">
        <f t="shared" si="173"/>
        <v>0</v>
      </c>
      <c r="AO142">
        <f t="shared" si="174"/>
        <v>0</v>
      </c>
      <c r="AP142">
        <f t="shared" si="175"/>
        <v>0</v>
      </c>
      <c r="AQ142">
        <f t="shared" si="176"/>
        <v>0</v>
      </c>
      <c r="AR142">
        <f t="shared" si="177"/>
        <v>0</v>
      </c>
      <c r="AS142">
        <f t="shared" si="178"/>
        <v>0</v>
      </c>
      <c r="AT142">
        <f t="shared" si="179"/>
        <v>0</v>
      </c>
      <c r="AU142">
        <f t="shared" si="180"/>
        <v>0</v>
      </c>
    </row>
    <row r="143" spans="1:47" ht="21.9" customHeight="1" x14ac:dyDescent="0.4">
      <c r="A143" s="5" t="s">
        <v>666</v>
      </c>
      <c r="B143" s="5" t="s">
        <v>113</v>
      </c>
      <c r="C143" s="6" t="s">
        <v>18</v>
      </c>
      <c r="D143" s="8">
        <v>2000</v>
      </c>
      <c r="E143" s="8">
        <f>ROUNDDOWN(단가대비표!N129, 0)</f>
        <v>160</v>
      </c>
      <c r="F143" s="8">
        <f t="shared" si="147"/>
        <v>320000</v>
      </c>
      <c r="G143" s="8"/>
      <c r="H143" s="8">
        <f t="shared" si="148"/>
        <v>0</v>
      </c>
      <c r="I143" s="8"/>
      <c r="J143" s="8">
        <f t="shared" si="149"/>
        <v>0</v>
      </c>
      <c r="K143" s="8">
        <f t="shared" si="145"/>
        <v>160</v>
      </c>
      <c r="L143" s="8">
        <f t="shared" si="146"/>
        <v>320000</v>
      </c>
      <c r="M143" s="7"/>
      <c r="O143" t="str">
        <f t="shared" si="150"/>
        <v>01</v>
      </c>
      <c r="P143" s="10" t="s">
        <v>361</v>
      </c>
      <c r="Q143">
        <v>1</v>
      </c>
      <c r="R143">
        <f t="shared" si="151"/>
        <v>0</v>
      </c>
      <c r="S143">
        <f t="shared" si="152"/>
        <v>0</v>
      </c>
      <c r="T143">
        <f t="shared" si="153"/>
        <v>0</v>
      </c>
      <c r="U143">
        <f t="shared" si="154"/>
        <v>0</v>
      </c>
      <c r="V143">
        <f t="shared" si="155"/>
        <v>0</v>
      </c>
      <c r="W143">
        <f t="shared" si="156"/>
        <v>0</v>
      </c>
      <c r="X143">
        <f t="shared" si="157"/>
        <v>0</v>
      </c>
      <c r="Y143">
        <f t="shared" si="158"/>
        <v>0</v>
      </c>
      <c r="Z143">
        <f t="shared" si="159"/>
        <v>0</v>
      </c>
      <c r="AA143">
        <f t="shared" si="160"/>
        <v>0</v>
      </c>
      <c r="AB143">
        <f t="shared" si="161"/>
        <v>0</v>
      </c>
      <c r="AC143">
        <f t="shared" si="162"/>
        <v>0</v>
      </c>
      <c r="AD143">
        <f t="shared" si="163"/>
        <v>0</v>
      </c>
      <c r="AE143">
        <f t="shared" si="164"/>
        <v>0</v>
      </c>
      <c r="AF143">
        <f t="shared" si="165"/>
        <v>0</v>
      </c>
      <c r="AG143">
        <f t="shared" si="166"/>
        <v>0</v>
      </c>
      <c r="AH143">
        <f t="shared" si="167"/>
        <v>0</v>
      </c>
      <c r="AI143">
        <f t="shared" si="168"/>
        <v>0</v>
      </c>
      <c r="AJ143">
        <f t="shared" si="169"/>
        <v>0</v>
      </c>
      <c r="AK143">
        <f t="shared" si="170"/>
        <v>0</v>
      </c>
      <c r="AL143">
        <f t="shared" si="171"/>
        <v>0</v>
      </c>
      <c r="AM143">
        <f t="shared" si="172"/>
        <v>0</v>
      </c>
      <c r="AN143">
        <f t="shared" si="173"/>
        <v>0</v>
      </c>
      <c r="AO143">
        <f t="shared" si="174"/>
        <v>0</v>
      </c>
      <c r="AP143">
        <f t="shared" si="175"/>
        <v>0</v>
      </c>
      <c r="AQ143">
        <f t="shared" si="176"/>
        <v>0</v>
      </c>
      <c r="AR143">
        <f t="shared" si="177"/>
        <v>0</v>
      </c>
      <c r="AS143">
        <f t="shared" si="178"/>
        <v>0</v>
      </c>
      <c r="AT143">
        <f t="shared" si="179"/>
        <v>0</v>
      </c>
      <c r="AU143">
        <f t="shared" si="180"/>
        <v>0</v>
      </c>
    </row>
    <row r="144" spans="1:47" ht="21.9" customHeight="1" x14ac:dyDescent="0.4">
      <c r="A144" s="5" t="s">
        <v>666</v>
      </c>
      <c r="B144" s="5" t="s">
        <v>150</v>
      </c>
      <c r="C144" s="6" t="s">
        <v>18</v>
      </c>
      <c r="D144" s="8">
        <v>2480</v>
      </c>
      <c r="E144" s="8">
        <f>ROUNDDOWN(단가대비표!N128, 0)</f>
        <v>110</v>
      </c>
      <c r="F144" s="8">
        <f t="shared" si="147"/>
        <v>272800</v>
      </c>
      <c r="G144" s="8"/>
      <c r="H144" s="8">
        <f t="shared" si="148"/>
        <v>0</v>
      </c>
      <c r="I144" s="8"/>
      <c r="J144" s="8">
        <f t="shared" si="149"/>
        <v>0</v>
      </c>
      <c r="K144" s="8">
        <f t="shared" si="145"/>
        <v>110</v>
      </c>
      <c r="L144" s="8">
        <f t="shared" si="146"/>
        <v>272800</v>
      </c>
      <c r="M144" s="7"/>
      <c r="O144" t="str">
        <f t="shared" si="150"/>
        <v>01</v>
      </c>
      <c r="P144" s="10" t="s">
        <v>361</v>
      </c>
      <c r="Q144">
        <v>1</v>
      </c>
      <c r="R144">
        <f t="shared" si="151"/>
        <v>0</v>
      </c>
      <c r="S144">
        <f t="shared" si="152"/>
        <v>0</v>
      </c>
      <c r="T144">
        <f t="shared" si="153"/>
        <v>0</v>
      </c>
      <c r="U144">
        <f t="shared" si="154"/>
        <v>0</v>
      </c>
      <c r="V144">
        <f t="shared" si="155"/>
        <v>0</v>
      </c>
      <c r="W144">
        <f t="shared" si="156"/>
        <v>0</v>
      </c>
      <c r="X144">
        <f t="shared" si="157"/>
        <v>0</v>
      </c>
      <c r="Y144">
        <f t="shared" si="158"/>
        <v>0</v>
      </c>
      <c r="Z144">
        <f t="shared" si="159"/>
        <v>0</v>
      </c>
      <c r="AA144">
        <f t="shared" si="160"/>
        <v>0</v>
      </c>
      <c r="AB144">
        <f t="shared" si="161"/>
        <v>0</v>
      </c>
      <c r="AC144">
        <f t="shared" si="162"/>
        <v>0</v>
      </c>
      <c r="AD144">
        <f t="shared" si="163"/>
        <v>0</v>
      </c>
      <c r="AE144">
        <f t="shared" si="164"/>
        <v>0</v>
      </c>
      <c r="AF144">
        <f t="shared" si="165"/>
        <v>0</v>
      </c>
      <c r="AG144">
        <f t="shared" si="166"/>
        <v>0</v>
      </c>
      <c r="AH144">
        <f t="shared" si="167"/>
        <v>0</v>
      </c>
      <c r="AI144">
        <f t="shared" si="168"/>
        <v>0</v>
      </c>
      <c r="AJ144">
        <f t="shared" si="169"/>
        <v>0</v>
      </c>
      <c r="AK144">
        <f t="shared" si="170"/>
        <v>0</v>
      </c>
      <c r="AL144">
        <f t="shared" si="171"/>
        <v>0</v>
      </c>
      <c r="AM144">
        <f t="shared" si="172"/>
        <v>0</v>
      </c>
      <c r="AN144">
        <f t="shared" si="173"/>
        <v>0</v>
      </c>
      <c r="AO144">
        <f t="shared" si="174"/>
        <v>0</v>
      </c>
      <c r="AP144">
        <f t="shared" si="175"/>
        <v>0</v>
      </c>
      <c r="AQ144">
        <f t="shared" si="176"/>
        <v>0</v>
      </c>
      <c r="AR144">
        <f t="shared" si="177"/>
        <v>0</v>
      </c>
      <c r="AS144">
        <f t="shared" si="178"/>
        <v>0</v>
      </c>
      <c r="AT144">
        <f t="shared" si="179"/>
        <v>0</v>
      </c>
      <c r="AU144">
        <f t="shared" si="180"/>
        <v>0</v>
      </c>
    </row>
    <row r="145" spans="1:51" ht="21.9" customHeight="1" x14ac:dyDescent="0.4">
      <c r="A145" s="5" t="s">
        <v>715</v>
      </c>
      <c r="B145" s="5" t="s">
        <v>171</v>
      </c>
      <c r="C145" s="6" t="s">
        <v>21</v>
      </c>
      <c r="D145" s="8">
        <v>18</v>
      </c>
      <c r="E145" s="8">
        <f>ROUNDDOWN(단가대비표!N73, 0)</f>
        <v>1414400</v>
      </c>
      <c r="F145" s="8">
        <f t="shared" si="147"/>
        <v>25459200</v>
      </c>
      <c r="G145" s="8"/>
      <c r="H145" s="8">
        <f t="shared" si="148"/>
        <v>0</v>
      </c>
      <c r="I145" s="8"/>
      <c r="J145" s="8">
        <f t="shared" si="149"/>
        <v>0</v>
      </c>
      <c r="K145" s="8">
        <f t="shared" si="145"/>
        <v>1414400</v>
      </c>
      <c r="L145" s="8">
        <f t="shared" si="146"/>
        <v>25459200</v>
      </c>
      <c r="M145" s="7"/>
      <c r="O145" t="str">
        <f t="shared" si="150"/>
        <v>01</v>
      </c>
      <c r="P145" s="10" t="s">
        <v>361</v>
      </c>
      <c r="Q145">
        <v>1</v>
      </c>
      <c r="R145">
        <f t="shared" si="151"/>
        <v>0</v>
      </c>
      <c r="S145">
        <f t="shared" si="152"/>
        <v>0</v>
      </c>
      <c r="T145">
        <f t="shared" si="153"/>
        <v>0</v>
      </c>
      <c r="U145">
        <f t="shared" si="154"/>
        <v>0</v>
      </c>
      <c r="V145">
        <f t="shared" si="155"/>
        <v>0</v>
      </c>
      <c r="W145">
        <f t="shared" si="156"/>
        <v>0</v>
      </c>
      <c r="X145">
        <f t="shared" si="157"/>
        <v>0</v>
      </c>
      <c r="Y145">
        <f t="shared" si="158"/>
        <v>0</v>
      </c>
      <c r="Z145">
        <f t="shared" si="159"/>
        <v>0</v>
      </c>
      <c r="AA145">
        <f t="shared" si="160"/>
        <v>0</v>
      </c>
      <c r="AB145">
        <f t="shared" si="161"/>
        <v>0</v>
      </c>
      <c r="AC145">
        <f t="shared" si="162"/>
        <v>0</v>
      </c>
      <c r="AD145">
        <f t="shared" si="163"/>
        <v>0</v>
      </c>
      <c r="AE145">
        <f t="shared" si="164"/>
        <v>0</v>
      </c>
      <c r="AF145">
        <f t="shared" si="165"/>
        <v>0</v>
      </c>
      <c r="AG145">
        <f t="shared" si="166"/>
        <v>0</v>
      </c>
      <c r="AH145">
        <f t="shared" si="167"/>
        <v>0</v>
      </c>
      <c r="AI145">
        <f t="shared" si="168"/>
        <v>0</v>
      </c>
      <c r="AJ145">
        <f t="shared" si="169"/>
        <v>0</v>
      </c>
      <c r="AK145">
        <f t="shared" si="170"/>
        <v>0</v>
      </c>
      <c r="AL145">
        <f t="shared" si="171"/>
        <v>0</v>
      </c>
      <c r="AM145">
        <f t="shared" si="172"/>
        <v>0</v>
      </c>
      <c r="AN145">
        <f t="shared" si="173"/>
        <v>0</v>
      </c>
      <c r="AO145">
        <f t="shared" si="174"/>
        <v>0</v>
      </c>
      <c r="AP145">
        <f t="shared" si="175"/>
        <v>0</v>
      </c>
      <c r="AQ145">
        <f t="shared" si="176"/>
        <v>0</v>
      </c>
      <c r="AR145">
        <f t="shared" si="177"/>
        <v>0</v>
      </c>
      <c r="AS145">
        <f t="shared" si="178"/>
        <v>0</v>
      </c>
      <c r="AT145">
        <f t="shared" si="179"/>
        <v>0</v>
      </c>
      <c r="AU145">
        <f t="shared" si="180"/>
        <v>0</v>
      </c>
    </row>
    <row r="146" spans="1:51" ht="21.9" customHeight="1" x14ac:dyDescent="0.4">
      <c r="A146" s="5" t="s">
        <v>716</v>
      </c>
      <c r="B146" s="5" t="s">
        <v>285</v>
      </c>
      <c r="C146" s="6" t="s">
        <v>78</v>
      </c>
      <c r="D146" s="8">
        <v>1500</v>
      </c>
      <c r="E146" s="8">
        <f>ROUNDDOWN(단가대비표!N133, 0)</f>
        <v>570</v>
      </c>
      <c r="F146" s="8">
        <f t="shared" si="147"/>
        <v>855000</v>
      </c>
      <c r="G146" s="8"/>
      <c r="H146" s="8">
        <f t="shared" si="148"/>
        <v>0</v>
      </c>
      <c r="I146" s="8"/>
      <c r="J146" s="8">
        <f t="shared" si="149"/>
        <v>0</v>
      </c>
      <c r="K146" s="8">
        <f t="shared" si="145"/>
        <v>570</v>
      </c>
      <c r="L146" s="8">
        <f t="shared" si="146"/>
        <v>855000</v>
      </c>
      <c r="M146" s="7"/>
      <c r="O146" t="str">
        <f t="shared" si="150"/>
        <v>01</v>
      </c>
      <c r="P146" s="10" t="s">
        <v>361</v>
      </c>
      <c r="Q146">
        <v>1</v>
      </c>
      <c r="R146">
        <f t="shared" si="151"/>
        <v>0</v>
      </c>
      <c r="S146">
        <f t="shared" si="152"/>
        <v>0</v>
      </c>
      <c r="T146">
        <f t="shared" si="153"/>
        <v>0</v>
      </c>
      <c r="U146">
        <f t="shared" si="154"/>
        <v>0</v>
      </c>
      <c r="V146">
        <f t="shared" si="155"/>
        <v>0</v>
      </c>
      <c r="W146">
        <f t="shared" si="156"/>
        <v>0</v>
      </c>
      <c r="X146">
        <f t="shared" si="157"/>
        <v>0</v>
      </c>
      <c r="Y146">
        <f t="shared" si="158"/>
        <v>0</v>
      </c>
      <c r="Z146">
        <f t="shared" si="159"/>
        <v>0</v>
      </c>
      <c r="AA146">
        <f t="shared" si="160"/>
        <v>0</v>
      </c>
      <c r="AB146">
        <f t="shared" si="161"/>
        <v>0</v>
      </c>
      <c r="AC146">
        <f t="shared" si="162"/>
        <v>0</v>
      </c>
      <c r="AD146">
        <f t="shared" si="163"/>
        <v>0</v>
      </c>
      <c r="AE146">
        <f t="shared" si="164"/>
        <v>0</v>
      </c>
      <c r="AF146">
        <f t="shared" si="165"/>
        <v>0</v>
      </c>
      <c r="AG146">
        <f t="shared" si="166"/>
        <v>0</v>
      </c>
      <c r="AH146">
        <f t="shared" si="167"/>
        <v>0</v>
      </c>
      <c r="AI146">
        <f t="shared" si="168"/>
        <v>0</v>
      </c>
      <c r="AJ146">
        <f t="shared" si="169"/>
        <v>0</v>
      </c>
      <c r="AK146">
        <f t="shared" si="170"/>
        <v>0</v>
      </c>
      <c r="AL146">
        <f t="shared" si="171"/>
        <v>0</v>
      </c>
      <c r="AM146">
        <f t="shared" si="172"/>
        <v>0</v>
      </c>
      <c r="AN146">
        <f t="shared" si="173"/>
        <v>0</v>
      </c>
      <c r="AO146">
        <f t="shared" si="174"/>
        <v>0</v>
      </c>
      <c r="AP146">
        <f t="shared" si="175"/>
        <v>0</v>
      </c>
      <c r="AQ146">
        <f t="shared" si="176"/>
        <v>0</v>
      </c>
      <c r="AR146">
        <f t="shared" si="177"/>
        <v>0</v>
      </c>
      <c r="AS146">
        <f t="shared" si="178"/>
        <v>0</v>
      </c>
      <c r="AT146">
        <f t="shared" si="179"/>
        <v>0</v>
      </c>
      <c r="AU146">
        <f t="shared" si="180"/>
        <v>0</v>
      </c>
    </row>
    <row r="147" spans="1:51" ht="21.9" customHeight="1" x14ac:dyDescent="0.4">
      <c r="A147" s="5" t="s">
        <v>707</v>
      </c>
      <c r="B147" s="5" t="s">
        <v>213</v>
      </c>
      <c r="C147" s="6" t="s">
        <v>70</v>
      </c>
      <c r="D147" s="8">
        <v>2</v>
      </c>
      <c r="E147" s="8">
        <f>ROUNDDOWN(단가대비표!N94, 0)</f>
        <v>988000</v>
      </c>
      <c r="F147" s="8">
        <f t="shared" si="147"/>
        <v>1976000</v>
      </c>
      <c r="G147" s="8"/>
      <c r="H147" s="8">
        <f t="shared" si="148"/>
        <v>0</v>
      </c>
      <c r="I147" s="8"/>
      <c r="J147" s="8">
        <f t="shared" si="149"/>
        <v>0</v>
      </c>
      <c r="K147" s="8">
        <f t="shared" si="145"/>
        <v>988000</v>
      </c>
      <c r="L147" s="8">
        <f t="shared" si="146"/>
        <v>1976000</v>
      </c>
      <c r="M147" s="7"/>
      <c r="O147" t="str">
        <f t="shared" si="150"/>
        <v>01</v>
      </c>
      <c r="P147" s="10" t="s">
        <v>361</v>
      </c>
      <c r="Q147">
        <v>1</v>
      </c>
      <c r="R147">
        <f t="shared" si="151"/>
        <v>0</v>
      </c>
      <c r="S147">
        <f t="shared" si="152"/>
        <v>0</v>
      </c>
      <c r="T147">
        <f t="shared" si="153"/>
        <v>0</v>
      </c>
      <c r="U147">
        <f t="shared" si="154"/>
        <v>0</v>
      </c>
      <c r="V147">
        <f t="shared" si="155"/>
        <v>0</v>
      </c>
      <c r="W147">
        <f t="shared" si="156"/>
        <v>0</v>
      </c>
      <c r="X147">
        <f t="shared" si="157"/>
        <v>0</v>
      </c>
      <c r="Y147">
        <f t="shared" si="158"/>
        <v>0</v>
      </c>
      <c r="Z147">
        <f t="shared" si="159"/>
        <v>0</v>
      </c>
      <c r="AA147">
        <f t="shared" si="160"/>
        <v>0</v>
      </c>
      <c r="AB147">
        <f t="shared" si="161"/>
        <v>0</v>
      </c>
      <c r="AC147">
        <f t="shared" si="162"/>
        <v>0</v>
      </c>
      <c r="AD147">
        <f t="shared" si="163"/>
        <v>0</v>
      </c>
      <c r="AE147">
        <f t="shared" si="164"/>
        <v>0</v>
      </c>
      <c r="AF147">
        <f t="shared" si="165"/>
        <v>0</v>
      </c>
      <c r="AG147">
        <f t="shared" si="166"/>
        <v>0</v>
      </c>
      <c r="AH147">
        <f t="shared" si="167"/>
        <v>0</v>
      </c>
      <c r="AI147">
        <f t="shared" si="168"/>
        <v>0</v>
      </c>
      <c r="AJ147">
        <f t="shared" si="169"/>
        <v>0</v>
      </c>
      <c r="AK147">
        <f t="shared" si="170"/>
        <v>0</v>
      </c>
      <c r="AL147">
        <f t="shared" si="171"/>
        <v>0</v>
      </c>
      <c r="AM147">
        <f t="shared" si="172"/>
        <v>0</v>
      </c>
      <c r="AN147">
        <f t="shared" si="173"/>
        <v>0</v>
      </c>
      <c r="AO147">
        <f t="shared" si="174"/>
        <v>0</v>
      </c>
      <c r="AP147">
        <f t="shared" si="175"/>
        <v>0</v>
      </c>
      <c r="AQ147">
        <f t="shared" si="176"/>
        <v>0</v>
      </c>
      <c r="AR147">
        <f t="shared" si="177"/>
        <v>0</v>
      </c>
      <c r="AS147">
        <f t="shared" si="178"/>
        <v>0</v>
      </c>
      <c r="AT147">
        <f t="shared" si="179"/>
        <v>0</v>
      </c>
      <c r="AU147">
        <f t="shared" si="180"/>
        <v>0</v>
      </c>
    </row>
    <row r="148" spans="1:51" ht="21.9" customHeight="1" x14ac:dyDescent="0.4">
      <c r="A148" s="5" t="s">
        <v>710</v>
      </c>
      <c r="B148" s="5" t="s">
        <v>50</v>
      </c>
      <c r="C148" s="6" t="s">
        <v>51</v>
      </c>
      <c r="D148" s="8">
        <v>1</v>
      </c>
      <c r="E148" s="8">
        <f>ROUNDDOWN(단가대비표!N19, 0)</f>
        <v>707200</v>
      </c>
      <c r="F148" s="8">
        <f t="shared" si="147"/>
        <v>707200</v>
      </c>
      <c r="G148" s="8"/>
      <c r="H148" s="8">
        <f t="shared" si="148"/>
        <v>0</v>
      </c>
      <c r="I148" s="8"/>
      <c r="J148" s="8">
        <f t="shared" si="149"/>
        <v>0</v>
      </c>
      <c r="K148" s="8">
        <f t="shared" si="145"/>
        <v>707200</v>
      </c>
      <c r="L148" s="8">
        <f t="shared" si="146"/>
        <v>707200</v>
      </c>
      <c r="M148" s="7"/>
      <c r="O148" t="str">
        <f t="shared" si="150"/>
        <v>01</v>
      </c>
      <c r="P148" s="10" t="s">
        <v>361</v>
      </c>
      <c r="Q148">
        <v>1</v>
      </c>
      <c r="R148">
        <f t="shared" si="151"/>
        <v>0</v>
      </c>
      <c r="S148">
        <f t="shared" si="152"/>
        <v>0</v>
      </c>
      <c r="T148">
        <f t="shared" si="153"/>
        <v>0</v>
      </c>
      <c r="U148">
        <f t="shared" si="154"/>
        <v>0</v>
      </c>
      <c r="V148">
        <f t="shared" si="155"/>
        <v>0</v>
      </c>
      <c r="W148">
        <f t="shared" si="156"/>
        <v>0</v>
      </c>
      <c r="X148">
        <f t="shared" si="157"/>
        <v>0</v>
      </c>
      <c r="Y148">
        <f t="shared" si="158"/>
        <v>0</v>
      </c>
      <c r="Z148">
        <f t="shared" si="159"/>
        <v>0</v>
      </c>
      <c r="AA148">
        <f t="shared" si="160"/>
        <v>0</v>
      </c>
      <c r="AB148">
        <f t="shared" si="161"/>
        <v>0</v>
      </c>
      <c r="AC148">
        <f t="shared" si="162"/>
        <v>0</v>
      </c>
      <c r="AD148">
        <f t="shared" si="163"/>
        <v>0</v>
      </c>
      <c r="AE148">
        <f t="shared" si="164"/>
        <v>0</v>
      </c>
      <c r="AF148">
        <f t="shared" si="165"/>
        <v>0</v>
      </c>
      <c r="AG148">
        <f t="shared" si="166"/>
        <v>0</v>
      </c>
      <c r="AH148">
        <f t="shared" si="167"/>
        <v>0</v>
      </c>
      <c r="AI148">
        <f t="shared" si="168"/>
        <v>0</v>
      </c>
      <c r="AJ148">
        <f t="shared" si="169"/>
        <v>0</v>
      </c>
      <c r="AK148">
        <f t="shared" si="170"/>
        <v>0</v>
      </c>
      <c r="AL148">
        <f t="shared" si="171"/>
        <v>0</v>
      </c>
      <c r="AM148">
        <f t="shared" si="172"/>
        <v>0</v>
      </c>
      <c r="AN148">
        <f t="shared" si="173"/>
        <v>0</v>
      </c>
      <c r="AO148">
        <f t="shared" si="174"/>
        <v>0</v>
      </c>
      <c r="AP148">
        <f t="shared" si="175"/>
        <v>0</v>
      </c>
      <c r="AQ148">
        <f t="shared" si="176"/>
        <v>0</v>
      </c>
      <c r="AR148">
        <f t="shared" si="177"/>
        <v>0</v>
      </c>
      <c r="AS148">
        <f t="shared" si="178"/>
        <v>0</v>
      </c>
      <c r="AT148">
        <f t="shared" si="179"/>
        <v>0</v>
      </c>
      <c r="AU148">
        <f t="shared" si="180"/>
        <v>0</v>
      </c>
    </row>
    <row r="149" spans="1:51" ht="21.9" customHeight="1" x14ac:dyDescent="0.4">
      <c r="A149" s="5" t="s">
        <v>710</v>
      </c>
      <c r="B149" s="5" t="s">
        <v>52</v>
      </c>
      <c r="C149" s="6" t="s">
        <v>51</v>
      </c>
      <c r="D149" s="8">
        <v>1</v>
      </c>
      <c r="E149" s="8">
        <f>ROUNDDOWN(단가대비표!N20, 0)</f>
        <v>572000</v>
      </c>
      <c r="F149" s="8">
        <f t="shared" si="147"/>
        <v>572000</v>
      </c>
      <c r="G149" s="8"/>
      <c r="H149" s="8">
        <f t="shared" si="148"/>
        <v>0</v>
      </c>
      <c r="I149" s="8"/>
      <c r="J149" s="8">
        <f t="shared" si="149"/>
        <v>0</v>
      </c>
      <c r="K149" s="8">
        <f t="shared" si="145"/>
        <v>572000</v>
      </c>
      <c r="L149" s="8">
        <f t="shared" si="146"/>
        <v>572000</v>
      </c>
      <c r="M149" s="7"/>
      <c r="O149" t="str">
        <f t="shared" si="150"/>
        <v>01</v>
      </c>
      <c r="P149" s="10" t="s">
        <v>361</v>
      </c>
      <c r="Q149">
        <v>1</v>
      </c>
      <c r="R149">
        <f t="shared" si="151"/>
        <v>0</v>
      </c>
      <c r="S149">
        <f t="shared" si="152"/>
        <v>0</v>
      </c>
      <c r="T149">
        <f t="shared" si="153"/>
        <v>0</v>
      </c>
      <c r="U149">
        <f t="shared" si="154"/>
        <v>0</v>
      </c>
      <c r="V149">
        <f t="shared" si="155"/>
        <v>0</v>
      </c>
      <c r="W149">
        <f t="shared" si="156"/>
        <v>0</v>
      </c>
      <c r="X149">
        <f t="shared" si="157"/>
        <v>0</v>
      </c>
      <c r="Y149">
        <f t="shared" si="158"/>
        <v>0</v>
      </c>
      <c r="Z149">
        <f t="shared" si="159"/>
        <v>0</v>
      </c>
      <c r="AA149">
        <f t="shared" si="160"/>
        <v>0</v>
      </c>
      <c r="AB149">
        <f t="shared" si="161"/>
        <v>0</v>
      </c>
      <c r="AC149">
        <f t="shared" si="162"/>
        <v>0</v>
      </c>
      <c r="AD149">
        <f t="shared" si="163"/>
        <v>0</v>
      </c>
      <c r="AE149">
        <f t="shared" si="164"/>
        <v>0</v>
      </c>
      <c r="AF149">
        <f t="shared" si="165"/>
        <v>0</v>
      </c>
      <c r="AG149">
        <f t="shared" si="166"/>
        <v>0</v>
      </c>
      <c r="AH149">
        <f t="shared" si="167"/>
        <v>0</v>
      </c>
      <c r="AI149">
        <f t="shared" si="168"/>
        <v>0</v>
      </c>
      <c r="AJ149">
        <f t="shared" si="169"/>
        <v>0</v>
      </c>
      <c r="AK149">
        <f t="shared" si="170"/>
        <v>0</v>
      </c>
      <c r="AL149">
        <f t="shared" si="171"/>
        <v>0</v>
      </c>
      <c r="AM149">
        <f t="shared" si="172"/>
        <v>0</v>
      </c>
      <c r="AN149">
        <f t="shared" si="173"/>
        <v>0</v>
      </c>
      <c r="AO149">
        <f t="shared" si="174"/>
        <v>0</v>
      </c>
      <c r="AP149">
        <f t="shared" si="175"/>
        <v>0</v>
      </c>
      <c r="AQ149">
        <f t="shared" si="176"/>
        <v>0</v>
      </c>
      <c r="AR149">
        <f t="shared" si="177"/>
        <v>0</v>
      </c>
      <c r="AS149">
        <f t="shared" si="178"/>
        <v>0</v>
      </c>
      <c r="AT149">
        <f t="shared" si="179"/>
        <v>0</v>
      </c>
      <c r="AU149">
        <f t="shared" si="180"/>
        <v>0</v>
      </c>
    </row>
    <row r="150" spans="1:51" ht="21.9" customHeight="1" x14ac:dyDescent="0.4">
      <c r="A150" s="5" t="s">
        <v>678</v>
      </c>
      <c r="B150" s="5" t="s">
        <v>552</v>
      </c>
      <c r="C150" s="6" t="s">
        <v>553</v>
      </c>
      <c r="D150" s="8">
        <v>1.4850000000000001</v>
      </c>
      <c r="E150" s="8">
        <f>ROUNDDOWN(일위대가목록!G11, 0)</f>
        <v>96990</v>
      </c>
      <c r="F150" s="8">
        <f t="shared" si="147"/>
        <v>144030</v>
      </c>
      <c r="G150" s="8">
        <f>ROUNDDOWN(일위대가목록!I11, 0)</f>
        <v>1616500</v>
      </c>
      <c r="H150" s="8">
        <f t="shared" si="148"/>
        <v>2400502</v>
      </c>
      <c r="I150" s="8">
        <f>ROUNDDOWN(일위대가목록!K11, 2)</f>
        <v>0</v>
      </c>
      <c r="J150" s="8">
        <f t="shared" si="149"/>
        <v>0</v>
      </c>
      <c r="K150" s="8">
        <f t="shared" si="145"/>
        <v>1713490</v>
      </c>
      <c r="L150" s="8">
        <f t="shared" si="146"/>
        <v>2544532</v>
      </c>
      <c r="M150" s="5" t="s">
        <v>550</v>
      </c>
      <c r="O150" t="str">
        <f>""</f>
        <v/>
      </c>
      <c r="P150" s="10" t="s">
        <v>361</v>
      </c>
      <c r="Q150">
        <v>1</v>
      </c>
      <c r="R150">
        <f t="shared" si="151"/>
        <v>0</v>
      </c>
      <c r="S150">
        <f t="shared" si="152"/>
        <v>0</v>
      </c>
      <c r="T150">
        <f t="shared" si="153"/>
        <v>0</v>
      </c>
      <c r="U150">
        <f t="shared" si="154"/>
        <v>0</v>
      </c>
      <c r="V150">
        <f t="shared" si="155"/>
        <v>0</v>
      </c>
      <c r="W150">
        <f t="shared" si="156"/>
        <v>0</v>
      </c>
      <c r="X150">
        <f t="shared" si="157"/>
        <v>0</v>
      </c>
      <c r="Y150">
        <f t="shared" si="158"/>
        <v>0</v>
      </c>
      <c r="Z150">
        <f t="shared" si="159"/>
        <v>0</v>
      </c>
      <c r="AA150">
        <f t="shared" si="160"/>
        <v>0</v>
      </c>
      <c r="AB150">
        <f t="shared" si="161"/>
        <v>0</v>
      </c>
      <c r="AC150">
        <f t="shared" si="162"/>
        <v>0</v>
      </c>
      <c r="AD150">
        <f t="shared" si="163"/>
        <v>0</v>
      </c>
      <c r="AE150">
        <f t="shared" si="164"/>
        <v>0</v>
      </c>
      <c r="AF150">
        <f t="shared" si="165"/>
        <v>0</v>
      </c>
      <c r="AG150">
        <f t="shared" si="166"/>
        <v>0</v>
      </c>
      <c r="AH150">
        <f t="shared" si="167"/>
        <v>0</v>
      </c>
      <c r="AI150">
        <f t="shared" si="168"/>
        <v>0</v>
      </c>
      <c r="AJ150">
        <f t="shared" si="169"/>
        <v>0</v>
      </c>
      <c r="AK150">
        <f t="shared" si="170"/>
        <v>0</v>
      </c>
      <c r="AL150">
        <f t="shared" si="171"/>
        <v>0</v>
      </c>
      <c r="AM150">
        <f t="shared" si="172"/>
        <v>0</v>
      </c>
      <c r="AN150">
        <f t="shared" si="173"/>
        <v>0</v>
      </c>
      <c r="AO150">
        <f t="shared" si="174"/>
        <v>0</v>
      </c>
      <c r="AP150">
        <f t="shared" si="175"/>
        <v>0</v>
      </c>
      <c r="AQ150">
        <f t="shared" si="176"/>
        <v>0</v>
      </c>
      <c r="AR150">
        <f t="shared" si="177"/>
        <v>0</v>
      </c>
      <c r="AS150">
        <f t="shared" si="178"/>
        <v>0</v>
      </c>
      <c r="AT150">
        <f t="shared" si="179"/>
        <v>0</v>
      </c>
      <c r="AU150">
        <f t="shared" si="180"/>
        <v>0</v>
      </c>
      <c r="AY150" s="10" t="s">
        <v>554</v>
      </c>
    </row>
    <row r="151" spans="1:51" ht="21.9" customHeight="1" x14ac:dyDescent="0.4">
      <c r="A151" s="5" t="s">
        <v>677</v>
      </c>
      <c r="B151" s="5" t="s">
        <v>556</v>
      </c>
      <c r="C151" s="6" t="s">
        <v>472</v>
      </c>
      <c r="D151" s="8">
        <v>5383.0749999999998</v>
      </c>
      <c r="E151" s="8">
        <f>ROUNDDOWN(일위대가목록!G12, 2)</f>
        <v>0</v>
      </c>
      <c r="F151" s="8">
        <f t="shared" si="147"/>
        <v>0</v>
      </c>
      <c r="G151" s="8">
        <f>ROUNDDOWN(일위대가목록!I12, 0)</f>
        <v>1970</v>
      </c>
      <c r="H151" s="8">
        <f t="shared" si="148"/>
        <v>10604657</v>
      </c>
      <c r="I151" s="8">
        <f>ROUNDDOWN(일위대가목록!K12, 2)</f>
        <v>0</v>
      </c>
      <c r="J151" s="8">
        <f t="shared" si="149"/>
        <v>0</v>
      </c>
      <c r="K151" s="8">
        <f t="shared" si="145"/>
        <v>1970</v>
      </c>
      <c r="L151" s="8">
        <f t="shared" si="146"/>
        <v>10604657</v>
      </c>
      <c r="M151" s="5" t="s">
        <v>555</v>
      </c>
      <c r="O151" t="str">
        <f>""</f>
        <v/>
      </c>
      <c r="P151" s="10" t="s">
        <v>361</v>
      </c>
      <c r="Q151">
        <v>1</v>
      </c>
      <c r="R151">
        <f t="shared" si="151"/>
        <v>0</v>
      </c>
      <c r="S151">
        <f t="shared" si="152"/>
        <v>0</v>
      </c>
      <c r="T151">
        <f t="shared" si="153"/>
        <v>0</v>
      </c>
      <c r="U151">
        <f t="shared" si="154"/>
        <v>0</v>
      </c>
      <c r="V151">
        <f t="shared" si="155"/>
        <v>0</v>
      </c>
      <c r="W151">
        <f t="shared" si="156"/>
        <v>0</v>
      </c>
      <c r="X151">
        <f t="shared" si="157"/>
        <v>0</v>
      </c>
      <c r="Y151">
        <f t="shared" si="158"/>
        <v>0</v>
      </c>
      <c r="Z151">
        <f t="shared" si="159"/>
        <v>0</v>
      </c>
      <c r="AA151">
        <f t="shared" si="160"/>
        <v>0</v>
      </c>
      <c r="AB151">
        <f t="shared" si="161"/>
        <v>0</v>
      </c>
      <c r="AC151">
        <f t="shared" si="162"/>
        <v>0</v>
      </c>
      <c r="AD151">
        <f t="shared" si="163"/>
        <v>0</v>
      </c>
      <c r="AE151">
        <f t="shared" si="164"/>
        <v>0</v>
      </c>
      <c r="AF151">
        <f t="shared" si="165"/>
        <v>0</v>
      </c>
      <c r="AG151">
        <f t="shared" si="166"/>
        <v>0</v>
      </c>
      <c r="AH151">
        <f t="shared" si="167"/>
        <v>0</v>
      </c>
      <c r="AI151">
        <f t="shared" si="168"/>
        <v>0</v>
      </c>
      <c r="AJ151">
        <f t="shared" si="169"/>
        <v>0</v>
      </c>
      <c r="AK151">
        <f t="shared" si="170"/>
        <v>0</v>
      </c>
      <c r="AL151">
        <f t="shared" si="171"/>
        <v>0</v>
      </c>
      <c r="AM151">
        <f t="shared" si="172"/>
        <v>0</v>
      </c>
      <c r="AN151">
        <f t="shared" si="173"/>
        <v>0</v>
      </c>
      <c r="AO151">
        <f t="shared" si="174"/>
        <v>0</v>
      </c>
      <c r="AP151">
        <f t="shared" si="175"/>
        <v>0</v>
      </c>
      <c r="AQ151">
        <f t="shared" si="176"/>
        <v>0</v>
      </c>
      <c r="AR151">
        <f t="shared" si="177"/>
        <v>0</v>
      </c>
      <c r="AS151">
        <f t="shared" si="178"/>
        <v>0</v>
      </c>
      <c r="AT151">
        <f t="shared" si="179"/>
        <v>0</v>
      </c>
      <c r="AU151">
        <f t="shared" si="180"/>
        <v>0</v>
      </c>
      <c r="AY151" s="10" t="s">
        <v>557</v>
      </c>
    </row>
    <row r="152" spans="1:51" ht="21.9" customHeight="1" x14ac:dyDescent="0.4">
      <c r="A152" s="5"/>
      <c r="B152" s="5"/>
      <c r="C152" s="6"/>
      <c r="D152" s="8"/>
      <c r="E152" s="8"/>
      <c r="F152" s="8"/>
      <c r="G152" s="8"/>
      <c r="H152" s="8"/>
      <c r="I152" s="8"/>
      <c r="J152" s="8"/>
      <c r="K152" s="8"/>
      <c r="L152" s="8"/>
      <c r="M152" s="5"/>
      <c r="P152" s="10"/>
      <c r="AY152" s="10"/>
    </row>
    <row r="153" spans="1:51" ht="21.9" customHeight="1" x14ac:dyDescent="0.4">
      <c r="A153" s="5"/>
      <c r="B153" s="5"/>
      <c r="C153" s="6"/>
      <c r="D153" s="8"/>
      <c r="E153" s="8"/>
      <c r="F153" s="8"/>
      <c r="G153" s="8"/>
      <c r="H153" s="8"/>
      <c r="I153" s="8"/>
      <c r="J153" s="8"/>
      <c r="K153" s="8"/>
      <c r="L153" s="8"/>
      <c r="M153" s="5"/>
      <c r="P153" s="10"/>
      <c r="AY153" s="10"/>
    </row>
    <row r="154" spans="1:51" ht="21.9" customHeight="1" x14ac:dyDescent="0.4">
      <c r="A154" s="5"/>
      <c r="B154" s="5"/>
      <c r="C154" s="6"/>
      <c r="D154" s="8"/>
      <c r="E154" s="8"/>
      <c r="F154" s="8"/>
      <c r="G154" s="8"/>
      <c r="H154" s="8"/>
      <c r="I154" s="8"/>
      <c r="J154" s="8"/>
      <c r="K154" s="8"/>
      <c r="L154" s="8"/>
      <c r="M154" s="5"/>
      <c r="P154" s="10"/>
      <c r="AY154" s="10"/>
    </row>
    <row r="155" spans="1:51" ht="21.9" customHeight="1" x14ac:dyDescent="0.4">
      <c r="A155" s="7"/>
      <c r="B155" s="7"/>
      <c r="C155" s="9"/>
      <c r="D155" s="8"/>
      <c r="E155" s="8"/>
      <c r="F155" s="8"/>
      <c r="G155" s="8"/>
      <c r="H155" s="8"/>
      <c r="I155" s="8"/>
      <c r="J155" s="8"/>
      <c r="K155" s="8"/>
      <c r="L155" s="8"/>
      <c r="M155" s="7"/>
    </row>
    <row r="156" spans="1:51" ht="21.9" customHeight="1" x14ac:dyDescent="0.4">
      <c r="A156" s="7"/>
      <c r="B156" s="7"/>
      <c r="C156" s="9"/>
      <c r="D156" s="8"/>
      <c r="E156" s="8"/>
      <c r="F156" s="8"/>
      <c r="G156" s="8"/>
      <c r="H156" s="8"/>
      <c r="I156" s="8"/>
      <c r="J156" s="8"/>
      <c r="K156" s="8"/>
      <c r="L156" s="8"/>
      <c r="M156" s="7"/>
    </row>
    <row r="157" spans="1:51" ht="21.9" customHeight="1" x14ac:dyDescent="0.4">
      <c r="A157" s="7"/>
      <c r="B157" s="7"/>
      <c r="C157" s="9"/>
      <c r="D157" s="8"/>
      <c r="E157" s="8"/>
      <c r="F157" s="8"/>
      <c r="G157" s="8"/>
      <c r="H157" s="8"/>
      <c r="I157" s="8"/>
      <c r="J157" s="8"/>
      <c r="K157" s="8"/>
      <c r="L157" s="8"/>
      <c r="M157" s="7"/>
    </row>
    <row r="158" spans="1:51" ht="21.9" customHeight="1" x14ac:dyDescent="0.4">
      <c r="A158" s="12" t="s">
        <v>372</v>
      </c>
      <c r="B158" s="13"/>
      <c r="C158" s="14"/>
      <c r="D158" s="15"/>
      <c r="E158" s="15"/>
      <c r="F158" s="15">
        <f>ROUNDDOWN(SUMIF(Q122:Q157, "1", F122:F157), 0)</f>
        <v>40587225</v>
      </c>
      <c r="G158" s="15"/>
      <c r="H158" s="15">
        <f>ROUNDDOWN(SUMIF(Q122:Q157, "1", H122:H157), 0)</f>
        <v>13005159</v>
      </c>
      <c r="I158" s="15"/>
      <c r="J158" s="15">
        <f>ROUNDDOWN(SUMIF(Q122:Q157, "1", J122:J157), 0)</f>
        <v>0</v>
      </c>
      <c r="K158" s="15"/>
      <c r="L158" s="15">
        <f>F158+H158+J158</f>
        <v>53592384</v>
      </c>
      <c r="M158" s="13"/>
      <c r="R158">
        <f t="shared" ref="R158:AY158" si="181">ROUNDDOWN(SUM(R122:R151), 0)</f>
        <v>0</v>
      </c>
      <c r="S158">
        <f t="shared" si="181"/>
        <v>0</v>
      </c>
      <c r="T158">
        <f t="shared" si="181"/>
        <v>0</v>
      </c>
      <c r="U158">
        <f t="shared" si="181"/>
        <v>0</v>
      </c>
      <c r="V158">
        <f t="shared" si="181"/>
        <v>0</v>
      </c>
      <c r="W158">
        <f t="shared" si="181"/>
        <v>0</v>
      </c>
      <c r="X158">
        <f t="shared" si="181"/>
        <v>0</v>
      </c>
      <c r="Y158">
        <f t="shared" si="181"/>
        <v>0</v>
      </c>
      <c r="Z158">
        <f t="shared" si="181"/>
        <v>0</v>
      </c>
      <c r="AA158">
        <f t="shared" si="181"/>
        <v>0</v>
      </c>
      <c r="AB158">
        <f t="shared" si="181"/>
        <v>0</v>
      </c>
      <c r="AC158">
        <f t="shared" si="181"/>
        <v>0</v>
      </c>
      <c r="AD158">
        <f t="shared" si="181"/>
        <v>0</v>
      </c>
      <c r="AE158">
        <f t="shared" si="181"/>
        <v>0</v>
      </c>
      <c r="AF158">
        <f t="shared" si="181"/>
        <v>0</v>
      </c>
      <c r="AG158">
        <f t="shared" si="181"/>
        <v>0</v>
      </c>
      <c r="AH158">
        <f t="shared" si="181"/>
        <v>0</v>
      </c>
      <c r="AI158">
        <f t="shared" si="181"/>
        <v>0</v>
      </c>
      <c r="AJ158">
        <f t="shared" si="181"/>
        <v>0</v>
      </c>
      <c r="AK158">
        <f t="shared" si="181"/>
        <v>0</v>
      </c>
      <c r="AL158">
        <f t="shared" si="181"/>
        <v>0</v>
      </c>
      <c r="AM158">
        <f t="shared" si="181"/>
        <v>0</v>
      </c>
      <c r="AN158">
        <f t="shared" si="181"/>
        <v>0</v>
      </c>
      <c r="AO158">
        <f t="shared" si="181"/>
        <v>0</v>
      </c>
      <c r="AP158">
        <f t="shared" si="181"/>
        <v>0</v>
      </c>
      <c r="AQ158">
        <f t="shared" si="181"/>
        <v>0</v>
      </c>
      <c r="AR158">
        <f t="shared" si="181"/>
        <v>0</v>
      </c>
      <c r="AS158">
        <f t="shared" si="181"/>
        <v>0</v>
      </c>
      <c r="AT158">
        <f t="shared" si="181"/>
        <v>0</v>
      </c>
      <c r="AU158">
        <f t="shared" si="181"/>
        <v>0</v>
      </c>
      <c r="AV158">
        <f t="shared" si="181"/>
        <v>0</v>
      </c>
      <c r="AW158">
        <f t="shared" si="181"/>
        <v>0</v>
      </c>
      <c r="AX158">
        <f t="shared" si="181"/>
        <v>0</v>
      </c>
      <c r="AY158">
        <f t="shared" si="181"/>
        <v>0</v>
      </c>
    </row>
    <row r="159" spans="1:51" ht="21.9" customHeight="1" x14ac:dyDescent="0.4">
      <c r="A159" s="56" t="s">
        <v>717</v>
      </c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</row>
    <row r="160" spans="1:51" ht="21.9" customHeight="1" x14ac:dyDescent="0.4">
      <c r="A160" s="5" t="s">
        <v>718</v>
      </c>
      <c r="B160" s="7"/>
      <c r="C160" s="6" t="s">
        <v>359</v>
      </c>
      <c r="D160" s="8"/>
      <c r="E160" s="8"/>
      <c r="F160" s="8">
        <f>SUMIF(Q161:Q194, "1", F161:F194)</f>
        <v>98124267</v>
      </c>
      <c r="G160" s="8"/>
      <c r="H160" s="8">
        <f>SUMIF(Q161:Q194, "1", H161:H194)</f>
        <v>21748661</v>
      </c>
      <c r="I160" s="8"/>
      <c r="J160" s="8">
        <f>SUMIF(Q161:Q194, "1", J161:J194)</f>
        <v>862416</v>
      </c>
      <c r="K160" s="8">
        <f t="shared" ref="K160:K194" si="182">E160+G160+I160</f>
        <v>0</v>
      </c>
      <c r="L160" s="8">
        <f t="shared" ref="L160:L194" si="183">F160+H160+J160</f>
        <v>120735344</v>
      </c>
      <c r="M160" s="7"/>
      <c r="O160" t="str">
        <f>""</f>
        <v/>
      </c>
    </row>
    <row r="161" spans="1:47" ht="21.9" customHeight="1" x14ac:dyDescent="0.4">
      <c r="A161" s="5" t="s">
        <v>719</v>
      </c>
      <c r="B161" s="5" t="s">
        <v>54</v>
      </c>
      <c r="C161" s="6" t="s">
        <v>38</v>
      </c>
      <c r="D161" s="8">
        <v>4275.18</v>
      </c>
      <c r="E161" s="8">
        <f>ROUNDDOWN(단가대비표!N32, 0)</f>
        <v>2010</v>
      </c>
      <c r="F161" s="8">
        <f t="shared" ref="F161:F194" si="184">ROUNDDOWN(D161*E161, 0)</f>
        <v>8593111</v>
      </c>
      <c r="G161" s="8">
        <v>0</v>
      </c>
      <c r="H161" s="8">
        <f t="shared" ref="H161:H194" si="185">ROUNDDOWN(D161*G161, 0)</f>
        <v>0</v>
      </c>
      <c r="I161" s="8">
        <v>0</v>
      </c>
      <c r="J161" s="8">
        <f t="shared" ref="J161:J194" si="186">ROUNDDOWN(D161*I161, 0)</f>
        <v>0</v>
      </c>
      <c r="K161" s="8">
        <f t="shared" si="182"/>
        <v>2010</v>
      </c>
      <c r="L161" s="8">
        <f t="shared" si="183"/>
        <v>8593111</v>
      </c>
      <c r="M161" s="7"/>
      <c r="O161" t="str">
        <f t="shared" ref="O161:O192" si="187">"01"</f>
        <v>01</v>
      </c>
      <c r="P161" s="10" t="s">
        <v>361</v>
      </c>
      <c r="Q161">
        <v>1</v>
      </c>
      <c r="R161">
        <f t="shared" ref="R161:R194" si="188">IF(P161="기계경비", J161, 0)</f>
        <v>0</v>
      </c>
      <c r="S161">
        <f t="shared" ref="S161:S194" si="189">IF(P161="운반비", L161, 0)</f>
        <v>0</v>
      </c>
      <c r="T161">
        <f t="shared" ref="T161:T194" si="190">IF(P161="작업부산물", F161, 0)</f>
        <v>0</v>
      </c>
      <c r="U161">
        <f t="shared" ref="U161:U194" si="191">IF(P161="관급", F161, 0)</f>
        <v>0</v>
      </c>
      <c r="V161">
        <f t="shared" ref="V161:V194" si="192">IF(P161="외주비", J161, 0)</f>
        <v>0</v>
      </c>
      <c r="W161">
        <f t="shared" ref="W161:W194" si="193">IF(P161="장비비", J161, 0)</f>
        <v>0</v>
      </c>
      <c r="X161">
        <f t="shared" ref="X161:X194" si="194">IF(P161="폐기물처리비", L161, 0)</f>
        <v>0</v>
      </c>
      <c r="Y161">
        <f t="shared" ref="Y161:Y194" si="195">IF(P161="가설비", J161, 0)</f>
        <v>0</v>
      </c>
      <c r="Z161">
        <f t="shared" ref="Z161:Z194" si="196">IF(P161="잡비제외분", F161, 0)</f>
        <v>0</v>
      </c>
      <c r="AA161">
        <f t="shared" ref="AA161:AA194" si="197">IF(P161="사급자재대", L161, 0)</f>
        <v>0</v>
      </c>
      <c r="AB161">
        <f t="shared" ref="AB161:AB194" si="198">IF(P161="관급자재대", L161, 0)</f>
        <v>0</v>
      </c>
      <c r="AC161">
        <f t="shared" ref="AC161:AC194" si="199">IF(P161="고철처리비", L161, 0)</f>
        <v>0</v>
      </c>
      <c r="AD161">
        <f t="shared" ref="AD161:AD194" si="200">IF(P161="사용자항목2", L161, 0)</f>
        <v>0</v>
      </c>
      <c r="AE161">
        <f t="shared" ref="AE161:AE194" si="201">IF(P161="안전관리비", L161, 0)</f>
        <v>0</v>
      </c>
      <c r="AF161">
        <f t="shared" ref="AF161:AF194" si="202">IF(P161="품질관리비", L161, 0)</f>
        <v>0</v>
      </c>
      <c r="AG161">
        <f t="shared" ref="AG161:AG194" si="203">IF(P161="사용자항목5", L161, 0)</f>
        <v>0</v>
      </c>
      <c r="AH161">
        <f t="shared" ref="AH161:AH194" si="204">IF(P161="사용자항목6", L161, 0)</f>
        <v>0</v>
      </c>
      <c r="AI161">
        <f t="shared" ref="AI161:AI194" si="205">IF(P161="사용자항목7", L161, 0)</f>
        <v>0</v>
      </c>
      <c r="AJ161">
        <f t="shared" ref="AJ161:AJ194" si="206">IF(P161="관급자 관급 자재대", L161, 0)</f>
        <v>0</v>
      </c>
      <c r="AK161">
        <f t="shared" ref="AK161:AK194" si="207">IF(P161="전기공사", L161, 0)</f>
        <v>0</v>
      </c>
      <c r="AL161">
        <f t="shared" ref="AL161:AL194" si="208">IF(P161="석면분담금", L161, 0)</f>
        <v>0</v>
      </c>
      <c r="AM161">
        <f t="shared" ref="AM161:AM194" si="209">IF(P161="임금채권부담금", L161, 0)</f>
        <v>0</v>
      </c>
      <c r="AN161">
        <f t="shared" ref="AN161:AN194" si="210">IF(P161="건설기계대여보증수수료", L161, 0)</f>
        <v>0</v>
      </c>
      <c r="AO161">
        <f t="shared" ref="AO161:AO194" si="211">IF(P161="사용자항목13", L161, 0)</f>
        <v>0</v>
      </c>
      <c r="AP161">
        <f t="shared" ref="AP161:AP194" si="212">IF(P161="사용자항목14", L161, 0)</f>
        <v>0</v>
      </c>
      <c r="AQ161">
        <f t="shared" ref="AQ161:AQ194" si="213">IF(P161="사용자항목15", L161, 0)</f>
        <v>0</v>
      </c>
      <c r="AR161">
        <f t="shared" ref="AR161:AR194" si="214">IF(P161="사용자항목16", L161, 0)</f>
        <v>0</v>
      </c>
      <c r="AS161">
        <f t="shared" ref="AS161:AS194" si="215">IF(P161="사용자항목17", L161, 0)</f>
        <v>0</v>
      </c>
      <c r="AT161">
        <f t="shared" ref="AT161:AT194" si="216">IF(P161="사용자항목18", L161, 0)</f>
        <v>0</v>
      </c>
      <c r="AU161">
        <f t="shared" ref="AU161:AU194" si="217">IF(P161="사용자항목19", L161, 0)</f>
        <v>0</v>
      </c>
    </row>
    <row r="162" spans="1:47" ht="21.9" customHeight="1" x14ac:dyDescent="0.4">
      <c r="A162" s="5" t="s">
        <v>720</v>
      </c>
      <c r="B162" s="5" t="s">
        <v>287</v>
      </c>
      <c r="C162" s="6" t="s">
        <v>38</v>
      </c>
      <c r="D162" s="8">
        <v>9240</v>
      </c>
      <c r="E162" s="8">
        <f>ROUNDDOWN(단가대비표!N134, 0)</f>
        <v>1430</v>
      </c>
      <c r="F162" s="8">
        <f t="shared" si="184"/>
        <v>13213200</v>
      </c>
      <c r="G162" s="8">
        <v>0</v>
      </c>
      <c r="H162" s="8">
        <f t="shared" si="185"/>
        <v>0</v>
      </c>
      <c r="I162" s="8">
        <v>0</v>
      </c>
      <c r="J162" s="8">
        <f t="shared" si="186"/>
        <v>0</v>
      </c>
      <c r="K162" s="8">
        <f t="shared" si="182"/>
        <v>1430</v>
      </c>
      <c r="L162" s="8">
        <f t="shared" si="183"/>
        <v>13213200</v>
      </c>
      <c r="M162" s="7"/>
      <c r="O162" t="str">
        <f t="shared" si="187"/>
        <v>01</v>
      </c>
      <c r="P162" s="10" t="s">
        <v>361</v>
      </c>
      <c r="Q162">
        <v>1</v>
      </c>
      <c r="R162">
        <f t="shared" si="188"/>
        <v>0</v>
      </c>
      <c r="S162">
        <f t="shared" si="189"/>
        <v>0</v>
      </c>
      <c r="T162">
        <f t="shared" si="190"/>
        <v>0</v>
      </c>
      <c r="U162">
        <f t="shared" si="191"/>
        <v>0</v>
      </c>
      <c r="V162">
        <f t="shared" si="192"/>
        <v>0</v>
      </c>
      <c r="W162">
        <f t="shared" si="193"/>
        <v>0</v>
      </c>
      <c r="X162">
        <f t="shared" si="194"/>
        <v>0</v>
      </c>
      <c r="Y162">
        <f t="shared" si="195"/>
        <v>0</v>
      </c>
      <c r="Z162">
        <f t="shared" si="196"/>
        <v>0</v>
      </c>
      <c r="AA162">
        <f t="shared" si="197"/>
        <v>0</v>
      </c>
      <c r="AB162">
        <f t="shared" si="198"/>
        <v>0</v>
      </c>
      <c r="AC162">
        <f t="shared" si="199"/>
        <v>0</v>
      </c>
      <c r="AD162">
        <f t="shared" si="200"/>
        <v>0</v>
      </c>
      <c r="AE162">
        <f t="shared" si="201"/>
        <v>0</v>
      </c>
      <c r="AF162">
        <f t="shared" si="202"/>
        <v>0</v>
      </c>
      <c r="AG162">
        <f t="shared" si="203"/>
        <v>0</v>
      </c>
      <c r="AH162">
        <f t="shared" si="204"/>
        <v>0</v>
      </c>
      <c r="AI162">
        <f t="shared" si="205"/>
        <v>0</v>
      </c>
      <c r="AJ162">
        <f t="shared" si="206"/>
        <v>0</v>
      </c>
      <c r="AK162">
        <f t="shared" si="207"/>
        <v>0</v>
      </c>
      <c r="AL162">
        <f t="shared" si="208"/>
        <v>0</v>
      </c>
      <c r="AM162">
        <f t="shared" si="209"/>
        <v>0</v>
      </c>
      <c r="AN162">
        <f t="shared" si="210"/>
        <v>0</v>
      </c>
      <c r="AO162">
        <f t="shared" si="211"/>
        <v>0</v>
      </c>
      <c r="AP162">
        <f t="shared" si="212"/>
        <v>0</v>
      </c>
      <c r="AQ162">
        <f t="shared" si="213"/>
        <v>0</v>
      </c>
      <c r="AR162">
        <f t="shared" si="214"/>
        <v>0</v>
      </c>
      <c r="AS162">
        <f t="shared" si="215"/>
        <v>0</v>
      </c>
      <c r="AT162">
        <f t="shared" si="216"/>
        <v>0</v>
      </c>
      <c r="AU162">
        <f t="shared" si="217"/>
        <v>0</v>
      </c>
    </row>
    <row r="163" spans="1:47" ht="21.9" customHeight="1" x14ac:dyDescent="0.4">
      <c r="A163" s="5" t="s">
        <v>721</v>
      </c>
      <c r="B163" s="5" t="s">
        <v>197</v>
      </c>
      <c r="C163" s="6" t="s">
        <v>18</v>
      </c>
      <c r="D163" s="8">
        <v>280</v>
      </c>
      <c r="E163" s="8">
        <f>ROUNDDOWN(단가대비표!N122, 0)</f>
        <v>210</v>
      </c>
      <c r="F163" s="8">
        <f t="shared" si="184"/>
        <v>58800</v>
      </c>
      <c r="G163" s="8"/>
      <c r="H163" s="8">
        <f t="shared" si="185"/>
        <v>0</v>
      </c>
      <c r="I163" s="8"/>
      <c r="J163" s="8">
        <f t="shared" si="186"/>
        <v>0</v>
      </c>
      <c r="K163" s="8">
        <f t="shared" si="182"/>
        <v>210</v>
      </c>
      <c r="L163" s="8">
        <f t="shared" si="183"/>
        <v>58800</v>
      </c>
      <c r="M163" s="7"/>
      <c r="O163" t="str">
        <f t="shared" si="187"/>
        <v>01</v>
      </c>
      <c r="P163" s="10" t="s">
        <v>361</v>
      </c>
      <c r="Q163">
        <v>1</v>
      </c>
      <c r="R163">
        <f t="shared" si="188"/>
        <v>0</v>
      </c>
      <c r="S163">
        <f t="shared" si="189"/>
        <v>0</v>
      </c>
      <c r="T163">
        <f t="shared" si="190"/>
        <v>0</v>
      </c>
      <c r="U163">
        <f t="shared" si="191"/>
        <v>0</v>
      </c>
      <c r="V163">
        <f t="shared" si="192"/>
        <v>0</v>
      </c>
      <c r="W163">
        <f t="shared" si="193"/>
        <v>0</v>
      </c>
      <c r="X163">
        <f t="shared" si="194"/>
        <v>0</v>
      </c>
      <c r="Y163">
        <f t="shared" si="195"/>
        <v>0</v>
      </c>
      <c r="Z163">
        <f t="shared" si="196"/>
        <v>0</v>
      </c>
      <c r="AA163">
        <f t="shared" si="197"/>
        <v>0</v>
      </c>
      <c r="AB163">
        <f t="shared" si="198"/>
        <v>0</v>
      </c>
      <c r="AC163">
        <f t="shared" si="199"/>
        <v>0</v>
      </c>
      <c r="AD163">
        <f t="shared" si="200"/>
        <v>0</v>
      </c>
      <c r="AE163">
        <f t="shared" si="201"/>
        <v>0</v>
      </c>
      <c r="AF163">
        <f t="shared" si="202"/>
        <v>0</v>
      </c>
      <c r="AG163">
        <f t="shared" si="203"/>
        <v>0</v>
      </c>
      <c r="AH163">
        <f t="shared" si="204"/>
        <v>0</v>
      </c>
      <c r="AI163">
        <f t="shared" si="205"/>
        <v>0</v>
      </c>
      <c r="AJ163">
        <f t="shared" si="206"/>
        <v>0</v>
      </c>
      <c r="AK163">
        <f t="shared" si="207"/>
        <v>0</v>
      </c>
      <c r="AL163">
        <f t="shared" si="208"/>
        <v>0</v>
      </c>
      <c r="AM163">
        <f t="shared" si="209"/>
        <v>0</v>
      </c>
      <c r="AN163">
        <f t="shared" si="210"/>
        <v>0</v>
      </c>
      <c r="AO163">
        <f t="shared" si="211"/>
        <v>0</v>
      </c>
      <c r="AP163">
        <f t="shared" si="212"/>
        <v>0</v>
      </c>
      <c r="AQ163">
        <f t="shared" si="213"/>
        <v>0</v>
      </c>
      <c r="AR163">
        <f t="shared" si="214"/>
        <v>0</v>
      </c>
      <c r="AS163">
        <f t="shared" si="215"/>
        <v>0</v>
      </c>
      <c r="AT163">
        <f t="shared" si="216"/>
        <v>0</v>
      </c>
      <c r="AU163">
        <f t="shared" si="217"/>
        <v>0</v>
      </c>
    </row>
    <row r="164" spans="1:47" ht="21.9" customHeight="1" x14ac:dyDescent="0.4">
      <c r="A164" s="5" t="s">
        <v>722</v>
      </c>
      <c r="B164" s="5" t="s">
        <v>279</v>
      </c>
      <c r="C164" s="6" t="s">
        <v>18</v>
      </c>
      <c r="D164" s="8">
        <v>35000</v>
      </c>
      <c r="E164" s="8">
        <f>ROUNDDOWN(단가대비표!N130, 0)</f>
        <v>110</v>
      </c>
      <c r="F164" s="8">
        <f t="shared" si="184"/>
        <v>3850000</v>
      </c>
      <c r="G164" s="8"/>
      <c r="H164" s="8">
        <f t="shared" si="185"/>
        <v>0</v>
      </c>
      <c r="I164" s="8"/>
      <c r="J164" s="8">
        <f t="shared" si="186"/>
        <v>0</v>
      </c>
      <c r="K164" s="8">
        <f t="shared" si="182"/>
        <v>110</v>
      </c>
      <c r="L164" s="8">
        <f t="shared" si="183"/>
        <v>3850000</v>
      </c>
      <c r="M164" s="7"/>
      <c r="O164" t="str">
        <f t="shared" si="187"/>
        <v>01</v>
      </c>
      <c r="P164" s="10" t="s">
        <v>361</v>
      </c>
      <c r="Q164">
        <v>1</v>
      </c>
      <c r="R164">
        <f t="shared" si="188"/>
        <v>0</v>
      </c>
      <c r="S164">
        <f t="shared" si="189"/>
        <v>0</v>
      </c>
      <c r="T164">
        <f t="shared" si="190"/>
        <v>0</v>
      </c>
      <c r="U164">
        <f t="shared" si="191"/>
        <v>0</v>
      </c>
      <c r="V164">
        <f t="shared" si="192"/>
        <v>0</v>
      </c>
      <c r="W164">
        <f t="shared" si="193"/>
        <v>0</v>
      </c>
      <c r="X164">
        <f t="shared" si="194"/>
        <v>0</v>
      </c>
      <c r="Y164">
        <f t="shared" si="195"/>
        <v>0</v>
      </c>
      <c r="Z164">
        <f t="shared" si="196"/>
        <v>0</v>
      </c>
      <c r="AA164">
        <f t="shared" si="197"/>
        <v>0</v>
      </c>
      <c r="AB164">
        <f t="shared" si="198"/>
        <v>0</v>
      </c>
      <c r="AC164">
        <f t="shared" si="199"/>
        <v>0</v>
      </c>
      <c r="AD164">
        <f t="shared" si="200"/>
        <v>0</v>
      </c>
      <c r="AE164">
        <f t="shared" si="201"/>
        <v>0</v>
      </c>
      <c r="AF164">
        <f t="shared" si="202"/>
        <v>0</v>
      </c>
      <c r="AG164">
        <f t="shared" si="203"/>
        <v>0</v>
      </c>
      <c r="AH164">
        <f t="shared" si="204"/>
        <v>0</v>
      </c>
      <c r="AI164">
        <f t="shared" si="205"/>
        <v>0</v>
      </c>
      <c r="AJ164">
        <f t="shared" si="206"/>
        <v>0</v>
      </c>
      <c r="AK164">
        <f t="shared" si="207"/>
        <v>0</v>
      </c>
      <c r="AL164">
        <f t="shared" si="208"/>
        <v>0</v>
      </c>
      <c r="AM164">
        <f t="shared" si="209"/>
        <v>0</v>
      </c>
      <c r="AN164">
        <f t="shared" si="210"/>
        <v>0</v>
      </c>
      <c r="AO164">
        <f t="shared" si="211"/>
        <v>0</v>
      </c>
      <c r="AP164">
        <f t="shared" si="212"/>
        <v>0</v>
      </c>
      <c r="AQ164">
        <f t="shared" si="213"/>
        <v>0</v>
      </c>
      <c r="AR164">
        <f t="shared" si="214"/>
        <v>0</v>
      </c>
      <c r="AS164">
        <f t="shared" si="215"/>
        <v>0</v>
      </c>
      <c r="AT164">
        <f t="shared" si="216"/>
        <v>0</v>
      </c>
      <c r="AU164">
        <f t="shared" si="217"/>
        <v>0</v>
      </c>
    </row>
    <row r="165" spans="1:47" ht="21.9" customHeight="1" x14ac:dyDescent="0.4">
      <c r="A165" s="5" t="s">
        <v>820</v>
      </c>
      <c r="B165" s="5" t="s">
        <v>175</v>
      </c>
      <c r="C165" s="6" t="s">
        <v>70</v>
      </c>
      <c r="D165" s="8">
        <v>1</v>
      </c>
      <c r="E165" s="8">
        <f>ROUNDDOWN(단가대비표!N75, 0)</f>
        <v>14040000</v>
      </c>
      <c r="F165" s="8">
        <f t="shared" si="184"/>
        <v>14040000</v>
      </c>
      <c r="G165" s="8"/>
      <c r="H165" s="8">
        <f t="shared" si="185"/>
        <v>0</v>
      </c>
      <c r="I165" s="8"/>
      <c r="J165" s="8">
        <f t="shared" si="186"/>
        <v>0</v>
      </c>
      <c r="K165" s="8">
        <f t="shared" si="182"/>
        <v>14040000</v>
      </c>
      <c r="L165" s="8">
        <f t="shared" si="183"/>
        <v>14040000</v>
      </c>
      <c r="M165" s="7"/>
      <c r="O165" t="str">
        <f t="shared" si="187"/>
        <v>01</v>
      </c>
      <c r="P165" s="10" t="s">
        <v>361</v>
      </c>
      <c r="Q165">
        <v>1</v>
      </c>
      <c r="R165">
        <f t="shared" si="188"/>
        <v>0</v>
      </c>
      <c r="S165">
        <f t="shared" si="189"/>
        <v>0</v>
      </c>
      <c r="T165">
        <f t="shared" si="190"/>
        <v>0</v>
      </c>
      <c r="U165">
        <f t="shared" si="191"/>
        <v>0</v>
      </c>
      <c r="V165">
        <f t="shared" si="192"/>
        <v>0</v>
      </c>
      <c r="W165">
        <f t="shared" si="193"/>
        <v>0</v>
      </c>
      <c r="X165">
        <f t="shared" si="194"/>
        <v>0</v>
      </c>
      <c r="Y165">
        <f t="shared" si="195"/>
        <v>0</v>
      </c>
      <c r="Z165">
        <f t="shared" si="196"/>
        <v>0</v>
      </c>
      <c r="AA165">
        <f t="shared" si="197"/>
        <v>0</v>
      </c>
      <c r="AB165">
        <f t="shared" si="198"/>
        <v>0</v>
      </c>
      <c r="AC165">
        <f t="shared" si="199"/>
        <v>0</v>
      </c>
      <c r="AD165">
        <f t="shared" si="200"/>
        <v>0</v>
      </c>
      <c r="AE165">
        <f t="shared" si="201"/>
        <v>0</v>
      </c>
      <c r="AF165">
        <f t="shared" si="202"/>
        <v>0</v>
      </c>
      <c r="AG165">
        <f t="shared" si="203"/>
        <v>0</v>
      </c>
      <c r="AH165">
        <f t="shared" si="204"/>
        <v>0</v>
      </c>
      <c r="AI165">
        <f t="shared" si="205"/>
        <v>0</v>
      </c>
      <c r="AJ165">
        <f t="shared" si="206"/>
        <v>0</v>
      </c>
      <c r="AK165">
        <f t="shared" si="207"/>
        <v>0</v>
      </c>
      <c r="AL165">
        <f t="shared" si="208"/>
        <v>0</v>
      </c>
      <c r="AM165">
        <f t="shared" si="209"/>
        <v>0</v>
      </c>
      <c r="AN165">
        <f t="shared" si="210"/>
        <v>0</v>
      </c>
      <c r="AO165">
        <f t="shared" si="211"/>
        <v>0</v>
      </c>
      <c r="AP165">
        <f t="shared" si="212"/>
        <v>0</v>
      </c>
      <c r="AQ165">
        <f t="shared" si="213"/>
        <v>0</v>
      </c>
      <c r="AR165">
        <f t="shared" si="214"/>
        <v>0</v>
      </c>
      <c r="AS165">
        <f t="shared" si="215"/>
        <v>0</v>
      </c>
      <c r="AT165">
        <f t="shared" si="216"/>
        <v>0</v>
      </c>
      <c r="AU165">
        <f t="shared" si="217"/>
        <v>0</v>
      </c>
    </row>
    <row r="166" spans="1:47" ht="21.9" customHeight="1" x14ac:dyDescent="0.4">
      <c r="A166" s="5" t="s">
        <v>723</v>
      </c>
      <c r="B166" s="5" t="s">
        <v>119</v>
      </c>
      <c r="C166" s="6" t="s">
        <v>70</v>
      </c>
      <c r="D166" s="8">
        <v>1</v>
      </c>
      <c r="E166" s="8">
        <f>ROUNDDOWN(단가대비표!N51, 0)</f>
        <v>1391000</v>
      </c>
      <c r="F166" s="8">
        <f t="shared" si="184"/>
        <v>1391000</v>
      </c>
      <c r="G166" s="8">
        <v>0</v>
      </c>
      <c r="H166" s="8">
        <f t="shared" si="185"/>
        <v>0</v>
      </c>
      <c r="I166" s="8">
        <v>0</v>
      </c>
      <c r="J166" s="8">
        <f t="shared" si="186"/>
        <v>0</v>
      </c>
      <c r="K166" s="8">
        <f t="shared" si="182"/>
        <v>1391000</v>
      </c>
      <c r="L166" s="8">
        <f t="shared" si="183"/>
        <v>1391000</v>
      </c>
      <c r="M166" s="7"/>
      <c r="O166" t="str">
        <f t="shared" si="187"/>
        <v>01</v>
      </c>
      <c r="P166" s="10" t="s">
        <v>361</v>
      </c>
      <c r="Q166">
        <v>1</v>
      </c>
      <c r="R166">
        <f t="shared" si="188"/>
        <v>0</v>
      </c>
      <c r="S166">
        <f t="shared" si="189"/>
        <v>0</v>
      </c>
      <c r="T166">
        <f t="shared" si="190"/>
        <v>0</v>
      </c>
      <c r="U166">
        <f t="shared" si="191"/>
        <v>0</v>
      </c>
      <c r="V166">
        <f t="shared" si="192"/>
        <v>0</v>
      </c>
      <c r="W166">
        <f t="shared" si="193"/>
        <v>0</v>
      </c>
      <c r="X166">
        <f t="shared" si="194"/>
        <v>0</v>
      </c>
      <c r="Y166">
        <f t="shared" si="195"/>
        <v>0</v>
      </c>
      <c r="Z166">
        <f t="shared" si="196"/>
        <v>0</v>
      </c>
      <c r="AA166">
        <f t="shared" si="197"/>
        <v>0</v>
      </c>
      <c r="AB166">
        <f t="shared" si="198"/>
        <v>0</v>
      </c>
      <c r="AC166">
        <f t="shared" si="199"/>
        <v>0</v>
      </c>
      <c r="AD166">
        <f t="shared" si="200"/>
        <v>0</v>
      </c>
      <c r="AE166">
        <f t="shared" si="201"/>
        <v>0</v>
      </c>
      <c r="AF166">
        <f t="shared" si="202"/>
        <v>0</v>
      </c>
      <c r="AG166">
        <f t="shared" si="203"/>
        <v>0</v>
      </c>
      <c r="AH166">
        <f t="shared" si="204"/>
        <v>0</v>
      </c>
      <c r="AI166">
        <f t="shared" si="205"/>
        <v>0</v>
      </c>
      <c r="AJ166">
        <f t="shared" si="206"/>
        <v>0</v>
      </c>
      <c r="AK166">
        <f t="shared" si="207"/>
        <v>0</v>
      </c>
      <c r="AL166">
        <f t="shared" si="208"/>
        <v>0</v>
      </c>
      <c r="AM166">
        <f t="shared" si="209"/>
        <v>0</v>
      </c>
      <c r="AN166">
        <f t="shared" si="210"/>
        <v>0</v>
      </c>
      <c r="AO166">
        <f t="shared" si="211"/>
        <v>0</v>
      </c>
      <c r="AP166">
        <f t="shared" si="212"/>
        <v>0</v>
      </c>
      <c r="AQ166">
        <f t="shared" si="213"/>
        <v>0</v>
      </c>
      <c r="AR166">
        <f t="shared" si="214"/>
        <v>0</v>
      </c>
      <c r="AS166">
        <f t="shared" si="215"/>
        <v>0</v>
      </c>
      <c r="AT166">
        <f t="shared" si="216"/>
        <v>0</v>
      </c>
      <c r="AU166">
        <f t="shared" si="217"/>
        <v>0</v>
      </c>
    </row>
    <row r="167" spans="1:47" ht="21.9" customHeight="1" x14ac:dyDescent="0.4">
      <c r="A167" s="5" t="s">
        <v>724</v>
      </c>
      <c r="B167" s="5" t="s">
        <v>173</v>
      </c>
      <c r="C167" s="6" t="s">
        <v>18</v>
      </c>
      <c r="D167" s="8">
        <v>4</v>
      </c>
      <c r="E167" s="8">
        <f>ROUNDDOWN(단가대비표!N74, 0)</f>
        <v>395200</v>
      </c>
      <c r="F167" s="8">
        <f t="shared" si="184"/>
        <v>1580800</v>
      </c>
      <c r="G167" s="8"/>
      <c r="H167" s="8">
        <f t="shared" si="185"/>
        <v>0</v>
      </c>
      <c r="I167" s="8"/>
      <c r="J167" s="8">
        <f t="shared" si="186"/>
        <v>0</v>
      </c>
      <c r="K167" s="8">
        <f t="shared" si="182"/>
        <v>395200</v>
      </c>
      <c r="L167" s="8">
        <f t="shared" si="183"/>
        <v>1580800</v>
      </c>
      <c r="M167" s="7"/>
      <c r="O167" t="str">
        <f t="shared" si="187"/>
        <v>01</v>
      </c>
      <c r="P167" s="10" t="s">
        <v>361</v>
      </c>
      <c r="Q167">
        <v>1</v>
      </c>
      <c r="R167">
        <f t="shared" si="188"/>
        <v>0</v>
      </c>
      <c r="S167">
        <f t="shared" si="189"/>
        <v>0</v>
      </c>
      <c r="T167">
        <f t="shared" si="190"/>
        <v>0</v>
      </c>
      <c r="U167">
        <f t="shared" si="191"/>
        <v>0</v>
      </c>
      <c r="V167">
        <f t="shared" si="192"/>
        <v>0</v>
      </c>
      <c r="W167">
        <f t="shared" si="193"/>
        <v>0</v>
      </c>
      <c r="X167">
        <f t="shared" si="194"/>
        <v>0</v>
      </c>
      <c r="Y167">
        <f t="shared" si="195"/>
        <v>0</v>
      </c>
      <c r="Z167">
        <f t="shared" si="196"/>
        <v>0</v>
      </c>
      <c r="AA167">
        <f t="shared" si="197"/>
        <v>0</v>
      </c>
      <c r="AB167">
        <f t="shared" si="198"/>
        <v>0</v>
      </c>
      <c r="AC167">
        <f t="shared" si="199"/>
        <v>0</v>
      </c>
      <c r="AD167">
        <f t="shared" si="200"/>
        <v>0</v>
      </c>
      <c r="AE167">
        <f t="shared" si="201"/>
        <v>0</v>
      </c>
      <c r="AF167">
        <f t="shared" si="202"/>
        <v>0</v>
      </c>
      <c r="AG167">
        <f t="shared" si="203"/>
        <v>0</v>
      </c>
      <c r="AH167">
        <f t="shared" si="204"/>
        <v>0</v>
      </c>
      <c r="AI167">
        <f t="shared" si="205"/>
        <v>0</v>
      </c>
      <c r="AJ167">
        <f t="shared" si="206"/>
        <v>0</v>
      </c>
      <c r="AK167">
        <f t="shared" si="207"/>
        <v>0</v>
      </c>
      <c r="AL167">
        <f t="shared" si="208"/>
        <v>0</v>
      </c>
      <c r="AM167">
        <f t="shared" si="209"/>
        <v>0</v>
      </c>
      <c r="AN167">
        <f t="shared" si="210"/>
        <v>0</v>
      </c>
      <c r="AO167">
        <f t="shared" si="211"/>
        <v>0</v>
      </c>
      <c r="AP167">
        <f t="shared" si="212"/>
        <v>0</v>
      </c>
      <c r="AQ167">
        <f t="shared" si="213"/>
        <v>0</v>
      </c>
      <c r="AR167">
        <f t="shared" si="214"/>
        <v>0</v>
      </c>
      <c r="AS167">
        <f t="shared" si="215"/>
        <v>0</v>
      </c>
      <c r="AT167">
        <f t="shared" si="216"/>
        <v>0</v>
      </c>
      <c r="AU167">
        <f t="shared" si="217"/>
        <v>0</v>
      </c>
    </row>
    <row r="168" spans="1:47" ht="21.9" customHeight="1" x14ac:dyDescent="0.4">
      <c r="A168" s="5" t="s">
        <v>725</v>
      </c>
      <c r="B168" s="5" t="s">
        <v>75</v>
      </c>
      <c r="C168" s="6" t="s">
        <v>70</v>
      </c>
      <c r="D168" s="8">
        <v>3</v>
      </c>
      <c r="E168" s="8">
        <f>ROUNDDOWN(단가대비표!N29, 0)</f>
        <v>395200</v>
      </c>
      <c r="F168" s="8">
        <f t="shared" si="184"/>
        <v>1185600</v>
      </c>
      <c r="G168" s="8"/>
      <c r="H168" s="8">
        <f t="shared" si="185"/>
        <v>0</v>
      </c>
      <c r="I168" s="8"/>
      <c r="J168" s="8">
        <f t="shared" si="186"/>
        <v>0</v>
      </c>
      <c r="K168" s="8">
        <f t="shared" si="182"/>
        <v>395200</v>
      </c>
      <c r="L168" s="8">
        <f t="shared" si="183"/>
        <v>1185600</v>
      </c>
      <c r="M168" s="7"/>
      <c r="O168" t="str">
        <f t="shared" si="187"/>
        <v>01</v>
      </c>
      <c r="P168" s="10" t="s">
        <v>361</v>
      </c>
      <c r="Q168">
        <v>1</v>
      </c>
      <c r="R168">
        <f t="shared" si="188"/>
        <v>0</v>
      </c>
      <c r="S168">
        <f t="shared" si="189"/>
        <v>0</v>
      </c>
      <c r="T168">
        <f t="shared" si="190"/>
        <v>0</v>
      </c>
      <c r="U168">
        <f t="shared" si="191"/>
        <v>0</v>
      </c>
      <c r="V168">
        <f t="shared" si="192"/>
        <v>0</v>
      </c>
      <c r="W168">
        <f t="shared" si="193"/>
        <v>0</v>
      </c>
      <c r="X168">
        <f t="shared" si="194"/>
        <v>0</v>
      </c>
      <c r="Y168">
        <f t="shared" si="195"/>
        <v>0</v>
      </c>
      <c r="Z168">
        <f t="shared" si="196"/>
        <v>0</v>
      </c>
      <c r="AA168">
        <f t="shared" si="197"/>
        <v>0</v>
      </c>
      <c r="AB168">
        <f t="shared" si="198"/>
        <v>0</v>
      </c>
      <c r="AC168">
        <f t="shared" si="199"/>
        <v>0</v>
      </c>
      <c r="AD168">
        <f t="shared" si="200"/>
        <v>0</v>
      </c>
      <c r="AE168">
        <f t="shared" si="201"/>
        <v>0</v>
      </c>
      <c r="AF168">
        <f t="shared" si="202"/>
        <v>0</v>
      </c>
      <c r="AG168">
        <f t="shared" si="203"/>
        <v>0</v>
      </c>
      <c r="AH168">
        <f t="shared" si="204"/>
        <v>0</v>
      </c>
      <c r="AI168">
        <f t="shared" si="205"/>
        <v>0</v>
      </c>
      <c r="AJ168">
        <f t="shared" si="206"/>
        <v>0</v>
      </c>
      <c r="AK168">
        <f t="shared" si="207"/>
        <v>0</v>
      </c>
      <c r="AL168">
        <f t="shared" si="208"/>
        <v>0</v>
      </c>
      <c r="AM168">
        <f t="shared" si="209"/>
        <v>0</v>
      </c>
      <c r="AN168">
        <f t="shared" si="210"/>
        <v>0</v>
      </c>
      <c r="AO168">
        <f t="shared" si="211"/>
        <v>0</v>
      </c>
      <c r="AP168">
        <f t="shared" si="212"/>
        <v>0</v>
      </c>
      <c r="AQ168">
        <f t="shared" si="213"/>
        <v>0</v>
      </c>
      <c r="AR168">
        <f t="shared" si="214"/>
        <v>0</v>
      </c>
      <c r="AS168">
        <f t="shared" si="215"/>
        <v>0</v>
      </c>
      <c r="AT168">
        <f t="shared" si="216"/>
        <v>0</v>
      </c>
      <c r="AU168">
        <f t="shared" si="217"/>
        <v>0</v>
      </c>
    </row>
    <row r="169" spans="1:47" ht="21.9" customHeight="1" x14ac:dyDescent="0.4">
      <c r="A169" s="5" t="s">
        <v>726</v>
      </c>
      <c r="B169" s="5" t="s">
        <v>69</v>
      </c>
      <c r="C169" s="6" t="s">
        <v>70</v>
      </c>
      <c r="D169" s="8">
        <v>1</v>
      </c>
      <c r="E169" s="8">
        <f>ROUNDDOWN(단가대비표!N27, 0)</f>
        <v>353600</v>
      </c>
      <c r="F169" s="8">
        <f t="shared" si="184"/>
        <v>353600</v>
      </c>
      <c r="G169" s="8"/>
      <c r="H169" s="8">
        <f t="shared" si="185"/>
        <v>0</v>
      </c>
      <c r="I169" s="8"/>
      <c r="J169" s="8">
        <f t="shared" si="186"/>
        <v>0</v>
      </c>
      <c r="K169" s="8">
        <f t="shared" si="182"/>
        <v>353600</v>
      </c>
      <c r="L169" s="8">
        <f t="shared" si="183"/>
        <v>353600</v>
      </c>
      <c r="M169" s="7"/>
      <c r="O169" t="str">
        <f t="shared" si="187"/>
        <v>01</v>
      </c>
      <c r="P169" s="10" t="s">
        <v>361</v>
      </c>
      <c r="Q169">
        <v>1</v>
      </c>
      <c r="R169">
        <f t="shared" si="188"/>
        <v>0</v>
      </c>
      <c r="S169">
        <f t="shared" si="189"/>
        <v>0</v>
      </c>
      <c r="T169">
        <f t="shared" si="190"/>
        <v>0</v>
      </c>
      <c r="U169">
        <f t="shared" si="191"/>
        <v>0</v>
      </c>
      <c r="V169">
        <f t="shared" si="192"/>
        <v>0</v>
      </c>
      <c r="W169">
        <f t="shared" si="193"/>
        <v>0</v>
      </c>
      <c r="X169">
        <f t="shared" si="194"/>
        <v>0</v>
      </c>
      <c r="Y169">
        <f t="shared" si="195"/>
        <v>0</v>
      </c>
      <c r="Z169">
        <f t="shared" si="196"/>
        <v>0</v>
      </c>
      <c r="AA169">
        <f t="shared" si="197"/>
        <v>0</v>
      </c>
      <c r="AB169">
        <f t="shared" si="198"/>
        <v>0</v>
      </c>
      <c r="AC169">
        <f t="shared" si="199"/>
        <v>0</v>
      </c>
      <c r="AD169">
        <f t="shared" si="200"/>
        <v>0</v>
      </c>
      <c r="AE169">
        <f t="shared" si="201"/>
        <v>0</v>
      </c>
      <c r="AF169">
        <f t="shared" si="202"/>
        <v>0</v>
      </c>
      <c r="AG169">
        <f t="shared" si="203"/>
        <v>0</v>
      </c>
      <c r="AH169">
        <f t="shared" si="204"/>
        <v>0</v>
      </c>
      <c r="AI169">
        <f t="shared" si="205"/>
        <v>0</v>
      </c>
      <c r="AJ169">
        <f t="shared" si="206"/>
        <v>0</v>
      </c>
      <c r="AK169">
        <f t="shared" si="207"/>
        <v>0</v>
      </c>
      <c r="AL169">
        <f t="shared" si="208"/>
        <v>0</v>
      </c>
      <c r="AM169">
        <f t="shared" si="209"/>
        <v>0</v>
      </c>
      <c r="AN169">
        <f t="shared" si="210"/>
        <v>0</v>
      </c>
      <c r="AO169">
        <f t="shared" si="211"/>
        <v>0</v>
      </c>
      <c r="AP169">
        <f t="shared" si="212"/>
        <v>0</v>
      </c>
      <c r="AQ169">
        <f t="shared" si="213"/>
        <v>0</v>
      </c>
      <c r="AR169">
        <f t="shared" si="214"/>
        <v>0</v>
      </c>
      <c r="AS169">
        <f t="shared" si="215"/>
        <v>0</v>
      </c>
      <c r="AT169">
        <f t="shared" si="216"/>
        <v>0</v>
      </c>
      <c r="AU169">
        <f t="shared" si="217"/>
        <v>0</v>
      </c>
    </row>
    <row r="170" spans="1:47" ht="21.9" customHeight="1" x14ac:dyDescent="0.4">
      <c r="A170" s="5" t="s">
        <v>727</v>
      </c>
      <c r="B170" s="5" t="s">
        <v>177</v>
      </c>
      <c r="C170" s="6" t="s">
        <v>18</v>
      </c>
      <c r="D170" s="8">
        <v>1</v>
      </c>
      <c r="E170" s="8">
        <f>ROUNDDOWN(단가대비표!N76, 0)</f>
        <v>93600</v>
      </c>
      <c r="F170" s="8">
        <f t="shared" si="184"/>
        <v>93600</v>
      </c>
      <c r="G170" s="8"/>
      <c r="H170" s="8">
        <f t="shared" si="185"/>
        <v>0</v>
      </c>
      <c r="I170" s="8"/>
      <c r="J170" s="8">
        <f t="shared" si="186"/>
        <v>0</v>
      </c>
      <c r="K170" s="8">
        <f t="shared" si="182"/>
        <v>93600</v>
      </c>
      <c r="L170" s="8">
        <f t="shared" si="183"/>
        <v>93600</v>
      </c>
      <c r="M170" s="7"/>
      <c r="O170" t="str">
        <f t="shared" si="187"/>
        <v>01</v>
      </c>
      <c r="P170" s="10" t="s">
        <v>361</v>
      </c>
      <c r="Q170">
        <v>1</v>
      </c>
      <c r="R170">
        <f t="shared" si="188"/>
        <v>0</v>
      </c>
      <c r="S170">
        <f t="shared" si="189"/>
        <v>0</v>
      </c>
      <c r="T170">
        <f t="shared" si="190"/>
        <v>0</v>
      </c>
      <c r="U170">
        <f t="shared" si="191"/>
        <v>0</v>
      </c>
      <c r="V170">
        <f t="shared" si="192"/>
        <v>0</v>
      </c>
      <c r="W170">
        <f t="shared" si="193"/>
        <v>0</v>
      </c>
      <c r="X170">
        <f t="shared" si="194"/>
        <v>0</v>
      </c>
      <c r="Y170">
        <f t="shared" si="195"/>
        <v>0</v>
      </c>
      <c r="Z170">
        <f t="shared" si="196"/>
        <v>0</v>
      </c>
      <c r="AA170">
        <f t="shared" si="197"/>
        <v>0</v>
      </c>
      <c r="AB170">
        <f t="shared" si="198"/>
        <v>0</v>
      </c>
      <c r="AC170">
        <f t="shared" si="199"/>
        <v>0</v>
      </c>
      <c r="AD170">
        <f t="shared" si="200"/>
        <v>0</v>
      </c>
      <c r="AE170">
        <f t="shared" si="201"/>
        <v>0</v>
      </c>
      <c r="AF170">
        <f t="shared" si="202"/>
        <v>0</v>
      </c>
      <c r="AG170">
        <f t="shared" si="203"/>
        <v>0</v>
      </c>
      <c r="AH170">
        <f t="shared" si="204"/>
        <v>0</v>
      </c>
      <c r="AI170">
        <f t="shared" si="205"/>
        <v>0</v>
      </c>
      <c r="AJ170">
        <f t="shared" si="206"/>
        <v>0</v>
      </c>
      <c r="AK170">
        <f t="shared" si="207"/>
        <v>0</v>
      </c>
      <c r="AL170">
        <f t="shared" si="208"/>
        <v>0</v>
      </c>
      <c r="AM170">
        <f t="shared" si="209"/>
        <v>0</v>
      </c>
      <c r="AN170">
        <f t="shared" si="210"/>
        <v>0</v>
      </c>
      <c r="AO170">
        <f t="shared" si="211"/>
        <v>0</v>
      </c>
      <c r="AP170">
        <f t="shared" si="212"/>
        <v>0</v>
      </c>
      <c r="AQ170">
        <f t="shared" si="213"/>
        <v>0</v>
      </c>
      <c r="AR170">
        <f t="shared" si="214"/>
        <v>0</v>
      </c>
      <c r="AS170">
        <f t="shared" si="215"/>
        <v>0</v>
      </c>
      <c r="AT170">
        <f t="shared" si="216"/>
        <v>0</v>
      </c>
      <c r="AU170">
        <f t="shared" si="217"/>
        <v>0</v>
      </c>
    </row>
    <row r="171" spans="1:47" ht="21.9" customHeight="1" x14ac:dyDescent="0.4">
      <c r="A171" s="5" t="s">
        <v>728</v>
      </c>
      <c r="B171" s="5" t="s">
        <v>216</v>
      </c>
      <c r="C171" s="6" t="s">
        <v>21</v>
      </c>
      <c r="D171" s="8">
        <v>9</v>
      </c>
      <c r="E171" s="8">
        <f>ROUNDDOWN(단가대비표!N96, 0)</f>
        <v>176800</v>
      </c>
      <c r="F171" s="8">
        <f t="shared" si="184"/>
        <v>1591200</v>
      </c>
      <c r="G171" s="8"/>
      <c r="H171" s="8">
        <f t="shared" si="185"/>
        <v>0</v>
      </c>
      <c r="I171" s="8"/>
      <c r="J171" s="8">
        <f t="shared" si="186"/>
        <v>0</v>
      </c>
      <c r="K171" s="8">
        <f t="shared" si="182"/>
        <v>176800</v>
      </c>
      <c r="L171" s="8">
        <f t="shared" si="183"/>
        <v>1591200</v>
      </c>
      <c r="M171" s="7"/>
      <c r="O171" t="str">
        <f t="shared" si="187"/>
        <v>01</v>
      </c>
      <c r="P171" s="10" t="s">
        <v>361</v>
      </c>
      <c r="Q171">
        <v>1</v>
      </c>
      <c r="R171">
        <f t="shared" si="188"/>
        <v>0</v>
      </c>
      <c r="S171">
        <f t="shared" si="189"/>
        <v>0</v>
      </c>
      <c r="T171">
        <f t="shared" si="190"/>
        <v>0</v>
      </c>
      <c r="U171">
        <f t="shared" si="191"/>
        <v>0</v>
      </c>
      <c r="V171">
        <f t="shared" si="192"/>
        <v>0</v>
      </c>
      <c r="W171">
        <f t="shared" si="193"/>
        <v>0</v>
      </c>
      <c r="X171">
        <f t="shared" si="194"/>
        <v>0</v>
      </c>
      <c r="Y171">
        <f t="shared" si="195"/>
        <v>0</v>
      </c>
      <c r="Z171">
        <f t="shared" si="196"/>
        <v>0</v>
      </c>
      <c r="AA171">
        <f t="shared" si="197"/>
        <v>0</v>
      </c>
      <c r="AB171">
        <f t="shared" si="198"/>
        <v>0</v>
      </c>
      <c r="AC171">
        <f t="shared" si="199"/>
        <v>0</v>
      </c>
      <c r="AD171">
        <f t="shared" si="200"/>
        <v>0</v>
      </c>
      <c r="AE171">
        <f t="shared" si="201"/>
        <v>0</v>
      </c>
      <c r="AF171">
        <f t="shared" si="202"/>
        <v>0</v>
      </c>
      <c r="AG171">
        <f t="shared" si="203"/>
        <v>0</v>
      </c>
      <c r="AH171">
        <f t="shared" si="204"/>
        <v>0</v>
      </c>
      <c r="AI171">
        <f t="shared" si="205"/>
        <v>0</v>
      </c>
      <c r="AJ171">
        <f t="shared" si="206"/>
        <v>0</v>
      </c>
      <c r="AK171">
        <f t="shared" si="207"/>
        <v>0</v>
      </c>
      <c r="AL171">
        <f t="shared" si="208"/>
        <v>0</v>
      </c>
      <c r="AM171">
        <f t="shared" si="209"/>
        <v>0</v>
      </c>
      <c r="AN171">
        <f t="shared" si="210"/>
        <v>0</v>
      </c>
      <c r="AO171">
        <f t="shared" si="211"/>
        <v>0</v>
      </c>
      <c r="AP171">
        <f t="shared" si="212"/>
        <v>0</v>
      </c>
      <c r="AQ171">
        <f t="shared" si="213"/>
        <v>0</v>
      </c>
      <c r="AR171">
        <f t="shared" si="214"/>
        <v>0</v>
      </c>
      <c r="AS171">
        <f t="shared" si="215"/>
        <v>0</v>
      </c>
      <c r="AT171">
        <f t="shared" si="216"/>
        <v>0</v>
      </c>
      <c r="AU171">
        <f t="shared" si="217"/>
        <v>0</v>
      </c>
    </row>
    <row r="172" spans="1:47" ht="21.9" customHeight="1" x14ac:dyDescent="0.4">
      <c r="A172" s="5" t="s">
        <v>729</v>
      </c>
      <c r="B172" s="5" t="s">
        <v>134</v>
      </c>
      <c r="C172" s="6" t="s">
        <v>18</v>
      </c>
      <c r="D172" s="8">
        <v>20</v>
      </c>
      <c r="E172" s="8">
        <f>ROUNDDOWN(단가대비표!N57, 0)</f>
        <v>7800</v>
      </c>
      <c r="F172" s="8">
        <f t="shared" si="184"/>
        <v>156000</v>
      </c>
      <c r="G172" s="8"/>
      <c r="H172" s="8">
        <f t="shared" si="185"/>
        <v>0</v>
      </c>
      <c r="I172" s="8"/>
      <c r="J172" s="8">
        <f t="shared" si="186"/>
        <v>0</v>
      </c>
      <c r="K172" s="8">
        <f t="shared" si="182"/>
        <v>7800</v>
      </c>
      <c r="L172" s="8">
        <f t="shared" si="183"/>
        <v>156000</v>
      </c>
      <c r="M172" s="7"/>
      <c r="O172" t="str">
        <f t="shared" si="187"/>
        <v>01</v>
      </c>
      <c r="P172" s="10" t="s">
        <v>361</v>
      </c>
      <c r="Q172">
        <v>1</v>
      </c>
      <c r="R172">
        <f t="shared" si="188"/>
        <v>0</v>
      </c>
      <c r="S172">
        <f t="shared" si="189"/>
        <v>0</v>
      </c>
      <c r="T172">
        <f t="shared" si="190"/>
        <v>0</v>
      </c>
      <c r="U172">
        <f t="shared" si="191"/>
        <v>0</v>
      </c>
      <c r="V172">
        <f t="shared" si="192"/>
        <v>0</v>
      </c>
      <c r="W172">
        <f t="shared" si="193"/>
        <v>0</v>
      </c>
      <c r="X172">
        <f t="shared" si="194"/>
        <v>0</v>
      </c>
      <c r="Y172">
        <f t="shared" si="195"/>
        <v>0</v>
      </c>
      <c r="Z172">
        <f t="shared" si="196"/>
        <v>0</v>
      </c>
      <c r="AA172">
        <f t="shared" si="197"/>
        <v>0</v>
      </c>
      <c r="AB172">
        <f t="shared" si="198"/>
        <v>0</v>
      </c>
      <c r="AC172">
        <f t="shared" si="199"/>
        <v>0</v>
      </c>
      <c r="AD172">
        <f t="shared" si="200"/>
        <v>0</v>
      </c>
      <c r="AE172">
        <f t="shared" si="201"/>
        <v>0</v>
      </c>
      <c r="AF172">
        <f t="shared" si="202"/>
        <v>0</v>
      </c>
      <c r="AG172">
        <f t="shared" si="203"/>
        <v>0</v>
      </c>
      <c r="AH172">
        <f t="shared" si="204"/>
        <v>0</v>
      </c>
      <c r="AI172">
        <f t="shared" si="205"/>
        <v>0</v>
      </c>
      <c r="AJ172">
        <f t="shared" si="206"/>
        <v>0</v>
      </c>
      <c r="AK172">
        <f t="shared" si="207"/>
        <v>0</v>
      </c>
      <c r="AL172">
        <f t="shared" si="208"/>
        <v>0</v>
      </c>
      <c r="AM172">
        <f t="shared" si="209"/>
        <v>0</v>
      </c>
      <c r="AN172">
        <f t="shared" si="210"/>
        <v>0</v>
      </c>
      <c r="AO172">
        <f t="shared" si="211"/>
        <v>0</v>
      </c>
      <c r="AP172">
        <f t="shared" si="212"/>
        <v>0</v>
      </c>
      <c r="AQ172">
        <f t="shared" si="213"/>
        <v>0</v>
      </c>
      <c r="AR172">
        <f t="shared" si="214"/>
        <v>0</v>
      </c>
      <c r="AS172">
        <f t="shared" si="215"/>
        <v>0</v>
      </c>
      <c r="AT172">
        <f t="shared" si="216"/>
        <v>0</v>
      </c>
      <c r="AU172">
        <f t="shared" si="217"/>
        <v>0</v>
      </c>
    </row>
    <row r="173" spans="1:47" ht="21.9" customHeight="1" x14ac:dyDescent="0.4">
      <c r="A173" s="5" t="s">
        <v>730</v>
      </c>
      <c r="B173" s="5" t="s">
        <v>134</v>
      </c>
      <c r="C173" s="6" t="s">
        <v>18</v>
      </c>
      <c r="D173" s="8">
        <v>30</v>
      </c>
      <c r="E173" s="8">
        <f>ROUNDDOWN(단가대비표!N98, 0)</f>
        <v>7800</v>
      </c>
      <c r="F173" s="8">
        <f t="shared" si="184"/>
        <v>234000</v>
      </c>
      <c r="G173" s="8"/>
      <c r="H173" s="8">
        <f t="shared" si="185"/>
        <v>0</v>
      </c>
      <c r="I173" s="8"/>
      <c r="J173" s="8">
        <f t="shared" si="186"/>
        <v>0</v>
      </c>
      <c r="K173" s="8">
        <f t="shared" si="182"/>
        <v>7800</v>
      </c>
      <c r="L173" s="8">
        <f t="shared" si="183"/>
        <v>234000</v>
      </c>
      <c r="M173" s="7"/>
      <c r="O173" t="str">
        <f t="shared" si="187"/>
        <v>01</v>
      </c>
      <c r="P173" s="10" t="s">
        <v>361</v>
      </c>
      <c r="Q173">
        <v>1</v>
      </c>
      <c r="R173">
        <f t="shared" si="188"/>
        <v>0</v>
      </c>
      <c r="S173">
        <f t="shared" si="189"/>
        <v>0</v>
      </c>
      <c r="T173">
        <f t="shared" si="190"/>
        <v>0</v>
      </c>
      <c r="U173">
        <f t="shared" si="191"/>
        <v>0</v>
      </c>
      <c r="V173">
        <f t="shared" si="192"/>
        <v>0</v>
      </c>
      <c r="W173">
        <f t="shared" si="193"/>
        <v>0</v>
      </c>
      <c r="X173">
        <f t="shared" si="194"/>
        <v>0</v>
      </c>
      <c r="Y173">
        <f t="shared" si="195"/>
        <v>0</v>
      </c>
      <c r="Z173">
        <f t="shared" si="196"/>
        <v>0</v>
      </c>
      <c r="AA173">
        <f t="shared" si="197"/>
        <v>0</v>
      </c>
      <c r="AB173">
        <f t="shared" si="198"/>
        <v>0</v>
      </c>
      <c r="AC173">
        <f t="shared" si="199"/>
        <v>0</v>
      </c>
      <c r="AD173">
        <f t="shared" si="200"/>
        <v>0</v>
      </c>
      <c r="AE173">
        <f t="shared" si="201"/>
        <v>0</v>
      </c>
      <c r="AF173">
        <f t="shared" si="202"/>
        <v>0</v>
      </c>
      <c r="AG173">
        <f t="shared" si="203"/>
        <v>0</v>
      </c>
      <c r="AH173">
        <f t="shared" si="204"/>
        <v>0</v>
      </c>
      <c r="AI173">
        <f t="shared" si="205"/>
        <v>0</v>
      </c>
      <c r="AJ173">
        <f t="shared" si="206"/>
        <v>0</v>
      </c>
      <c r="AK173">
        <f t="shared" si="207"/>
        <v>0</v>
      </c>
      <c r="AL173">
        <f t="shared" si="208"/>
        <v>0</v>
      </c>
      <c r="AM173">
        <f t="shared" si="209"/>
        <v>0</v>
      </c>
      <c r="AN173">
        <f t="shared" si="210"/>
        <v>0</v>
      </c>
      <c r="AO173">
        <f t="shared" si="211"/>
        <v>0</v>
      </c>
      <c r="AP173">
        <f t="shared" si="212"/>
        <v>0</v>
      </c>
      <c r="AQ173">
        <f t="shared" si="213"/>
        <v>0</v>
      </c>
      <c r="AR173">
        <f t="shared" si="214"/>
        <v>0</v>
      </c>
      <c r="AS173">
        <f t="shared" si="215"/>
        <v>0</v>
      </c>
      <c r="AT173">
        <f t="shared" si="216"/>
        <v>0</v>
      </c>
      <c r="AU173">
        <f t="shared" si="217"/>
        <v>0</v>
      </c>
    </row>
    <row r="174" spans="1:47" ht="21.9" customHeight="1" x14ac:dyDescent="0.4">
      <c r="A174" s="5" t="s">
        <v>731</v>
      </c>
      <c r="B174" s="5" t="s">
        <v>134</v>
      </c>
      <c r="C174" s="6" t="s">
        <v>18</v>
      </c>
      <c r="D174" s="8">
        <v>8</v>
      </c>
      <c r="E174" s="8">
        <f>ROUNDDOWN(단가대비표!N99, 0)</f>
        <v>7800</v>
      </c>
      <c r="F174" s="8">
        <f t="shared" si="184"/>
        <v>62400</v>
      </c>
      <c r="G174" s="8"/>
      <c r="H174" s="8">
        <f t="shared" si="185"/>
        <v>0</v>
      </c>
      <c r="I174" s="8"/>
      <c r="J174" s="8">
        <f t="shared" si="186"/>
        <v>0</v>
      </c>
      <c r="K174" s="8">
        <f t="shared" si="182"/>
        <v>7800</v>
      </c>
      <c r="L174" s="8">
        <f t="shared" si="183"/>
        <v>62400</v>
      </c>
      <c r="M174" s="7"/>
      <c r="O174" t="str">
        <f t="shared" si="187"/>
        <v>01</v>
      </c>
      <c r="P174" s="10" t="s">
        <v>361</v>
      </c>
      <c r="Q174">
        <v>1</v>
      </c>
      <c r="R174">
        <f t="shared" si="188"/>
        <v>0</v>
      </c>
      <c r="S174">
        <f t="shared" si="189"/>
        <v>0</v>
      </c>
      <c r="T174">
        <f t="shared" si="190"/>
        <v>0</v>
      </c>
      <c r="U174">
        <f t="shared" si="191"/>
        <v>0</v>
      </c>
      <c r="V174">
        <f t="shared" si="192"/>
        <v>0</v>
      </c>
      <c r="W174">
        <f t="shared" si="193"/>
        <v>0</v>
      </c>
      <c r="X174">
        <f t="shared" si="194"/>
        <v>0</v>
      </c>
      <c r="Y174">
        <f t="shared" si="195"/>
        <v>0</v>
      </c>
      <c r="Z174">
        <f t="shared" si="196"/>
        <v>0</v>
      </c>
      <c r="AA174">
        <f t="shared" si="197"/>
        <v>0</v>
      </c>
      <c r="AB174">
        <f t="shared" si="198"/>
        <v>0</v>
      </c>
      <c r="AC174">
        <f t="shared" si="199"/>
        <v>0</v>
      </c>
      <c r="AD174">
        <f t="shared" si="200"/>
        <v>0</v>
      </c>
      <c r="AE174">
        <f t="shared" si="201"/>
        <v>0</v>
      </c>
      <c r="AF174">
        <f t="shared" si="202"/>
        <v>0</v>
      </c>
      <c r="AG174">
        <f t="shared" si="203"/>
        <v>0</v>
      </c>
      <c r="AH174">
        <f t="shared" si="204"/>
        <v>0</v>
      </c>
      <c r="AI174">
        <f t="shared" si="205"/>
        <v>0</v>
      </c>
      <c r="AJ174">
        <f t="shared" si="206"/>
        <v>0</v>
      </c>
      <c r="AK174">
        <f t="shared" si="207"/>
        <v>0</v>
      </c>
      <c r="AL174">
        <f t="shared" si="208"/>
        <v>0</v>
      </c>
      <c r="AM174">
        <f t="shared" si="209"/>
        <v>0</v>
      </c>
      <c r="AN174">
        <f t="shared" si="210"/>
        <v>0</v>
      </c>
      <c r="AO174">
        <f t="shared" si="211"/>
        <v>0</v>
      </c>
      <c r="AP174">
        <f t="shared" si="212"/>
        <v>0</v>
      </c>
      <c r="AQ174">
        <f t="shared" si="213"/>
        <v>0</v>
      </c>
      <c r="AR174">
        <f t="shared" si="214"/>
        <v>0</v>
      </c>
      <c r="AS174">
        <f t="shared" si="215"/>
        <v>0</v>
      </c>
      <c r="AT174">
        <f t="shared" si="216"/>
        <v>0</v>
      </c>
      <c r="AU174">
        <f t="shared" si="217"/>
        <v>0</v>
      </c>
    </row>
    <row r="175" spans="1:47" ht="21.9" customHeight="1" x14ac:dyDescent="0.4">
      <c r="A175" s="5" t="s">
        <v>732</v>
      </c>
      <c r="B175" s="5" t="s">
        <v>108</v>
      </c>
      <c r="C175" s="6" t="s">
        <v>18</v>
      </c>
      <c r="D175" s="8">
        <v>216</v>
      </c>
      <c r="E175" s="8">
        <f>ROUNDDOWN(단가대비표!N44, 0)</f>
        <v>1560</v>
      </c>
      <c r="F175" s="8">
        <f t="shared" si="184"/>
        <v>336960</v>
      </c>
      <c r="G175" s="8"/>
      <c r="H175" s="8">
        <f t="shared" si="185"/>
        <v>0</v>
      </c>
      <c r="I175" s="8"/>
      <c r="J175" s="8">
        <f t="shared" si="186"/>
        <v>0</v>
      </c>
      <c r="K175" s="8">
        <f t="shared" si="182"/>
        <v>1560</v>
      </c>
      <c r="L175" s="8">
        <f t="shared" si="183"/>
        <v>336960</v>
      </c>
      <c r="M175" s="7"/>
      <c r="O175" t="str">
        <f t="shared" si="187"/>
        <v>01</v>
      </c>
      <c r="P175" s="10" t="s">
        <v>361</v>
      </c>
      <c r="Q175">
        <v>1</v>
      </c>
      <c r="R175">
        <f t="shared" si="188"/>
        <v>0</v>
      </c>
      <c r="S175">
        <f t="shared" si="189"/>
        <v>0</v>
      </c>
      <c r="T175">
        <f t="shared" si="190"/>
        <v>0</v>
      </c>
      <c r="U175">
        <f t="shared" si="191"/>
        <v>0</v>
      </c>
      <c r="V175">
        <f t="shared" si="192"/>
        <v>0</v>
      </c>
      <c r="W175">
        <f t="shared" si="193"/>
        <v>0</v>
      </c>
      <c r="X175">
        <f t="shared" si="194"/>
        <v>0</v>
      </c>
      <c r="Y175">
        <f t="shared" si="195"/>
        <v>0</v>
      </c>
      <c r="Z175">
        <f t="shared" si="196"/>
        <v>0</v>
      </c>
      <c r="AA175">
        <f t="shared" si="197"/>
        <v>0</v>
      </c>
      <c r="AB175">
        <f t="shared" si="198"/>
        <v>0</v>
      </c>
      <c r="AC175">
        <f t="shared" si="199"/>
        <v>0</v>
      </c>
      <c r="AD175">
        <f t="shared" si="200"/>
        <v>0</v>
      </c>
      <c r="AE175">
        <f t="shared" si="201"/>
        <v>0</v>
      </c>
      <c r="AF175">
        <f t="shared" si="202"/>
        <v>0</v>
      </c>
      <c r="AG175">
        <f t="shared" si="203"/>
        <v>0</v>
      </c>
      <c r="AH175">
        <f t="shared" si="204"/>
        <v>0</v>
      </c>
      <c r="AI175">
        <f t="shared" si="205"/>
        <v>0</v>
      </c>
      <c r="AJ175">
        <f t="shared" si="206"/>
        <v>0</v>
      </c>
      <c r="AK175">
        <f t="shared" si="207"/>
        <v>0</v>
      </c>
      <c r="AL175">
        <f t="shared" si="208"/>
        <v>0</v>
      </c>
      <c r="AM175">
        <f t="shared" si="209"/>
        <v>0</v>
      </c>
      <c r="AN175">
        <f t="shared" si="210"/>
        <v>0</v>
      </c>
      <c r="AO175">
        <f t="shared" si="211"/>
        <v>0</v>
      </c>
      <c r="AP175">
        <f t="shared" si="212"/>
        <v>0</v>
      </c>
      <c r="AQ175">
        <f t="shared" si="213"/>
        <v>0</v>
      </c>
      <c r="AR175">
        <f t="shared" si="214"/>
        <v>0</v>
      </c>
      <c r="AS175">
        <f t="shared" si="215"/>
        <v>0</v>
      </c>
      <c r="AT175">
        <f t="shared" si="216"/>
        <v>0</v>
      </c>
      <c r="AU175">
        <f t="shared" si="217"/>
        <v>0</v>
      </c>
    </row>
    <row r="176" spans="1:47" ht="21.9" customHeight="1" x14ac:dyDescent="0.4">
      <c r="A176" s="5" t="s">
        <v>733</v>
      </c>
      <c r="B176" s="5" t="s">
        <v>108</v>
      </c>
      <c r="C176" s="6" t="s">
        <v>18</v>
      </c>
      <c r="D176" s="8">
        <v>108</v>
      </c>
      <c r="E176" s="8">
        <f>ROUNDDOWN(단가대비표!N52, 0)</f>
        <v>520</v>
      </c>
      <c r="F176" s="8">
        <f t="shared" si="184"/>
        <v>56160</v>
      </c>
      <c r="G176" s="8"/>
      <c r="H176" s="8">
        <f t="shared" si="185"/>
        <v>0</v>
      </c>
      <c r="I176" s="8"/>
      <c r="J176" s="8">
        <f t="shared" si="186"/>
        <v>0</v>
      </c>
      <c r="K176" s="8">
        <f t="shared" si="182"/>
        <v>520</v>
      </c>
      <c r="L176" s="8">
        <f t="shared" si="183"/>
        <v>56160</v>
      </c>
      <c r="M176" s="7"/>
      <c r="O176" t="str">
        <f t="shared" si="187"/>
        <v>01</v>
      </c>
      <c r="P176" s="10" t="s">
        <v>361</v>
      </c>
      <c r="Q176">
        <v>1</v>
      </c>
      <c r="R176">
        <f t="shared" si="188"/>
        <v>0</v>
      </c>
      <c r="S176">
        <f t="shared" si="189"/>
        <v>0</v>
      </c>
      <c r="T176">
        <f t="shared" si="190"/>
        <v>0</v>
      </c>
      <c r="U176">
        <f t="shared" si="191"/>
        <v>0</v>
      </c>
      <c r="V176">
        <f t="shared" si="192"/>
        <v>0</v>
      </c>
      <c r="W176">
        <f t="shared" si="193"/>
        <v>0</v>
      </c>
      <c r="X176">
        <f t="shared" si="194"/>
        <v>0</v>
      </c>
      <c r="Y176">
        <f t="shared" si="195"/>
        <v>0</v>
      </c>
      <c r="Z176">
        <f t="shared" si="196"/>
        <v>0</v>
      </c>
      <c r="AA176">
        <f t="shared" si="197"/>
        <v>0</v>
      </c>
      <c r="AB176">
        <f t="shared" si="198"/>
        <v>0</v>
      </c>
      <c r="AC176">
        <f t="shared" si="199"/>
        <v>0</v>
      </c>
      <c r="AD176">
        <f t="shared" si="200"/>
        <v>0</v>
      </c>
      <c r="AE176">
        <f t="shared" si="201"/>
        <v>0</v>
      </c>
      <c r="AF176">
        <f t="shared" si="202"/>
        <v>0</v>
      </c>
      <c r="AG176">
        <f t="shared" si="203"/>
        <v>0</v>
      </c>
      <c r="AH176">
        <f t="shared" si="204"/>
        <v>0</v>
      </c>
      <c r="AI176">
        <f t="shared" si="205"/>
        <v>0</v>
      </c>
      <c r="AJ176">
        <f t="shared" si="206"/>
        <v>0</v>
      </c>
      <c r="AK176">
        <f t="shared" si="207"/>
        <v>0</v>
      </c>
      <c r="AL176">
        <f t="shared" si="208"/>
        <v>0</v>
      </c>
      <c r="AM176">
        <f t="shared" si="209"/>
        <v>0</v>
      </c>
      <c r="AN176">
        <f t="shared" si="210"/>
        <v>0</v>
      </c>
      <c r="AO176">
        <f t="shared" si="211"/>
        <v>0</v>
      </c>
      <c r="AP176">
        <f t="shared" si="212"/>
        <v>0</v>
      </c>
      <c r="AQ176">
        <f t="shared" si="213"/>
        <v>0</v>
      </c>
      <c r="AR176">
        <f t="shared" si="214"/>
        <v>0</v>
      </c>
      <c r="AS176">
        <f t="shared" si="215"/>
        <v>0</v>
      </c>
      <c r="AT176">
        <f t="shared" si="216"/>
        <v>0</v>
      </c>
      <c r="AU176">
        <f t="shared" si="217"/>
        <v>0</v>
      </c>
    </row>
    <row r="177" spans="1:47" ht="21.9" customHeight="1" x14ac:dyDescent="0.4">
      <c r="A177" s="5" t="s">
        <v>734</v>
      </c>
      <c r="B177" s="5" t="s">
        <v>229</v>
      </c>
      <c r="C177" s="6" t="s">
        <v>18</v>
      </c>
      <c r="D177" s="8">
        <v>54</v>
      </c>
      <c r="E177" s="8">
        <f>ROUNDDOWN(단가대비표!N103, 0)</f>
        <v>2600</v>
      </c>
      <c r="F177" s="8">
        <f t="shared" si="184"/>
        <v>140400</v>
      </c>
      <c r="G177" s="8"/>
      <c r="H177" s="8">
        <f t="shared" si="185"/>
        <v>0</v>
      </c>
      <c r="I177" s="8"/>
      <c r="J177" s="8">
        <f t="shared" si="186"/>
        <v>0</v>
      </c>
      <c r="K177" s="8">
        <f t="shared" si="182"/>
        <v>2600</v>
      </c>
      <c r="L177" s="8">
        <f t="shared" si="183"/>
        <v>140400</v>
      </c>
      <c r="M177" s="7"/>
      <c r="O177" t="str">
        <f t="shared" si="187"/>
        <v>01</v>
      </c>
      <c r="P177" s="10" t="s">
        <v>361</v>
      </c>
      <c r="Q177">
        <v>1</v>
      </c>
      <c r="R177">
        <f t="shared" si="188"/>
        <v>0</v>
      </c>
      <c r="S177">
        <f t="shared" si="189"/>
        <v>0</v>
      </c>
      <c r="T177">
        <f t="shared" si="190"/>
        <v>0</v>
      </c>
      <c r="U177">
        <f t="shared" si="191"/>
        <v>0</v>
      </c>
      <c r="V177">
        <f t="shared" si="192"/>
        <v>0</v>
      </c>
      <c r="W177">
        <f t="shared" si="193"/>
        <v>0</v>
      </c>
      <c r="X177">
        <f t="shared" si="194"/>
        <v>0</v>
      </c>
      <c r="Y177">
        <f t="shared" si="195"/>
        <v>0</v>
      </c>
      <c r="Z177">
        <f t="shared" si="196"/>
        <v>0</v>
      </c>
      <c r="AA177">
        <f t="shared" si="197"/>
        <v>0</v>
      </c>
      <c r="AB177">
        <f t="shared" si="198"/>
        <v>0</v>
      </c>
      <c r="AC177">
        <f t="shared" si="199"/>
        <v>0</v>
      </c>
      <c r="AD177">
        <f t="shared" si="200"/>
        <v>0</v>
      </c>
      <c r="AE177">
        <f t="shared" si="201"/>
        <v>0</v>
      </c>
      <c r="AF177">
        <f t="shared" si="202"/>
        <v>0</v>
      </c>
      <c r="AG177">
        <f t="shared" si="203"/>
        <v>0</v>
      </c>
      <c r="AH177">
        <f t="shared" si="204"/>
        <v>0</v>
      </c>
      <c r="AI177">
        <f t="shared" si="205"/>
        <v>0</v>
      </c>
      <c r="AJ177">
        <f t="shared" si="206"/>
        <v>0</v>
      </c>
      <c r="AK177">
        <f t="shared" si="207"/>
        <v>0</v>
      </c>
      <c r="AL177">
        <f t="shared" si="208"/>
        <v>0</v>
      </c>
      <c r="AM177">
        <f t="shared" si="209"/>
        <v>0</v>
      </c>
      <c r="AN177">
        <f t="shared" si="210"/>
        <v>0</v>
      </c>
      <c r="AO177">
        <f t="shared" si="211"/>
        <v>0</v>
      </c>
      <c r="AP177">
        <f t="shared" si="212"/>
        <v>0</v>
      </c>
      <c r="AQ177">
        <f t="shared" si="213"/>
        <v>0</v>
      </c>
      <c r="AR177">
        <f t="shared" si="214"/>
        <v>0</v>
      </c>
      <c r="AS177">
        <f t="shared" si="215"/>
        <v>0</v>
      </c>
      <c r="AT177">
        <f t="shared" si="216"/>
        <v>0</v>
      </c>
      <c r="AU177">
        <f t="shared" si="217"/>
        <v>0</v>
      </c>
    </row>
    <row r="178" spans="1:47" ht="21.9" customHeight="1" x14ac:dyDescent="0.4">
      <c r="A178" s="5" t="s">
        <v>735</v>
      </c>
      <c r="B178" s="5" t="s">
        <v>43</v>
      </c>
      <c r="C178" s="6" t="s">
        <v>18</v>
      </c>
      <c r="D178" s="8">
        <v>54</v>
      </c>
      <c r="E178" s="8">
        <f>ROUNDDOWN(단가대비표!N16, 0)</f>
        <v>1250</v>
      </c>
      <c r="F178" s="8">
        <f t="shared" si="184"/>
        <v>67500</v>
      </c>
      <c r="G178" s="8"/>
      <c r="H178" s="8">
        <f t="shared" si="185"/>
        <v>0</v>
      </c>
      <c r="I178" s="8"/>
      <c r="J178" s="8">
        <f t="shared" si="186"/>
        <v>0</v>
      </c>
      <c r="K178" s="8">
        <f t="shared" si="182"/>
        <v>1250</v>
      </c>
      <c r="L178" s="8">
        <f t="shared" si="183"/>
        <v>67500</v>
      </c>
      <c r="M178" s="7"/>
      <c r="O178" t="str">
        <f t="shared" si="187"/>
        <v>01</v>
      </c>
      <c r="P178" s="10" t="s">
        <v>361</v>
      </c>
      <c r="Q178">
        <v>1</v>
      </c>
      <c r="R178">
        <f t="shared" si="188"/>
        <v>0</v>
      </c>
      <c r="S178">
        <f t="shared" si="189"/>
        <v>0</v>
      </c>
      <c r="T178">
        <f t="shared" si="190"/>
        <v>0</v>
      </c>
      <c r="U178">
        <f t="shared" si="191"/>
        <v>0</v>
      </c>
      <c r="V178">
        <f t="shared" si="192"/>
        <v>0</v>
      </c>
      <c r="W178">
        <f t="shared" si="193"/>
        <v>0</v>
      </c>
      <c r="X178">
        <f t="shared" si="194"/>
        <v>0</v>
      </c>
      <c r="Y178">
        <f t="shared" si="195"/>
        <v>0</v>
      </c>
      <c r="Z178">
        <f t="shared" si="196"/>
        <v>0</v>
      </c>
      <c r="AA178">
        <f t="shared" si="197"/>
        <v>0</v>
      </c>
      <c r="AB178">
        <f t="shared" si="198"/>
        <v>0</v>
      </c>
      <c r="AC178">
        <f t="shared" si="199"/>
        <v>0</v>
      </c>
      <c r="AD178">
        <f t="shared" si="200"/>
        <v>0</v>
      </c>
      <c r="AE178">
        <f t="shared" si="201"/>
        <v>0</v>
      </c>
      <c r="AF178">
        <f t="shared" si="202"/>
        <v>0</v>
      </c>
      <c r="AG178">
        <f t="shared" si="203"/>
        <v>0</v>
      </c>
      <c r="AH178">
        <f t="shared" si="204"/>
        <v>0</v>
      </c>
      <c r="AI178">
        <f t="shared" si="205"/>
        <v>0</v>
      </c>
      <c r="AJ178">
        <f t="shared" si="206"/>
        <v>0</v>
      </c>
      <c r="AK178">
        <f t="shared" si="207"/>
        <v>0</v>
      </c>
      <c r="AL178">
        <f t="shared" si="208"/>
        <v>0</v>
      </c>
      <c r="AM178">
        <f t="shared" si="209"/>
        <v>0</v>
      </c>
      <c r="AN178">
        <f t="shared" si="210"/>
        <v>0</v>
      </c>
      <c r="AO178">
        <f t="shared" si="211"/>
        <v>0</v>
      </c>
      <c r="AP178">
        <f t="shared" si="212"/>
        <v>0</v>
      </c>
      <c r="AQ178">
        <f t="shared" si="213"/>
        <v>0</v>
      </c>
      <c r="AR178">
        <f t="shared" si="214"/>
        <v>0</v>
      </c>
      <c r="AS178">
        <f t="shared" si="215"/>
        <v>0</v>
      </c>
      <c r="AT178">
        <f t="shared" si="216"/>
        <v>0</v>
      </c>
      <c r="AU178">
        <f t="shared" si="217"/>
        <v>0</v>
      </c>
    </row>
    <row r="179" spans="1:47" ht="21.9" customHeight="1" x14ac:dyDescent="0.4">
      <c r="A179" s="5" t="s">
        <v>736</v>
      </c>
      <c r="B179" s="5" t="s">
        <v>184</v>
      </c>
      <c r="C179" s="6" t="s">
        <v>21</v>
      </c>
      <c r="D179" s="8">
        <v>2</v>
      </c>
      <c r="E179" s="8">
        <f>ROUNDDOWN(단가대비표!N78, 0)</f>
        <v>46800</v>
      </c>
      <c r="F179" s="8">
        <f t="shared" si="184"/>
        <v>93600</v>
      </c>
      <c r="G179" s="8"/>
      <c r="H179" s="8">
        <f t="shared" si="185"/>
        <v>0</v>
      </c>
      <c r="I179" s="8"/>
      <c r="J179" s="8">
        <f t="shared" si="186"/>
        <v>0</v>
      </c>
      <c r="K179" s="8">
        <f t="shared" si="182"/>
        <v>46800</v>
      </c>
      <c r="L179" s="8">
        <f t="shared" si="183"/>
        <v>93600</v>
      </c>
      <c r="M179" s="7"/>
      <c r="O179" t="str">
        <f t="shared" si="187"/>
        <v>01</v>
      </c>
      <c r="P179" s="10" t="s">
        <v>361</v>
      </c>
      <c r="Q179">
        <v>1</v>
      </c>
      <c r="R179">
        <f t="shared" si="188"/>
        <v>0</v>
      </c>
      <c r="S179">
        <f t="shared" si="189"/>
        <v>0</v>
      </c>
      <c r="T179">
        <f t="shared" si="190"/>
        <v>0</v>
      </c>
      <c r="U179">
        <f t="shared" si="191"/>
        <v>0</v>
      </c>
      <c r="V179">
        <f t="shared" si="192"/>
        <v>0</v>
      </c>
      <c r="W179">
        <f t="shared" si="193"/>
        <v>0</v>
      </c>
      <c r="X179">
        <f t="shared" si="194"/>
        <v>0</v>
      </c>
      <c r="Y179">
        <f t="shared" si="195"/>
        <v>0</v>
      </c>
      <c r="Z179">
        <f t="shared" si="196"/>
        <v>0</v>
      </c>
      <c r="AA179">
        <f t="shared" si="197"/>
        <v>0</v>
      </c>
      <c r="AB179">
        <f t="shared" si="198"/>
        <v>0</v>
      </c>
      <c r="AC179">
        <f t="shared" si="199"/>
        <v>0</v>
      </c>
      <c r="AD179">
        <f t="shared" si="200"/>
        <v>0</v>
      </c>
      <c r="AE179">
        <f t="shared" si="201"/>
        <v>0</v>
      </c>
      <c r="AF179">
        <f t="shared" si="202"/>
        <v>0</v>
      </c>
      <c r="AG179">
        <f t="shared" si="203"/>
        <v>0</v>
      </c>
      <c r="AH179">
        <f t="shared" si="204"/>
        <v>0</v>
      </c>
      <c r="AI179">
        <f t="shared" si="205"/>
        <v>0</v>
      </c>
      <c r="AJ179">
        <f t="shared" si="206"/>
        <v>0</v>
      </c>
      <c r="AK179">
        <f t="shared" si="207"/>
        <v>0</v>
      </c>
      <c r="AL179">
        <f t="shared" si="208"/>
        <v>0</v>
      </c>
      <c r="AM179">
        <f t="shared" si="209"/>
        <v>0</v>
      </c>
      <c r="AN179">
        <f t="shared" si="210"/>
        <v>0</v>
      </c>
      <c r="AO179">
        <f t="shared" si="211"/>
        <v>0</v>
      </c>
      <c r="AP179">
        <f t="shared" si="212"/>
        <v>0</v>
      </c>
      <c r="AQ179">
        <f t="shared" si="213"/>
        <v>0</v>
      </c>
      <c r="AR179">
        <f t="shared" si="214"/>
        <v>0</v>
      </c>
      <c r="AS179">
        <f t="shared" si="215"/>
        <v>0</v>
      </c>
      <c r="AT179">
        <f t="shared" si="216"/>
        <v>0</v>
      </c>
      <c r="AU179">
        <f t="shared" si="217"/>
        <v>0</v>
      </c>
    </row>
    <row r="180" spans="1:47" ht="21.9" customHeight="1" x14ac:dyDescent="0.4">
      <c r="A180" s="5" t="s">
        <v>737</v>
      </c>
      <c r="B180" s="5" t="s">
        <v>130</v>
      </c>
      <c r="C180" s="6" t="s">
        <v>21</v>
      </c>
      <c r="D180" s="8">
        <v>9</v>
      </c>
      <c r="E180" s="8">
        <f>ROUNDDOWN(단가대비표!N55, 0)</f>
        <v>1123200</v>
      </c>
      <c r="F180" s="8">
        <f t="shared" si="184"/>
        <v>10108800</v>
      </c>
      <c r="G180" s="8"/>
      <c r="H180" s="8">
        <f t="shared" si="185"/>
        <v>0</v>
      </c>
      <c r="I180" s="8"/>
      <c r="J180" s="8">
        <f t="shared" si="186"/>
        <v>0</v>
      </c>
      <c r="K180" s="8">
        <f t="shared" si="182"/>
        <v>1123200</v>
      </c>
      <c r="L180" s="8">
        <f t="shared" si="183"/>
        <v>10108800</v>
      </c>
      <c r="M180" s="7"/>
      <c r="O180" t="str">
        <f t="shared" si="187"/>
        <v>01</v>
      </c>
      <c r="P180" s="10" t="s">
        <v>361</v>
      </c>
      <c r="Q180">
        <v>1</v>
      </c>
      <c r="R180">
        <f t="shared" si="188"/>
        <v>0</v>
      </c>
      <c r="S180">
        <f t="shared" si="189"/>
        <v>0</v>
      </c>
      <c r="T180">
        <f t="shared" si="190"/>
        <v>0</v>
      </c>
      <c r="U180">
        <f t="shared" si="191"/>
        <v>0</v>
      </c>
      <c r="V180">
        <f t="shared" si="192"/>
        <v>0</v>
      </c>
      <c r="W180">
        <f t="shared" si="193"/>
        <v>0</v>
      </c>
      <c r="X180">
        <f t="shared" si="194"/>
        <v>0</v>
      </c>
      <c r="Y180">
        <f t="shared" si="195"/>
        <v>0</v>
      </c>
      <c r="Z180">
        <f t="shared" si="196"/>
        <v>0</v>
      </c>
      <c r="AA180">
        <f t="shared" si="197"/>
        <v>0</v>
      </c>
      <c r="AB180">
        <f t="shared" si="198"/>
        <v>0</v>
      </c>
      <c r="AC180">
        <f t="shared" si="199"/>
        <v>0</v>
      </c>
      <c r="AD180">
        <f t="shared" si="200"/>
        <v>0</v>
      </c>
      <c r="AE180">
        <f t="shared" si="201"/>
        <v>0</v>
      </c>
      <c r="AF180">
        <f t="shared" si="202"/>
        <v>0</v>
      </c>
      <c r="AG180">
        <f t="shared" si="203"/>
        <v>0</v>
      </c>
      <c r="AH180">
        <f t="shared" si="204"/>
        <v>0</v>
      </c>
      <c r="AI180">
        <f t="shared" si="205"/>
        <v>0</v>
      </c>
      <c r="AJ180">
        <f t="shared" si="206"/>
        <v>0</v>
      </c>
      <c r="AK180">
        <f t="shared" si="207"/>
        <v>0</v>
      </c>
      <c r="AL180">
        <f t="shared" si="208"/>
        <v>0</v>
      </c>
      <c r="AM180">
        <f t="shared" si="209"/>
        <v>0</v>
      </c>
      <c r="AN180">
        <f t="shared" si="210"/>
        <v>0</v>
      </c>
      <c r="AO180">
        <f t="shared" si="211"/>
        <v>0</v>
      </c>
      <c r="AP180">
        <f t="shared" si="212"/>
        <v>0</v>
      </c>
      <c r="AQ180">
        <f t="shared" si="213"/>
        <v>0</v>
      </c>
      <c r="AR180">
        <f t="shared" si="214"/>
        <v>0</v>
      </c>
      <c r="AS180">
        <f t="shared" si="215"/>
        <v>0</v>
      </c>
      <c r="AT180">
        <f t="shared" si="216"/>
        <v>0</v>
      </c>
      <c r="AU180">
        <f t="shared" si="217"/>
        <v>0</v>
      </c>
    </row>
    <row r="181" spans="1:47" ht="21.9" customHeight="1" x14ac:dyDescent="0.4">
      <c r="A181" s="5" t="s">
        <v>738</v>
      </c>
      <c r="B181" s="5" t="s">
        <v>270</v>
      </c>
      <c r="C181" s="6" t="s">
        <v>21</v>
      </c>
      <c r="D181" s="8">
        <v>54</v>
      </c>
      <c r="E181" s="8">
        <f>ROUNDDOWN(단가대비표!N121, 0)</f>
        <v>171600</v>
      </c>
      <c r="F181" s="8">
        <f t="shared" si="184"/>
        <v>9266400</v>
      </c>
      <c r="G181" s="8"/>
      <c r="H181" s="8">
        <f t="shared" si="185"/>
        <v>0</v>
      </c>
      <c r="I181" s="8"/>
      <c r="J181" s="8">
        <f t="shared" si="186"/>
        <v>0</v>
      </c>
      <c r="K181" s="8">
        <f t="shared" si="182"/>
        <v>171600</v>
      </c>
      <c r="L181" s="8">
        <f t="shared" si="183"/>
        <v>9266400</v>
      </c>
      <c r="M181" s="7"/>
      <c r="O181" t="str">
        <f t="shared" si="187"/>
        <v>01</v>
      </c>
      <c r="P181" s="10" t="s">
        <v>361</v>
      </c>
      <c r="Q181">
        <v>1</v>
      </c>
      <c r="R181">
        <f t="shared" si="188"/>
        <v>0</v>
      </c>
      <c r="S181">
        <f t="shared" si="189"/>
        <v>0</v>
      </c>
      <c r="T181">
        <f t="shared" si="190"/>
        <v>0</v>
      </c>
      <c r="U181">
        <f t="shared" si="191"/>
        <v>0</v>
      </c>
      <c r="V181">
        <f t="shared" si="192"/>
        <v>0</v>
      </c>
      <c r="W181">
        <f t="shared" si="193"/>
        <v>0</v>
      </c>
      <c r="X181">
        <f t="shared" si="194"/>
        <v>0</v>
      </c>
      <c r="Y181">
        <f t="shared" si="195"/>
        <v>0</v>
      </c>
      <c r="Z181">
        <f t="shared" si="196"/>
        <v>0</v>
      </c>
      <c r="AA181">
        <f t="shared" si="197"/>
        <v>0</v>
      </c>
      <c r="AB181">
        <f t="shared" si="198"/>
        <v>0</v>
      </c>
      <c r="AC181">
        <f t="shared" si="199"/>
        <v>0</v>
      </c>
      <c r="AD181">
        <f t="shared" si="200"/>
        <v>0</v>
      </c>
      <c r="AE181">
        <f t="shared" si="201"/>
        <v>0</v>
      </c>
      <c r="AF181">
        <f t="shared" si="202"/>
        <v>0</v>
      </c>
      <c r="AG181">
        <f t="shared" si="203"/>
        <v>0</v>
      </c>
      <c r="AH181">
        <f t="shared" si="204"/>
        <v>0</v>
      </c>
      <c r="AI181">
        <f t="shared" si="205"/>
        <v>0</v>
      </c>
      <c r="AJ181">
        <f t="shared" si="206"/>
        <v>0</v>
      </c>
      <c r="AK181">
        <f t="shared" si="207"/>
        <v>0</v>
      </c>
      <c r="AL181">
        <f t="shared" si="208"/>
        <v>0</v>
      </c>
      <c r="AM181">
        <f t="shared" si="209"/>
        <v>0</v>
      </c>
      <c r="AN181">
        <f t="shared" si="210"/>
        <v>0</v>
      </c>
      <c r="AO181">
        <f t="shared" si="211"/>
        <v>0</v>
      </c>
      <c r="AP181">
        <f t="shared" si="212"/>
        <v>0</v>
      </c>
      <c r="AQ181">
        <f t="shared" si="213"/>
        <v>0</v>
      </c>
      <c r="AR181">
        <f t="shared" si="214"/>
        <v>0</v>
      </c>
      <c r="AS181">
        <f t="shared" si="215"/>
        <v>0</v>
      </c>
      <c r="AT181">
        <f t="shared" si="216"/>
        <v>0</v>
      </c>
      <c r="AU181">
        <f t="shared" si="217"/>
        <v>0</v>
      </c>
    </row>
    <row r="182" spans="1:47" ht="21.9" customHeight="1" x14ac:dyDescent="0.4">
      <c r="A182" s="5" t="s">
        <v>739</v>
      </c>
      <c r="B182" s="5" t="s">
        <v>197</v>
      </c>
      <c r="C182" s="6" t="s">
        <v>198</v>
      </c>
      <c r="D182" s="8">
        <v>2970</v>
      </c>
      <c r="E182" s="8">
        <f>ROUNDDOWN(단가대비표!N85, 0)</f>
        <v>5720</v>
      </c>
      <c r="F182" s="8">
        <f t="shared" si="184"/>
        <v>16988400</v>
      </c>
      <c r="G182" s="8"/>
      <c r="H182" s="8">
        <f t="shared" si="185"/>
        <v>0</v>
      </c>
      <c r="I182" s="8"/>
      <c r="J182" s="8">
        <f t="shared" si="186"/>
        <v>0</v>
      </c>
      <c r="K182" s="8">
        <f t="shared" si="182"/>
        <v>5720</v>
      </c>
      <c r="L182" s="8">
        <f t="shared" si="183"/>
        <v>16988400</v>
      </c>
      <c r="M182" s="7"/>
      <c r="O182" t="str">
        <f t="shared" si="187"/>
        <v>01</v>
      </c>
      <c r="P182" s="10" t="s">
        <v>361</v>
      </c>
      <c r="Q182">
        <v>1</v>
      </c>
      <c r="R182">
        <f t="shared" si="188"/>
        <v>0</v>
      </c>
      <c r="S182">
        <f t="shared" si="189"/>
        <v>0</v>
      </c>
      <c r="T182">
        <f t="shared" si="190"/>
        <v>0</v>
      </c>
      <c r="U182">
        <f t="shared" si="191"/>
        <v>0</v>
      </c>
      <c r="V182">
        <f t="shared" si="192"/>
        <v>0</v>
      </c>
      <c r="W182">
        <f t="shared" si="193"/>
        <v>0</v>
      </c>
      <c r="X182">
        <f t="shared" si="194"/>
        <v>0</v>
      </c>
      <c r="Y182">
        <f t="shared" si="195"/>
        <v>0</v>
      </c>
      <c r="Z182">
        <f t="shared" si="196"/>
        <v>0</v>
      </c>
      <c r="AA182">
        <f t="shared" si="197"/>
        <v>0</v>
      </c>
      <c r="AB182">
        <f t="shared" si="198"/>
        <v>0</v>
      </c>
      <c r="AC182">
        <f t="shared" si="199"/>
        <v>0</v>
      </c>
      <c r="AD182">
        <f t="shared" si="200"/>
        <v>0</v>
      </c>
      <c r="AE182">
        <f t="shared" si="201"/>
        <v>0</v>
      </c>
      <c r="AF182">
        <f t="shared" si="202"/>
        <v>0</v>
      </c>
      <c r="AG182">
        <f t="shared" si="203"/>
        <v>0</v>
      </c>
      <c r="AH182">
        <f t="shared" si="204"/>
        <v>0</v>
      </c>
      <c r="AI182">
        <f t="shared" si="205"/>
        <v>0</v>
      </c>
      <c r="AJ182">
        <f t="shared" si="206"/>
        <v>0</v>
      </c>
      <c r="AK182">
        <f t="shared" si="207"/>
        <v>0</v>
      </c>
      <c r="AL182">
        <f t="shared" si="208"/>
        <v>0</v>
      </c>
      <c r="AM182">
        <f t="shared" si="209"/>
        <v>0</v>
      </c>
      <c r="AN182">
        <f t="shared" si="210"/>
        <v>0</v>
      </c>
      <c r="AO182">
        <f t="shared" si="211"/>
        <v>0</v>
      </c>
      <c r="AP182">
        <f t="shared" si="212"/>
        <v>0</v>
      </c>
      <c r="AQ182">
        <f t="shared" si="213"/>
        <v>0</v>
      </c>
      <c r="AR182">
        <f t="shared" si="214"/>
        <v>0</v>
      </c>
      <c r="AS182">
        <f t="shared" si="215"/>
        <v>0</v>
      </c>
      <c r="AT182">
        <f t="shared" si="216"/>
        <v>0</v>
      </c>
      <c r="AU182">
        <f t="shared" si="217"/>
        <v>0</v>
      </c>
    </row>
    <row r="183" spans="1:47" ht="21.9" customHeight="1" x14ac:dyDescent="0.4">
      <c r="A183" s="5" t="s">
        <v>740</v>
      </c>
      <c r="B183" s="5" t="s">
        <v>203</v>
      </c>
      <c r="C183" s="6" t="s">
        <v>21</v>
      </c>
      <c r="D183" s="8">
        <v>44</v>
      </c>
      <c r="E183" s="8">
        <f>ROUNDDOWN(단가대비표!N89, 0)</f>
        <v>195520</v>
      </c>
      <c r="F183" s="8">
        <f t="shared" si="184"/>
        <v>8602880</v>
      </c>
      <c r="G183" s="8"/>
      <c r="H183" s="8">
        <f t="shared" si="185"/>
        <v>0</v>
      </c>
      <c r="I183" s="8"/>
      <c r="J183" s="8">
        <f t="shared" si="186"/>
        <v>0</v>
      </c>
      <c r="K183" s="8">
        <f t="shared" si="182"/>
        <v>195520</v>
      </c>
      <c r="L183" s="8">
        <f t="shared" si="183"/>
        <v>8602880</v>
      </c>
      <c r="M183" s="7"/>
      <c r="O183" t="str">
        <f t="shared" si="187"/>
        <v>01</v>
      </c>
      <c r="P183" s="10" t="s">
        <v>361</v>
      </c>
      <c r="Q183">
        <v>1</v>
      </c>
      <c r="R183">
        <f t="shared" si="188"/>
        <v>0</v>
      </c>
      <c r="S183">
        <f t="shared" si="189"/>
        <v>0</v>
      </c>
      <c r="T183">
        <f t="shared" si="190"/>
        <v>0</v>
      </c>
      <c r="U183">
        <f t="shared" si="191"/>
        <v>0</v>
      </c>
      <c r="V183">
        <f t="shared" si="192"/>
        <v>0</v>
      </c>
      <c r="W183">
        <f t="shared" si="193"/>
        <v>0</v>
      </c>
      <c r="X183">
        <f t="shared" si="194"/>
        <v>0</v>
      </c>
      <c r="Y183">
        <f t="shared" si="195"/>
        <v>0</v>
      </c>
      <c r="Z183">
        <f t="shared" si="196"/>
        <v>0</v>
      </c>
      <c r="AA183">
        <f t="shared" si="197"/>
        <v>0</v>
      </c>
      <c r="AB183">
        <f t="shared" si="198"/>
        <v>0</v>
      </c>
      <c r="AC183">
        <f t="shared" si="199"/>
        <v>0</v>
      </c>
      <c r="AD183">
        <f t="shared" si="200"/>
        <v>0</v>
      </c>
      <c r="AE183">
        <f t="shared" si="201"/>
        <v>0</v>
      </c>
      <c r="AF183">
        <f t="shared" si="202"/>
        <v>0</v>
      </c>
      <c r="AG183">
        <f t="shared" si="203"/>
        <v>0</v>
      </c>
      <c r="AH183">
        <f t="shared" si="204"/>
        <v>0</v>
      </c>
      <c r="AI183">
        <f t="shared" si="205"/>
        <v>0</v>
      </c>
      <c r="AJ183">
        <f t="shared" si="206"/>
        <v>0</v>
      </c>
      <c r="AK183">
        <f t="shared" si="207"/>
        <v>0</v>
      </c>
      <c r="AL183">
        <f t="shared" si="208"/>
        <v>0</v>
      </c>
      <c r="AM183">
        <f t="shared" si="209"/>
        <v>0</v>
      </c>
      <c r="AN183">
        <f t="shared" si="210"/>
        <v>0</v>
      </c>
      <c r="AO183">
        <f t="shared" si="211"/>
        <v>0</v>
      </c>
      <c r="AP183">
        <f t="shared" si="212"/>
        <v>0</v>
      </c>
      <c r="AQ183">
        <f t="shared" si="213"/>
        <v>0</v>
      </c>
      <c r="AR183">
        <f t="shared" si="214"/>
        <v>0</v>
      </c>
      <c r="AS183">
        <f t="shared" si="215"/>
        <v>0</v>
      </c>
      <c r="AT183">
        <f t="shared" si="216"/>
        <v>0</v>
      </c>
      <c r="AU183">
        <f t="shared" si="217"/>
        <v>0</v>
      </c>
    </row>
    <row r="184" spans="1:47" ht="21.9" customHeight="1" x14ac:dyDescent="0.4">
      <c r="A184" s="5" t="s">
        <v>741</v>
      </c>
      <c r="B184" s="5" t="s">
        <v>128</v>
      </c>
      <c r="C184" s="6" t="s">
        <v>51</v>
      </c>
      <c r="D184" s="8">
        <v>9</v>
      </c>
      <c r="E184" s="8">
        <f>ROUNDDOWN(단가대비표!N54, 0)</f>
        <v>93600</v>
      </c>
      <c r="F184" s="8">
        <f t="shared" si="184"/>
        <v>842400</v>
      </c>
      <c r="G184" s="8"/>
      <c r="H184" s="8">
        <f t="shared" si="185"/>
        <v>0</v>
      </c>
      <c r="I184" s="8"/>
      <c r="J184" s="8">
        <f t="shared" si="186"/>
        <v>0</v>
      </c>
      <c r="K184" s="8">
        <f t="shared" si="182"/>
        <v>93600</v>
      </c>
      <c r="L184" s="8">
        <f t="shared" si="183"/>
        <v>842400</v>
      </c>
      <c r="M184" s="7"/>
      <c r="O184" t="str">
        <f t="shared" si="187"/>
        <v>01</v>
      </c>
      <c r="P184" s="10" t="s">
        <v>361</v>
      </c>
      <c r="Q184">
        <v>1</v>
      </c>
      <c r="R184">
        <f t="shared" si="188"/>
        <v>0</v>
      </c>
      <c r="S184">
        <f t="shared" si="189"/>
        <v>0</v>
      </c>
      <c r="T184">
        <f t="shared" si="190"/>
        <v>0</v>
      </c>
      <c r="U184">
        <f t="shared" si="191"/>
        <v>0</v>
      </c>
      <c r="V184">
        <f t="shared" si="192"/>
        <v>0</v>
      </c>
      <c r="W184">
        <f t="shared" si="193"/>
        <v>0</v>
      </c>
      <c r="X184">
        <f t="shared" si="194"/>
        <v>0</v>
      </c>
      <c r="Y184">
        <f t="shared" si="195"/>
        <v>0</v>
      </c>
      <c r="Z184">
        <f t="shared" si="196"/>
        <v>0</v>
      </c>
      <c r="AA184">
        <f t="shared" si="197"/>
        <v>0</v>
      </c>
      <c r="AB184">
        <f t="shared" si="198"/>
        <v>0</v>
      </c>
      <c r="AC184">
        <f t="shared" si="199"/>
        <v>0</v>
      </c>
      <c r="AD184">
        <f t="shared" si="200"/>
        <v>0</v>
      </c>
      <c r="AE184">
        <f t="shared" si="201"/>
        <v>0</v>
      </c>
      <c r="AF184">
        <f t="shared" si="202"/>
        <v>0</v>
      </c>
      <c r="AG184">
        <f t="shared" si="203"/>
        <v>0</v>
      </c>
      <c r="AH184">
        <f t="shared" si="204"/>
        <v>0</v>
      </c>
      <c r="AI184">
        <f t="shared" si="205"/>
        <v>0</v>
      </c>
      <c r="AJ184">
        <f t="shared" si="206"/>
        <v>0</v>
      </c>
      <c r="AK184">
        <f t="shared" si="207"/>
        <v>0</v>
      </c>
      <c r="AL184">
        <f t="shared" si="208"/>
        <v>0</v>
      </c>
      <c r="AM184">
        <f t="shared" si="209"/>
        <v>0</v>
      </c>
      <c r="AN184">
        <f t="shared" si="210"/>
        <v>0</v>
      </c>
      <c r="AO184">
        <f t="shared" si="211"/>
        <v>0</v>
      </c>
      <c r="AP184">
        <f t="shared" si="212"/>
        <v>0</v>
      </c>
      <c r="AQ184">
        <f t="shared" si="213"/>
        <v>0</v>
      </c>
      <c r="AR184">
        <f t="shared" si="214"/>
        <v>0</v>
      </c>
      <c r="AS184">
        <f t="shared" si="215"/>
        <v>0</v>
      </c>
      <c r="AT184">
        <f t="shared" si="216"/>
        <v>0</v>
      </c>
      <c r="AU184">
        <f t="shared" si="217"/>
        <v>0</v>
      </c>
    </row>
    <row r="185" spans="1:47" ht="21.9" customHeight="1" x14ac:dyDescent="0.4">
      <c r="A185" s="5" t="s">
        <v>742</v>
      </c>
      <c r="B185" s="5" t="s">
        <v>157</v>
      </c>
      <c r="C185" s="6" t="s">
        <v>78</v>
      </c>
      <c r="D185" s="8">
        <v>108</v>
      </c>
      <c r="E185" s="8">
        <f>ROUNDDOWN(단가대비표!N70, 0)</f>
        <v>5375</v>
      </c>
      <c r="F185" s="8">
        <f t="shared" si="184"/>
        <v>580500</v>
      </c>
      <c r="G185" s="8">
        <v>0</v>
      </c>
      <c r="H185" s="8">
        <f t="shared" si="185"/>
        <v>0</v>
      </c>
      <c r="I185" s="8">
        <v>0</v>
      </c>
      <c r="J185" s="8">
        <f t="shared" si="186"/>
        <v>0</v>
      </c>
      <c r="K185" s="8">
        <f t="shared" si="182"/>
        <v>5375</v>
      </c>
      <c r="L185" s="8">
        <f t="shared" si="183"/>
        <v>580500</v>
      </c>
      <c r="M185" s="5" t="s">
        <v>162</v>
      </c>
      <c r="O185" t="str">
        <f t="shared" si="187"/>
        <v>01</v>
      </c>
      <c r="P185" s="10" t="s">
        <v>361</v>
      </c>
      <c r="Q185">
        <v>1</v>
      </c>
      <c r="R185">
        <f t="shared" si="188"/>
        <v>0</v>
      </c>
      <c r="S185">
        <f t="shared" si="189"/>
        <v>0</v>
      </c>
      <c r="T185">
        <f t="shared" si="190"/>
        <v>0</v>
      </c>
      <c r="U185">
        <f t="shared" si="191"/>
        <v>0</v>
      </c>
      <c r="V185">
        <f t="shared" si="192"/>
        <v>0</v>
      </c>
      <c r="W185">
        <f t="shared" si="193"/>
        <v>0</v>
      </c>
      <c r="X185">
        <f t="shared" si="194"/>
        <v>0</v>
      </c>
      <c r="Y185">
        <f t="shared" si="195"/>
        <v>0</v>
      </c>
      <c r="Z185">
        <f t="shared" si="196"/>
        <v>0</v>
      </c>
      <c r="AA185">
        <f t="shared" si="197"/>
        <v>0</v>
      </c>
      <c r="AB185">
        <f t="shared" si="198"/>
        <v>0</v>
      </c>
      <c r="AC185">
        <f t="shared" si="199"/>
        <v>0</v>
      </c>
      <c r="AD185">
        <f t="shared" si="200"/>
        <v>0</v>
      </c>
      <c r="AE185">
        <f t="shared" si="201"/>
        <v>0</v>
      </c>
      <c r="AF185">
        <f t="shared" si="202"/>
        <v>0</v>
      </c>
      <c r="AG185">
        <f t="shared" si="203"/>
        <v>0</v>
      </c>
      <c r="AH185">
        <f t="shared" si="204"/>
        <v>0</v>
      </c>
      <c r="AI185">
        <f t="shared" si="205"/>
        <v>0</v>
      </c>
      <c r="AJ185">
        <f t="shared" si="206"/>
        <v>0</v>
      </c>
      <c r="AK185">
        <f t="shared" si="207"/>
        <v>0</v>
      </c>
      <c r="AL185">
        <f t="shared" si="208"/>
        <v>0</v>
      </c>
      <c r="AM185">
        <f t="shared" si="209"/>
        <v>0</v>
      </c>
      <c r="AN185">
        <f t="shared" si="210"/>
        <v>0</v>
      </c>
      <c r="AO185">
        <f t="shared" si="211"/>
        <v>0</v>
      </c>
      <c r="AP185">
        <f t="shared" si="212"/>
        <v>0</v>
      </c>
      <c r="AQ185">
        <f t="shared" si="213"/>
        <v>0</v>
      </c>
      <c r="AR185">
        <f t="shared" si="214"/>
        <v>0</v>
      </c>
      <c r="AS185">
        <f t="shared" si="215"/>
        <v>0</v>
      </c>
      <c r="AT185">
        <f t="shared" si="216"/>
        <v>0</v>
      </c>
      <c r="AU185">
        <f t="shared" si="217"/>
        <v>0</v>
      </c>
    </row>
    <row r="186" spans="1:47" ht="21.9" customHeight="1" x14ac:dyDescent="0.4">
      <c r="A186" s="5" t="s">
        <v>743</v>
      </c>
      <c r="B186" s="5" t="s">
        <v>164</v>
      </c>
      <c r="C186" s="6" t="s">
        <v>18</v>
      </c>
      <c r="D186" s="8">
        <v>54</v>
      </c>
      <c r="E186" s="8">
        <f>ROUNDDOWN(단가대비표!N71, 0)</f>
        <v>1746</v>
      </c>
      <c r="F186" s="8">
        <f t="shared" si="184"/>
        <v>94284</v>
      </c>
      <c r="G186" s="8">
        <v>0</v>
      </c>
      <c r="H186" s="8">
        <f t="shared" si="185"/>
        <v>0</v>
      </c>
      <c r="I186" s="8">
        <v>0</v>
      </c>
      <c r="J186" s="8">
        <f t="shared" si="186"/>
        <v>0</v>
      </c>
      <c r="K186" s="8">
        <f t="shared" si="182"/>
        <v>1746</v>
      </c>
      <c r="L186" s="8">
        <f t="shared" si="183"/>
        <v>94284</v>
      </c>
      <c r="M186" s="7"/>
      <c r="O186" t="str">
        <f t="shared" si="187"/>
        <v>01</v>
      </c>
      <c r="P186" s="10" t="s">
        <v>361</v>
      </c>
      <c r="Q186">
        <v>1</v>
      </c>
      <c r="R186">
        <f t="shared" si="188"/>
        <v>0</v>
      </c>
      <c r="S186">
        <f t="shared" si="189"/>
        <v>0</v>
      </c>
      <c r="T186">
        <f t="shared" si="190"/>
        <v>0</v>
      </c>
      <c r="U186">
        <f t="shared" si="191"/>
        <v>0</v>
      </c>
      <c r="V186">
        <f t="shared" si="192"/>
        <v>0</v>
      </c>
      <c r="W186">
        <f t="shared" si="193"/>
        <v>0</v>
      </c>
      <c r="X186">
        <f t="shared" si="194"/>
        <v>0</v>
      </c>
      <c r="Y186">
        <f t="shared" si="195"/>
        <v>0</v>
      </c>
      <c r="Z186">
        <f t="shared" si="196"/>
        <v>0</v>
      </c>
      <c r="AA186">
        <f t="shared" si="197"/>
        <v>0</v>
      </c>
      <c r="AB186">
        <f t="shared" si="198"/>
        <v>0</v>
      </c>
      <c r="AC186">
        <f t="shared" si="199"/>
        <v>0</v>
      </c>
      <c r="AD186">
        <f t="shared" si="200"/>
        <v>0</v>
      </c>
      <c r="AE186">
        <f t="shared" si="201"/>
        <v>0</v>
      </c>
      <c r="AF186">
        <f t="shared" si="202"/>
        <v>0</v>
      </c>
      <c r="AG186">
        <f t="shared" si="203"/>
        <v>0</v>
      </c>
      <c r="AH186">
        <f t="shared" si="204"/>
        <v>0</v>
      </c>
      <c r="AI186">
        <f t="shared" si="205"/>
        <v>0</v>
      </c>
      <c r="AJ186">
        <f t="shared" si="206"/>
        <v>0</v>
      </c>
      <c r="AK186">
        <f t="shared" si="207"/>
        <v>0</v>
      </c>
      <c r="AL186">
        <f t="shared" si="208"/>
        <v>0</v>
      </c>
      <c r="AM186">
        <f t="shared" si="209"/>
        <v>0</v>
      </c>
      <c r="AN186">
        <f t="shared" si="210"/>
        <v>0</v>
      </c>
      <c r="AO186">
        <f t="shared" si="211"/>
        <v>0</v>
      </c>
      <c r="AP186">
        <f t="shared" si="212"/>
        <v>0</v>
      </c>
      <c r="AQ186">
        <f t="shared" si="213"/>
        <v>0</v>
      </c>
      <c r="AR186">
        <f t="shared" si="214"/>
        <v>0</v>
      </c>
      <c r="AS186">
        <f t="shared" si="215"/>
        <v>0</v>
      </c>
      <c r="AT186">
        <f t="shared" si="216"/>
        <v>0</v>
      </c>
      <c r="AU186">
        <f t="shared" si="217"/>
        <v>0</v>
      </c>
    </row>
    <row r="187" spans="1:47" ht="21.9" customHeight="1" x14ac:dyDescent="0.4">
      <c r="A187" s="5" t="s">
        <v>744</v>
      </c>
      <c r="B187" s="5" t="s">
        <v>268</v>
      </c>
      <c r="C187" s="6" t="s">
        <v>18</v>
      </c>
      <c r="D187" s="8">
        <v>54</v>
      </c>
      <c r="E187" s="8">
        <f>ROUNDDOWN(단가대비표!N120, 0)</f>
        <v>6760</v>
      </c>
      <c r="F187" s="8">
        <f t="shared" si="184"/>
        <v>365040</v>
      </c>
      <c r="G187" s="8"/>
      <c r="H187" s="8">
        <f t="shared" si="185"/>
        <v>0</v>
      </c>
      <c r="I187" s="8"/>
      <c r="J187" s="8">
        <f t="shared" si="186"/>
        <v>0</v>
      </c>
      <c r="K187" s="8">
        <f t="shared" si="182"/>
        <v>6760</v>
      </c>
      <c r="L187" s="8">
        <f t="shared" si="183"/>
        <v>365040</v>
      </c>
      <c r="M187" s="7"/>
      <c r="O187" t="str">
        <f t="shared" si="187"/>
        <v>01</v>
      </c>
      <c r="P187" s="10" t="s">
        <v>361</v>
      </c>
      <c r="Q187">
        <v>1</v>
      </c>
      <c r="R187">
        <f t="shared" si="188"/>
        <v>0</v>
      </c>
      <c r="S187">
        <f t="shared" si="189"/>
        <v>0</v>
      </c>
      <c r="T187">
        <f t="shared" si="190"/>
        <v>0</v>
      </c>
      <c r="U187">
        <f t="shared" si="191"/>
        <v>0</v>
      </c>
      <c r="V187">
        <f t="shared" si="192"/>
        <v>0</v>
      </c>
      <c r="W187">
        <f t="shared" si="193"/>
        <v>0</v>
      </c>
      <c r="X187">
        <f t="shared" si="194"/>
        <v>0</v>
      </c>
      <c r="Y187">
        <f t="shared" si="195"/>
        <v>0</v>
      </c>
      <c r="Z187">
        <f t="shared" si="196"/>
        <v>0</v>
      </c>
      <c r="AA187">
        <f t="shared" si="197"/>
        <v>0</v>
      </c>
      <c r="AB187">
        <f t="shared" si="198"/>
        <v>0</v>
      </c>
      <c r="AC187">
        <f t="shared" si="199"/>
        <v>0</v>
      </c>
      <c r="AD187">
        <f t="shared" si="200"/>
        <v>0</v>
      </c>
      <c r="AE187">
        <f t="shared" si="201"/>
        <v>0</v>
      </c>
      <c r="AF187">
        <f t="shared" si="202"/>
        <v>0</v>
      </c>
      <c r="AG187">
        <f t="shared" si="203"/>
        <v>0</v>
      </c>
      <c r="AH187">
        <f t="shared" si="204"/>
        <v>0</v>
      </c>
      <c r="AI187">
        <f t="shared" si="205"/>
        <v>0</v>
      </c>
      <c r="AJ187">
        <f t="shared" si="206"/>
        <v>0</v>
      </c>
      <c r="AK187">
        <f t="shared" si="207"/>
        <v>0</v>
      </c>
      <c r="AL187">
        <f t="shared" si="208"/>
        <v>0</v>
      </c>
      <c r="AM187">
        <f t="shared" si="209"/>
        <v>0</v>
      </c>
      <c r="AN187">
        <f t="shared" si="210"/>
        <v>0</v>
      </c>
      <c r="AO187">
        <f t="shared" si="211"/>
        <v>0</v>
      </c>
      <c r="AP187">
        <f t="shared" si="212"/>
        <v>0</v>
      </c>
      <c r="AQ187">
        <f t="shared" si="213"/>
        <v>0</v>
      </c>
      <c r="AR187">
        <f t="shared" si="214"/>
        <v>0</v>
      </c>
      <c r="AS187">
        <f t="shared" si="215"/>
        <v>0</v>
      </c>
      <c r="AT187">
        <f t="shared" si="216"/>
        <v>0</v>
      </c>
      <c r="AU187">
        <f t="shared" si="217"/>
        <v>0</v>
      </c>
    </row>
    <row r="188" spans="1:47" ht="21.9" customHeight="1" x14ac:dyDescent="0.4">
      <c r="A188" s="5" t="s">
        <v>745</v>
      </c>
      <c r="B188" s="5" t="s">
        <v>134</v>
      </c>
      <c r="C188" s="6" t="s">
        <v>18</v>
      </c>
      <c r="D188" s="8">
        <v>9</v>
      </c>
      <c r="E188" s="8">
        <f>ROUNDDOWN(단가대비표!N95, 0)</f>
        <v>98800</v>
      </c>
      <c r="F188" s="8">
        <f t="shared" si="184"/>
        <v>889200</v>
      </c>
      <c r="G188" s="8"/>
      <c r="H188" s="8">
        <f t="shared" si="185"/>
        <v>0</v>
      </c>
      <c r="I188" s="8"/>
      <c r="J188" s="8">
        <f t="shared" si="186"/>
        <v>0</v>
      </c>
      <c r="K188" s="8">
        <f t="shared" si="182"/>
        <v>98800</v>
      </c>
      <c r="L188" s="8">
        <f t="shared" si="183"/>
        <v>889200</v>
      </c>
      <c r="M188" s="7"/>
      <c r="O188" t="str">
        <f t="shared" si="187"/>
        <v>01</v>
      </c>
      <c r="P188" s="10" t="s">
        <v>361</v>
      </c>
      <c r="Q188">
        <v>1</v>
      </c>
      <c r="R188">
        <f t="shared" si="188"/>
        <v>0</v>
      </c>
      <c r="S188">
        <f t="shared" si="189"/>
        <v>0</v>
      </c>
      <c r="T188">
        <f t="shared" si="190"/>
        <v>0</v>
      </c>
      <c r="U188">
        <f t="shared" si="191"/>
        <v>0</v>
      </c>
      <c r="V188">
        <f t="shared" si="192"/>
        <v>0</v>
      </c>
      <c r="W188">
        <f t="shared" si="193"/>
        <v>0</v>
      </c>
      <c r="X188">
        <f t="shared" si="194"/>
        <v>0</v>
      </c>
      <c r="Y188">
        <f t="shared" si="195"/>
        <v>0</v>
      </c>
      <c r="Z188">
        <f t="shared" si="196"/>
        <v>0</v>
      </c>
      <c r="AA188">
        <f t="shared" si="197"/>
        <v>0</v>
      </c>
      <c r="AB188">
        <f t="shared" si="198"/>
        <v>0</v>
      </c>
      <c r="AC188">
        <f t="shared" si="199"/>
        <v>0</v>
      </c>
      <c r="AD188">
        <f t="shared" si="200"/>
        <v>0</v>
      </c>
      <c r="AE188">
        <f t="shared" si="201"/>
        <v>0</v>
      </c>
      <c r="AF188">
        <f t="shared" si="202"/>
        <v>0</v>
      </c>
      <c r="AG188">
        <f t="shared" si="203"/>
        <v>0</v>
      </c>
      <c r="AH188">
        <f t="shared" si="204"/>
        <v>0</v>
      </c>
      <c r="AI188">
        <f t="shared" si="205"/>
        <v>0</v>
      </c>
      <c r="AJ188">
        <f t="shared" si="206"/>
        <v>0</v>
      </c>
      <c r="AK188">
        <f t="shared" si="207"/>
        <v>0</v>
      </c>
      <c r="AL188">
        <f t="shared" si="208"/>
        <v>0</v>
      </c>
      <c r="AM188">
        <f t="shared" si="209"/>
        <v>0</v>
      </c>
      <c r="AN188">
        <f t="shared" si="210"/>
        <v>0</v>
      </c>
      <c r="AO188">
        <f t="shared" si="211"/>
        <v>0</v>
      </c>
      <c r="AP188">
        <f t="shared" si="212"/>
        <v>0</v>
      </c>
      <c r="AQ188">
        <f t="shared" si="213"/>
        <v>0</v>
      </c>
      <c r="AR188">
        <f t="shared" si="214"/>
        <v>0</v>
      </c>
      <c r="AS188">
        <f t="shared" si="215"/>
        <v>0</v>
      </c>
      <c r="AT188">
        <f t="shared" si="216"/>
        <v>0</v>
      </c>
      <c r="AU188">
        <f t="shared" si="217"/>
        <v>0</v>
      </c>
    </row>
    <row r="189" spans="1:47" ht="21.9" customHeight="1" x14ac:dyDescent="0.4">
      <c r="A189" s="5" t="s">
        <v>746</v>
      </c>
      <c r="B189" s="5" t="s">
        <v>134</v>
      </c>
      <c r="C189" s="6" t="s">
        <v>18</v>
      </c>
      <c r="D189" s="8">
        <v>18</v>
      </c>
      <c r="E189" s="8">
        <f>ROUNDDOWN(단가대비표!N83, 0)</f>
        <v>17680</v>
      </c>
      <c r="F189" s="8">
        <f t="shared" si="184"/>
        <v>318240</v>
      </c>
      <c r="G189" s="8"/>
      <c r="H189" s="8">
        <f t="shared" si="185"/>
        <v>0</v>
      </c>
      <c r="I189" s="8"/>
      <c r="J189" s="8">
        <f t="shared" si="186"/>
        <v>0</v>
      </c>
      <c r="K189" s="8">
        <f t="shared" si="182"/>
        <v>17680</v>
      </c>
      <c r="L189" s="8">
        <f t="shared" si="183"/>
        <v>318240</v>
      </c>
      <c r="M189" s="7"/>
      <c r="O189" t="str">
        <f t="shared" si="187"/>
        <v>01</v>
      </c>
      <c r="P189" s="10" t="s">
        <v>361</v>
      </c>
      <c r="Q189">
        <v>1</v>
      </c>
      <c r="R189">
        <f t="shared" si="188"/>
        <v>0</v>
      </c>
      <c r="S189">
        <f t="shared" si="189"/>
        <v>0</v>
      </c>
      <c r="T189">
        <f t="shared" si="190"/>
        <v>0</v>
      </c>
      <c r="U189">
        <f t="shared" si="191"/>
        <v>0</v>
      </c>
      <c r="V189">
        <f t="shared" si="192"/>
        <v>0</v>
      </c>
      <c r="W189">
        <f t="shared" si="193"/>
        <v>0</v>
      </c>
      <c r="X189">
        <f t="shared" si="194"/>
        <v>0</v>
      </c>
      <c r="Y189">
        <f t="shared" si="195"/>
        <v>0</v>
      </c>
      <c r="Z189">
        <f t="shared" si="196"/>
        <v>0</v>
      </c>
      <c r="AA189">
        <f t="shared" si="197"/>
        <v>0</v>
      </c>
      <c r="AB189">
        <f t="shared" si="198"/>
        <v>0</v>
      </c>
      <c r="AC189">
        <f t="shared" si="199"/>
        <v>0</v>
      </c>
      <c r="AD189">
        <f t="shared" si="200"/>
        <v>0</v>
      </c>
      <c r="AE189">
        <f t="shared" si="201"/>
        <v>0</v>
      </c>
      <c r="AF189">
        <f t="shared" si="202"/>
        <v>0</v>
      </c>
      <c r="AG189">
        <f t="shared" si="203"/>
        <v>0</v>
      </c>
      <c r="AH189">
        <f t="shared" si="204"/>
        <v>0</v>
      </c>
      <c r="AI189">
        <f t="shared" si="205"/>
        <v>0</v>
      </c>
      <c r="AJ189">
        <f t="shared" si="206"/>
        <v>0</v>
      </c>
      <c r="AK189">
        <f t="shared" si="207"/>
        <v>0</v>
      </c>
      <c r="AL189">
        <f t="shared" si="208"/>
        <v>0</v>
      </c>
      <c r="AM189">
        <f t="shared" si="209"/>
        <v>0</v>
      </c>
      <c r="AN189">
        <f t="shared" si="210"/>
        <v>0</v>
      </c>
      <c r="AO189">
        <f t="shared" si="211"/>
        <v>0</v>
      </c>
      <c r="AP189">
        <f t="shared" si="212"/>
        <v>0</v>
      </c>
      <c r="AQ189">
        <f t="shared" si="213"/>
        <v>0</v>
      </c>
      <c r="AR189">
        <f t="shared" si="214"/>
        <v>0</v>
      </c>
      <c r="AS189">
        <f t="shared" si="215"/>
        <v>0</v>
      </c>
      <c r="AT189">
        <f t="shared" si="216"/>
        <v>0</v>
      </c>
      <c r="AU189">
        <f t="shared" si="217"/>
        <v>0</v>
      </c>
    </row>
    <row r="190" spans="1:47" ht="21.9" customHeight="1" x14ac:dyDescent="0.4">
      <c r="A190" s="5" t="s">
        <v>747</v>
      </c>
      <c r="B190" s="5" t="s">
        <v>154</v>
      </c>
      <c r="C190" s="6" t="s">
        <v>155</v>
      </c>
      <c r="D190" s="8">
        <v>30</v>
      </c>
      <c r="E190" s="8">
        <f>ROUNDDOWN(단가대비표!N69, 0)</f>
        <v>22360</v>
      </c>
      <c r="F190" s="8">
        <f t="shared" si="184"/>
        <v>670800</v>
      </c>
      <c r="G190" s="8"/>
      <c r="H190" s="8">
        <f t="shared" si="185"/>
        <v>0</v>
      </c>
      <c r="I190" s="8"/>
      <c r="J190" s="8">
        <f t="shared" si="186"/>
        <v>0</v>
      </c>
      <c r="K190" s="8">
        <f t="shared" si="182"/>
        <v>22360</v>
      </c>
      <c r="L190" s="8">
        <f t="shared" si="183"/>
        <v>670800</v>
      </c>
      <c r="M190" s="7"/>
      <c r="O190" t="str">
        <f t="shared" si="187"/>
        <v>01</v>
      </c>
      <c r="P190" s="10" t="s">
        <v>361</v>
      </c>
      <c r="Q190">
        <v>1</v>
      </c>
      <c r="R190">
        <f t="shared" si="188"/>
        <v>0</v>
      </c>
      <c r="S190">
        <f t="shared" si="189"/>
        <v>0</v>
      </c>
      <c r="T190">
        <f t="shared" si="190"/>
        <v>0</v>
      </c>
      <c r="U190">
        <f t="shared" si="191"/>
        <v>0</v>
      </c>
      <c r="V190">
        <f t="shared" si="192"/>
        <v>0</v>
      </c>
      <c r="W190">
        <f t="shared" si="193"/>
        <v>0</v>
      </c>
      <c r="X190">
        <f t="shared" si="194"/>
        <v>0</v>
      </c>
      <c r="Y190">
        <f t="shared" si="195"/>
        <v>0</v>
      </c>
      <c r="Z190">
        <f t="shared" si="196"/>
        <v>0</v>
      </c>
      <c r="AA190">
        <f t="shared" si="197"/>
        <v>0</v>
      </c>
      <c r="AB190">
        <f t="shared" si="198"/>
        <v>0</v>
      </c>
      <c r="AC190">
        <f t="shared" si="199"/>
        <v>0</v>
      </c>
      <c r="AD190">
        <f t="shared" si="200"/>
        <v>0</v>
      </c>
      <c r="AE190">
        <f t="shared" si="201"/>
        <v>0</v>
      </c>
      <c r="AF190">
        <f t="shared" si="202"/>
        <v>0</v>
      </c>
      <c r="AG190">
        <f t="shared" si="203"/>
        <v>0</v>
      </c>
      <c r="AH190">
        <f t="shared" si="204"/>
        <v>0</v>
      </c>
      <c r="AI190">
        <f t="shared" si="205"/>
        <v>0</v>
      </c>
      <c r="AJ190">
        <f t="shared" si="206"/>
        <v>0</v>
      </c>
      <c r="AK190">
        <f t="shared" si="207"/>
        <v>0</v>
      </c>
      <c r="AL190">
        <f t="shared" si="208"/>
        <v>0</v>
      </c>
      <c r="AM190">
        <f t="shared" si="209"/>
        <v>0</v>
      </c>
      <c r="AN190">
        <f t="shared" si="210"/>
        <v>0</v>
      </c>
      <c r="AO190">
        <f t="shared" si="211"/>
        <v>0</v>
      </c>
      <c r="AP190">
        <f t="shared" si="212"/>
        <v>0</v>
      </c>
      <c r="AQ190">
        <f t="shared" si="213"/>
        <v>0</v>
      </c>
      <c r="AR190">
        <f t="shared" si="214"/>
        <v>0</v>
      </c>
      <c r="AS190">
        <f t="shared" si="215"/>
        <v>0</v>
      </c>
      <c r="AT190">
        <f t="shared" si="216"/>
        <v>0</v>
      </c>
      <c r="AU190">
        <f t="shared" si="217"/>
        <v>0</v>
      </c>
    </row>
    <row r="191" spans="1:47" ht="21.9" customHeight="1" x14ac:dyDescent="0.4">
      <c r="A191" s="5" t="s">
        <v>748</v>
      </c>
      <c r="B191" s="5" t="s">
        <v>63</v>
      </c>
      <c r="C191" s="6" t="s">
        <v>38</v>
      </c>
      <c r="D191" s="8">
        <v>50</v>
      </c>
      <c r="E191" s="8">
        <f>ROUNDDOWN(단가대비표!N25, 0)</f>
        <v>2500</v>
      </c>
      <c r="F191" s="8">
        <f t="shared" si="184"/>
        <v>125000</v>
      </c>
      <c r="G191" s="8">
        <v>0</v>
      </c>
      <c r="H191" s="8">
        <f t="shared" si="185"/>
        <v>0</v>
      </c>
      <c r="I191" s="8">
        <v>0</v>
      </c>
      <c r="J191" s="8">
        <f t="shared" si="186"/>
        <v>0</v>
      </c>
      <c r="K191" s="8">
        <f t="shared" si="182"/>
        <v>2500</v>
      </c>
      <c r="L191" s="8">
        <f t="shared" si="183"/>
        <v>125000</v>
      </c>
      <c r="M191" s="7"/>
      <c r="O191" t="str">
        <f t="shared" si="187"/>
        <v>01</v>
      </c>
      <c r="P191" s="10" t="s">
        <v>361</v>
      </c>
      <c r="Q191">
        <v>1</v>
      </c>
      <c r="R191">
        <f t="shared" si="188"/>
        <v>0</v>
      </c>
      <c r="S191">
        <f t="shared" si="189"/>
        <v>0</v>
      </c>
      <c r="T191">
        <f t="shared" si="190"/>
        <v>0</v>
      </c>
      <c r="U191">
        <f t="shared" si="191"/>
        <v>0</v>
      </c>
      <c r="V191">
        <f t="shared" si="192"/>
        <v>0</v>
      </c>
      <c r="W191">
        <f t="shared" si="193"/>
        <v>0</v>
      </c>
      <c r="X191">
        <f t="shared" si="194"/>
        <v>0</v>
      </c>
      <c r="Y191">
        <f t="shared" si="195"/>
        <v>0</v>
      </c>
      <c r="Z191">
        <f t="shared" si="196"/>
        <v>0</v>
      </c>
      <c r="AA191">
        <f t="shared" si="197"/>
        <v>0</v>
      </c>
      <c r="AB191">
        <f t="shared" si="198"/>
        <v>0</v>
      </c>
      <c r="AC191">
        <f t="shared" si="199"/>
        <v>0</v>
      </c>
      <c r="AD191">
        <f t="shared" si="200"/>
        <v>0</v>
      </c>
      <c r="AE191">
        <f t="shared" si="201"/>
        <v>0</v>
      </c>
      <c r="AF191">
        <f t="shared" si="202"/>
        <v>0</v>
      </c>
      <c r="AG191">
        <f t="shared" si="203"/>
        <v>0</v>
      </c>
      <c r="AH191">
        <f t="shared" si="204"/>
        <v>0</v>
      </c>
      <c r="AI191">
        <f t="shared" si="205"/>
        <v>0</v>
      </c>
      <c r="AJ191">
        <f t="shared" si="206"/>
        <v>0</v>
      </c>
      <c r="AK191">
        <f t="shared" si="207"/>
        <v>0</v>
      </c>
      <c r="AL191">
        <f t="shared" si="208"/>
        <v>0</v>
      </c>
      <c r="AM191">
        <f t="shared" si="209"/>
        <v>0</v>
      </c>
      <c r="AN191">
        <f t="shared" si="210"/>
        <v>0</v>
      </c>
      <c r="AO191">
        <f t="shared" si="211"/>
        <v>0</v>
      </c>
      <c r="AP191">
        <f t="shared" si="212"/>
        <v>0</v>
      </c>
      <c r="AQ191">
        <f t="shared" si="213"/>
        <v>0</v>
      </c>
      <c r="AR191">
        <f t="shared" si="214"/>
        <v>0</v>
      </c>
      <c r="AS191">
        <f t="shared" si="215"/>
        <v>0</v>
      </c>
      <c r="AT191">
        <f t="shared" si="216"/>
        <v>0</v>
      </c>
      <c r="AU191">
        <f t="shared" si="217"/>
        <v>0</v>
      </c>
    </row>
    <row r="192" spans="1:47" ht="21.9" customHeight="1" x14ac:dyDescent="0.4">
      <c r="A192" s="5" t="s">
        <v>749</v>
      </c>
      <c r="B192" s="5" t="s">
        <v>70</v>
      </c>
      <c r="C192" s="6" t="s">
        <v>126</v>
      </c>
      <c r="D192" s="8">
        <v>3</v>
      </c>
      <c r="E192" s="8">
        <f>ROUNDDOWN(단가대비표!N53, 0)</f>
        <v>88400</v>
      </c>
      <c r="F192" s="8">
        <f t="shared" si="184"/>
        <v>265200</v>
      </c>
      <c r="G192" s="8"/>
      <c r="H192" s="8">
        <f t="shared" si="185"/>
        <v>0</v>
      </c>
      <c r="I192" s="8"/>
      <c r="J192" s="8">
        <f t="shared" si="186"/>
        <v>0</v>
      </c>
      <c r="K192" s="8">
        <f t="shared" si="182"/>
        <v>88400</v>
      </c>
      <c r="L192" s="8">
        <f t="shared" si="183"/>
        <v>265200</v>
      </c>
      <c r="M192" s="7"/>
      <c r="O192" t="str">
        <f t="shared" si="187"/>
        <v>01</v>
      </c>
      <c r="P192" s="10" t="s">
        <v>361</v>
      </c>
      <c r="Q192">
        <v>1</v>
      </c>
      <c r="R192">
        <f t="shared" si="188"/>
        <v>0</v>
      </c>
      <c r="S192">
        <f t="shared" si="189"/>
        <v>0</v>
      </c>
      <c r="T192">
        <f t="shared" si="190"/>
        <v>0</v>
      </c>
      <c r="U192">
        <f t="shared" si="191"/>
        <v>0</v>
      </c>
      <c r="V192">
        <f t="shared" si="192"/>
        <v>0</v>
      </c>
      <c r="W192">
        <f t="shared" si="193"/>
        <v>0</v>
      </c>
      <c r="X192">
        <f t="shared" si="194"/>
        <v>0</v>
      </c>
      <c r="Y192">
        <f t="shared" si="195"/>
        <v>0</v>
      </c>
      <c r="Z192">
        <f t="shared" si="196"/>
        <v>0</v>
      </c>
      <c r="AA192">
        <f t="shared" si="197"/>
        <v>0</v>
      </c>
      <c r="AB192">
        <f t="shared" si="198"/>
        <v>0</v>
      </c>
      <c r="AC192">
        <f t="shared" si="199"/>
        <v>0</v>
      </c>
      <c r="AD192">
        <f t="shared" si="200"/>
        <v>0</v>
      </c>
      <c r="AE192">
        <f t="shared" si="201"/>
        <v>0</v>
      </c>
      <c r="AF192">
        <f t="shared" si="202"/>
        <v>0</v>
      </c>
      <c r="AG192">
        <f t="shared" si="203"/>
        <v>0</v>
      </c>
      <c r="AH192">
        <f t="shared" si="204"/>
        <v>0</v>
      </c>
      <c r="AI192">
        <f t="shared" si="205"/>
        <v>0</v>
      </c>
      <c r="AJ192">
        <f t="shared" si="206"/>
        <v>0</v>
      </c>
      <c r="AK192">
        <f t="shared" si="207"/>
        <v>0</v>
      </c>
      <c r="AL192">
        <f t="shared" si="208"/>
        <v>0</v>
      </c>
      <c r="AM192">
        <f t="shared" si="209"/>
        <v>0</v>
      </c>
      <c r="AN192">
        <f t="shared" si="210"/>
        <v>0</v>
      </c>
      <c r="AO192">
        <f t="shared" si="211"/>
        <v>0</v>
      </c>
      <c r="AP192">
        <f t="shared" si="212"/>
        <v>0</v>
      </c>
      <c r="AQ192">
        <f t="shared" si="213"/>
        <v>0</v>
      </c>
      <c r="AR192">
        <f t="shared" si="214"/>
        <v>0</v>
      </c>
      <c r="AS192">
        <f t="shared" si="215"/>
        <v>0</v>
      </c>
      <c r="AT192">
        <f t="shared" si="216"/>
        <v>0</v>
      </c>
      <c r="AU192">
        <f t="shared" si="217"/>
        <v>0</v>
      </c>
    </row>
    <row r="193" spans="1:51" ht="21.9" customHeight="1" x14ac:dyDescent="0.4">
      <c r="A193" s="5" t="s">
        <v>750</v>
      </c>
      <c r="B193" s="5" t="s">
        <v>560</v>
      </c>
      <c r="C193" s="6" t="s">
        <v>561</v>
      </c>
      <c r="D193" s="8">
        <v>5.3</v>
      </c>
      <c r="E193" s="8">
        <f>ROUNDDOWN(일위대가목록!G13, 0)</f>
        <v>143004</v>
      </c>
      <c r="F193" s="8">
        <f t="shared" si="184"/>
        <v>757921</v>
      </c>
      <c r="G193" s="8">
        <f>ROUNDDOWN(일위대가목록!I13, 0)</f>
        <v>483171</v>
      </c>
      <c r="H193" s="8">
        <f t="shared" si="185"/>
        <v>2560806</v>
      </c>
      <c r="I193" s="8">
        <f>ROUNDDOWN(일위대가목록!K13, 0)</f>
        <v>162720</v>
      </c>
      <c r="J193" s="8">
        <f t="shared" si="186"/>
        <v>862416</v>
      </c>
      <c r="K193" s="8">
        <f t="shared" si="182"/>
        <v>788895</v>
      </c>
      <c r="L193" s="8">
        <f t="shared" si="183"/>
        <v>4181143</v>
      </c>
      <c r="M193" s="5" t="s">
        <v>558</v>
      </c>
      <c r="O193" t="str">
        <f>""</f>
        <v/>
      </c>
      <c r="P193" s="10" t="s">
        <v>361</v>
      </c>
      <c r="Q193">
        <v>1</v>
      </c>
      <c r="R193">
        <f t="shared" si="188"/>
        <v>862416</v>
      </c>
      <c r="S193">
        <f t="shared" si="189"/>
        <v>0</v>
      </c>
      <c r="T193">
        <f t="shared" si="190"/>
        <v>0</v>
      </c>
      <c r="U193">
        <f t="shared" si="191"/>
        <v>0</v>
      </c>
      <c r="V193">
        <f t="shared" si="192"/>
        <v>0</v>
      </c>
      <c r="W193">
        <f t="shared" si="193"/>
        <v>0</v>
      </c>
      <c r="X193">
        <f t="shared" si="194"/>
        <v>0</v>
      </c>
      <c r="Y193">
        <f t="shared" si="195"/>
        <v>0</v>
      </c>
      <c r="Z193">
        <f t="shared" si="196"/>
        <v>0</v>
      </c>
      <c r="AA193">
        <f t="shared" si="197"/>
        <v>0</v>
      </c>
      <c r="AB193">
        <f t="shared" si="198"/>
        <v>0</v>
      </c>
      <c r="AC193">
        <f t="shared" si="199"/>
        <v>0</v>
      </c>
      <c r="AD193">
        <f t="shared" si="200"/>
        <v>0</v>
      </c>
      <c r="AE193">
        <f t="shared" si="201"/>
        <v>0</v>
      </c>
      <c r="AF193">
        <f t="shared" si="202"/>
        <v>0</v>
      </c>
      <c r="AG193">
        <f t="shared" si="203"/>
        <v>0</v>
      </c>
      <c r="AH193">
        <f t="shared" si="204"/>
        <v>0</v>
      </c>
      <c r="AI193">
        <f t="shared" si="205"/>
        <v>0</v>
      </c>
      <c r="AJ193">
        <f t="shared" si="206"/>
        <v>0</v>
      </c>
      <c r="AK193">
        <f t="shared" si="207"/>
        <v>0</v>
      </c>
      <c r="AL193">
        <f t="shared" si="208"/>
        <v>0</v>
      </c>
      <c r="AM193">
        <f t="shared" si="209"/>
        <v>0</v>
      </c>
      <c r="AN193">
        <f t="shared" si="210"/>
        <v>0</v>
      </c>
      <c r="AO193">
        <f t="shared" si="211"/>
        <v>0</v>
      </c>
      <c r="AP193">
        <f t="shared" si="212"/>
        <v>0</v>
      </c>
      <c r="AQ193">
        <f t="shared" si="213"/>
        <v>0</v>
      </c>
      <c r="AR193">
        <f t="shared" si="214"/>
        <v>0</v>
      </c>
      <c r="AS193">
        <f t="shared" si="215"/>
        <v>0</v>
      </c>
      <c r="AT193">
        <f t="shared" si="216"/>
        <v>0</v>
      </c>
      <c r="AU193">
        <f t="shared" si="217"/>
        <v>0</v>
      </c>
    </row>
    <row r="194" spans="1:51" ht="21.9" customHeight="1" x14ac:dyDescent="0.4">
      <c r="A194" s="5" t="s">
        <v>678</v>
      </c>
      <c r="B194" s="5" t="s">
        <v>552</v>
      </c>
      <c r="C194" s="6" t="s">
        <v>553</v>
      </c>
      <c r="D194" s="8">
        <v>11.87</v>
      </c>
      <c r="E194" s="8">
        <f>ROUNDDOWN(일위대가목록!G11, 0)</f>
        <v>96990</v>
      </c>
      <c r="F194" s="8">
        <f t="shared" si="184"/>
        <v>1151271</v>
      </c>
      <c r="G194" s="8">
        <f>ROUNDDOWN(일위대가목록!I11, 0)</f>
        <v>1616500</v>
      </c>
      <c r="H194" s="8">
        <f t="shared" si="185"/>
        <v>19187855</v>
      </c>
      <c r="I194" s="8">
        <f>ROUNDDOWN(일위대가목록!K11, 2)</f>
        <v>0</v>
      </c>
      <c r="J194" s="8">
        <f t="shared" si="186"/>
        <v>0</v>
      </c>
      <c r="K194" s="8">
        <f t="shared" si="182"/>
        <v>1713490</v>
      </c>
      <c r="L194" s="8">
        <f t="shared" si="183"/>
        <v>20339126</v>
      </c>
      <c r="M194" s="5" t="s">
        <v>550</v>
      </c>
      <c r="O194" t="str">
        <f>""</f>
        <v/>
      </c>
      <c r="P194" s="10" t="s">
        <v>361</v>
      </c>
      <c r="Q194">
        <v>1</v>
      </c>
      <c r="R194">
        <f t="shared" si="188"/>
        <v>0</v>
      </c>
      <c r="S194">
        <f t="shared" si="189"/>
        <v>0</v>
      </c>
      <c r="T194">
        <f t="shared" si="190"/>
        <v>0</v>
      </c>
      <c r="U194">
        <f t="shared" si="191"/>
        <v>0</v>
      </c>
      <c r="V194">
        <f t="shared" si="192"/>
        <v>0</v>
      </c>
      <c r="W194">
        <f t="shared" si="193"/>
        <v>0</v>
      </c>
      <c r="X194">
        <f t="shared" si="194"/>
        <v>0</v>
      </c>
      <c r="Y194">
        <f t="shared" si="195"/>
        <v>0</v>
      </c>
      <c r="Z194">
        <f t="shared" si="196"/>
        <v>0</v>
      </c>
      <c r="AA194">
        <f t="shared" si="197"/>
        <v>0</v>
      </c>
      <c r="AB194">
        <f t="shared" si="198"/>
        <v>0</v>
      </c>
      <c r="AC194">
        <f t="shared" si="199"/>
        <v>0</v>
      </c>
      <c r="AD194">
        <f t="shared" si="200"/>
        <v>0</v>
      </c>
      <c r="AE194">
        <f t="shared" si="201"/>
        <v>0</v>
      </c>
      <c r="AF194">
        <f t="shared" si="202"/>
        <v>0</v>
      </c>
      <c r="AG194">
        <f t="shared" si="203"/>
        <v>0</v>
      </c>
      <c r="AH194">
        <f t="shared" si="204"/>
        <v>0</v>
      </c>
      <c r="AI194">
        <f t="shared" si="205"/>
        <v>0</v>
      </c>
      <c r="AJ194">
        <f t="shared" si="206"/>
        <v>0</v>
      </c>
      <c r="AK194">
        <f t="shared" si="207"/>
        <v>0</v>
      </c>
      <c r="AL194">
        <f t="shared" si="208"/>
        <v>0</v>
      </c>
      <c r="AM194">
        <f t="shared" si="209"/>
        <v>0</v>
      </c>
      <c r="AN194">
        <f t="shared" si="210"/>
        <v>0</v>
      </c>
      <c r="AO194">
        <f t="shared" si="211"/>
        <v>0</v>
      </c>
      <c r="AP194">
        <f t="shared" si="212"/>
        <v>0</v>
      </c>
      <c r="AQ194">
        <f t="shared" si="213"/>
        <v>0</v>
      </c>
      <c r="AR194">
        <f t="shared" si="214"/>
        <v>0</v>
      </c>
      <c r="AS194">
        <f t="shared" si="215"/>
        <v>0</v>
      </c>
      <c r="AT194">
        <f t="shared" si="216"/>
        <v>0</v>
      </c>
      <c r="AU194">
        <f t="shared" si="217"/>
        <v>0</v>
      </c>
      <c r="AY194" s="10" t="s">
        <v>554</v>
      </c>
    </row>
    <row r="195" spans="1:51" ht="21.9" customHeight="1" x14ac:dyDescent="0.4">
      <c r="A195" s="7"/>
      <c r="B195" s="7"/>
      <c r="C195" s="9"/>
      <c r="D195" s="8"/>
      <c r="E195" s="8"/>
      <c r="F195" s="8"/>
      <c r="G195" s="8"/>
      <c r="H195" s="8"/>
      <c r="I195" s="8"/>
      <c r="J195" s="8"/>
      <c r="K195" s="8"/>
      <c r="L195" s="8"/>
      <c r="M195" s="7"/>
    </row>
    <row r="196" spans="1:51" ht="21.9" customHeight="1" x14ac:dyDescent="0.4">
      <c r="A196" s="12" t="s">
        <v>372</v>
      </c>
      <c r="B196" s="13"/>
      <c r="C196" s="14"/>
      <c r="D196" s="15"/>
      <c r="E196" s="15"/>
      <c r="F196" s="15">
        <f>ROUNDDOWN(SUMIF(Q160:Q195, "1", F160:F195), 0)</f>
        <v>98124267</v>
      </c>
      <c r="G196" s="15"/>
      <c r="H196" s="15">
        <f>ROUNDDOWN(SUMIF(Q160:Q195, "1", H160:H195), 0)</f>
        <v>21748661</v>
      </c>
      <c r="I196" s="15"/>
      <c r="J196" s="15">
        <f>ROUNDDOWN(SUMIF(Q160:Q195, "1", J160:J195), 0)</f>
        <v>862416</v>
      </c>
      <c r="K196" s="15"/>
      <c r="L196" s="15">
        <f>F196+H196+J196</f>
        <v>120735344</v>
      </c>
      <c r="M196" s="13"/>
      <c r="R196">
        <f t="shared" ref="R196:AY196" si="218">ROUNDDOWN(SUM(R160:R194), 0)</f>
        <v>862416</v>
      </c>
      <c r="S196">
        <f t="shared" si="218"/>
        <v>0</v>
      </c>
      <c r="T196">
        <f t="shared" si="218"/>
        <v>0</v>
      </c>
      <c r="U196">
        <f t="shared" si="218"/>
        <v>0</v>
      </c>
      <c r="V196">
        <f t="shared" si="218"/>
        <v>0</v>
      </c>
      <c r="W196">
        <f t="shared" si="218"/>
        <v>0</v>
      </c>
      <c r="X196">
        <f t="shared" si="218"/>
        <v>0</v>
      </c>
      <c r="Y196">
        <f t="shared" si="218"/>
        <v>0</v>
      </c>
      <c r="Z196">
        <f t="shared" si="218"/>
        <v>0</v>
      </c>
      <c r="AA196">
        <f t="shared" si="218"/>
        <v>0</v>
      </c>
      <c r="AB196">
        <f t="shared" si="218"/>
        <v>0</v>
      </c>
      <c r="AC196">
        <f t="shared" si="218"/>
        <v>0</v>
      </c>
      <c r="AD196">
        <f t="shared" si="218"/>
        <v>0</v>
      </c>
      <c r="AE196">
        <f t="shared" si="218"/>
        <v>0</v>
      </c>
      <c r="AF196">
        <f t="shared" si="218"/>
        <v>0</v>
      </c>
      <c r="AG196">
        <f t="shared" si="218"/>
        <v>0</v>
      </c>
      <c r="AH196">
        <f t="shared" si="218"/>
        <v>0</v>
      </c>
      <c r="AI196">
        <f t="shared" si="218"/>
        <v>0</v>
      </c>
      <c r="AJ196">
        <f t="shared" si="218"/>
        <v>0</v>
      </c>
      <c r="AK196">
        <f t="shared" si="218"/>
        <v>0</v>
      </c>
      <c r="AL196">
        <f t="shared" si="218"/>
        <v>0</v>
      </c>
      <c r="AM196">
        <f t="shared" si="218"/>
        <v>0</v>
      </c>
      <c r="AN196">
        <f t="shared" si="218"/>
        <v>0</v>
      </c>
      <c r="AO196">
        <f t="shared" si="218"/>
        <v>0</v>
      </c>
      <c r="AP196">
        <f t="shared" si="218"/>
        <v>0</v>
      </c>
      <c r="AQ196">
        <f t="shared" si="218"/>
        <v>0</v>
      </c>
      <c r="AR196">
        <f t="shared" si="218"/>
        <v>0</v>
      </c>
      <c r="AS196">
        <f t="shared" si="218"/>
        <v>0</v>
      </c>
      <c r="AT196">
        <f t="shared" si="218"/>
        <v>0</v>
      </c>
      <c r="AU196">
        <f t="shared" si="218"/>
        <v>0</v>
      </c>
      <c r="AV196">
        <f t="shared" si="218"/>
        <v>0</v>
      </c>
      <c r="AW196">
        <f t="shared" si="218"/>
        <v>0</v>
      </c>
      <c r="AX196">
        <f t="shared" si="218"/>
        <v>0</v>
      </c>
      <c r="AY196">
        <f t="shared" si="218"/>
        <v>0</v>
      </c>
    </row>
    <row r="197" spans="1:51" ht="21.9" customHeight="1" x14ac:dyDescent="0.4">
      <c r="A197" s="56" t="s">
        <v>751</v>
      </c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</row>
    <row r="198" spans="1:51" ht="21.9" customHeight="1" x14ac:dyDescent="0.4">
      <c r="A198" s="5" t="s">
        <v>752</v>
      </c>
      <c r="B198" s="7"/>
      <c r="C198" s="6" t="s">
        <v>359</v>
      </c>
      <c r="D198" s="8"/>
      <c r="E198" s="8"/>
      <c r="F198" s="8">
        <f>SUMIF(Q199:Q204, "1", F199:F204)</f>
        <v>10624201</v>
      </c>
      <c r="G198" s="8"/>
      <c r="H198" s="8">
        <f>SUMIF(Q199:Q204, "1", H199:H204)</f>
        <v>3432100</v>
      </c>
      <c r="I198" s="8"/>
      <c r="J198" s="8">
        <f>SUMIF(Q199:Q204, "1", J199:J204)</f>
        <v>0</v>
      </c>
      <c r="K198" s="8">
        <f t="shared" ref="K198:L204" si="219">E198+G198+I198</f>
        <v>0</v>
      </c>
      <c r="L198" s="8">
        <f t="shared" si="219"/>
        <v>14056301</v>
      </c>
      <c r="M198" s="7"/>
      <c r="O198" t="str">
        <f>""</f>
        <v/>
      </c>
    </row>
    <row r="199" spans="1:51" ht="21.9" customHeight="1" x14ac:dyDescent="0.4">
      <c r="A199" s="5" t="s">
        <v>753</v>
      </c>
      <c r="B199" s="5" t="s">
        <v>195</v>
      </c>
      <c r="C199" s="6" t="s">
        <v>70</v>
      </c>
      <c r="D199" s="8">
        <v>90</v>
      </c>
      <c r="E199" s="8">
        <f>ROUNDDOWN(단가대비표!N84, 0)</f>
        <v>88400</v>
      </c>
      <c r="F199" s="8">
        <f t="shared" ref="F199:F204" si="220">ROUNDDOWN(D199*E199, 0)</f>
        <v>7956000</v>
      </c>
      <c r="G199" s="8"/>
      <c r="H199" s="8">
        <f t="shared" ref="H199:H204" si="221">ROUNDDOWN(D199*G199, 0)</f>
        <v>0</v>
      </c>
      <c r="I199" s="8"/>
      <c r="J199" s="8">
        <f t="shared" ref="J199:J204" si="222">ROUNDDOWN(D199*I199, 0)</f>
        <v>0</v>
      </c>
      <c r="K199" s="8">
        <f t="shared" si="219"/>
        <v>88400</v>
      </c>
      <c r="L199" s="8">
        <f t="shared" si="219"/>
        <v>7956000</v>
      </c>
      <c r="M199" s="7"/>
      <c r="O199" t="str">
        <f>"01"</f>
        <v>01</v>
      </c>
      <c r="P199" s="10" t="s">
        <v>361</v>
      </c>
      <c r="Q199">
        <v>1</v>
      </c>
      <c r="R199">
        <f t="shared" ref="R199:R204" si="223">IF(P199="기계경비", J199, 0)</f>
        <v>0</v>
      </c>
      <c r="S199">
        <f t="shared" ref="S199:S204" si="224">IF(P199="운반비", L199, 0)</f>
        <v>0</v>
      </c>
      <c r="T199">
        <f t="shared" ref="T199:T204" si="225">IF(P199="작업부산물", F199, 0)</f>
        <v>0</v>
      </c>
      <c r="U199">
        <f t="shared" ref="U199:U204" si="226">IF(P199="관급", F199, 0)</f>
        <v>0</v>
      </c>
      <c r="V199">
        <f t="shared" ref="V199:V204" si="227">IF(P199="외주비", J199, 0)</f>
        <v>0</v>
      </c>
      <c r="W199">
        <f t="shared" ref="W199:W204" si="228">IF(P199="장비비", J199, 0)</f>
        <v>0</v>
      </c>
      <c r="X199">
        <f t="shared" ref="X199:X204" si="229">IF(P199="폐기물처리비", L199, 0)</f>
        <v>0</v>
      </c>
      <c r="Y199">
        <f t="shared" ref="Y199:Y204" si="230">IF(P199="가설비", J199, 0)</f>
        <v>0</v>
      </c>
      <c r="Z199">
        <f t="shared" ref="Z199:Z204" si="231">IF(P199="잡비제외분", F199, 0)</f>
        <v>0</v>
      </c>
      <c r="AA199">
        <f t="shared" ref="AA199:AA204" si="232">IF(P199="사급자재대", L199, 0)</f>
        <v>0</v>
      </c>
      <c r="AB199">
        <f t="shared" ref="AB199:AB204" si="233">IF(P199="관급자재대", L199, 0)</f>
        <v>0</v>
      </c>
      <c r="AC199">
        <f t="shared" ref="AC199:AC204" si="234">IF(P199="고철처리비", L199, 0)</f>
        <v>0</v>
      </c>
      <c r="AD199">
        <f t="shared" ref="AD199:AD204" si="235">IF(P199="사용자항목2", L199, 0)</f>
        <v>0</v>
      </c>
      <c r="AE199">
        <f t="shared" ref="AE199:AE204" si="236">IF(P199="안전관리비", L199, 0)</f>
        <v>0</v>
      </c>
      <c r="AF199">
        <f t="shared" ref="AF199:AF204" si="237">IF(P199="품질관리비", L199, 0)</f>
        <v>0</v>
      </c>
      <c r="AG199">
        <f t="shared" ref="AG199:AG204" si="238">IF(P199="사용자항목5", L199, 0)</f>
        <v>0</v>
      </c>
      <c r="AH199">
        <f t="shared" ref="AH199:AH204" si="239">IF(P199="사용자항목6", L199, 0)</f>
        <v>0</v>
      </c>
      <c r="AI199">
        <f t="shared" ref="AI199:AI204" si="240">IF(P199="사용자항목7", L199, 0)</f>
        <v>0</v>
      </c>
      <c r="AJ199">
        <f t="shared" ref="AJ199:AJ204" si="241">IF(P199="관급자 관급 자재대", L199, 0)</f>
        <v>0</v>
      </c>
      <c r="AK199">
        <f t="shared" ref="AK199:AK204" si="242">IF(P199="전기공사", L199, 0)</f>
        <v>0</v>
      </c>
      <c r="AL199">
        <f t="shared" ref="AL199:AL204" si="243">IF(P199="석면분담금", L199, 0)</f>
        <v>0</v>
      </c>
      <c r="AM199">
        <f t="shared" ref="AM199:AM204" si="244">IF(P199="임금채권부담금", L199, 0)</f>
        <v>0</v>
      </c>
      <c r="AN199">
        <f t="shared" ref="AN199:AN204" si="245">IF(P199="건설기계대여보증수수료", L199, 0)</f>
        <v>0</v>
      </c>
      <c r="AO199">
        <f t="shared" ref="AO199:AO204" si="246">IF(P199="사용자항목13", L199, 0)</f>
        <v>0</v>
      </c>
      <c r="AP199">
        <f t="shared" ref="AP199:AP204" si="247">IF(P199="사용자항목14", L199, 0)</f>
        <v>0</v>
      </c>
      <c r="AQ199">
        <f t="shared" ref="AQ199:AQ204" si="248">IF(P199="사용자항목15", L199, 0)</f>
        <v>0</v>
      </c>
      <c r="AR199">
        <f t="shared" ref="AR199:AR204" si="249">IF(P199="사용자항목16", L199, 0)</f>
        <v>0</v>
      </c>
      <c r="AS199">
        <f t="shared" ref="AS199:AS204" si="250">IF(P199="사용자항목17", L199, 0)</f>
        <v>0</v>
      </c>
      <c r="AT199">
        <f t="shared" ref="AT199:AT204" si="251">IF(P199="사용자항목18", L199, 0)</f>
        <v>0</v>
      </c>
      <c r="AU199">
        <f t="shared" ref="AU199:AU204" si="252">IF(P199="사용자항목19", L199, 0)</f>
        <v>0</v>
      </c>
    </row>
    <row r="200" spans="1:51" ht="21.9" customHeight="1" x14ac:dyDescent="0.4">
      <c r="A200" s="5" t="s">
        <v>754</v>
      </c>
      <c r="B200" s="5" t="s">
        <v>264</v>
      </c>
      <c r="C200" s="6" t="s">
        <v>70</v>
      </c>
      <c r="D200" s="8">
        <v>1</v>
      </c>
      <c r="E200" s="8">
        <f>ROUNDDOWN(단가대비표!N118, 0)</f>
        <v>2028000</v>
      </c>
      <c r="F200" s="8">
        <f t="shared" si="220"/>
        <v>2028000</v>
      </c>
      <c r="G200" s="8"/>
      <c r="H200" s="8">
        <f t="shared" si="221"/>
        <v>0</v>
      </c>
      <c r="I200" s="8"/>
      <c r="J200" s="8">
        <f t="shared" si="222"/>
        <v>0</v>
      </c>
      <c r="K200" s="8">
        <f t="shared" si="219"/>
        <v>2028000</v>
      </c>
      <c r="L200" s="8">
        <f t="shared" si="219"/>
        <v>2028000</v>
      </c>
      <c r="M200" s="7"/>
      <c r="O200" t="str">
        <f>"01"</f>
        <v>01</v>
      </c>
      <c r="P200" s="10" t="s">
        <v>361</v>
      </c>
      <c r="Q200">
        <v>1</v>
      </c>
      <c r="R200">
        <f t="shared" si="223"/>
        <v>0</v>
      </c>
      <c r="S200">
        <f t="shared" si="224"/>
        <v>0</v>
      </c>
      <c r="T200">
        <f t="shared" si="225"/>
        <v>0</v>
      </c>
      <c r="U200">
        <f t="shared" si="226"/>
        <v>0</v>
      </c>
      <c r="V200">
        <f t="shared" si="227"/>
        <v>0</v>
      </c>
      <c r="W200">
        <f t="shared" si="228"/>
        <v>0</v>
      </c>
      <c r="X200">
        <f t="shared" si="229"/>
        <v>0</v>
      </c>
      <c r="Y200">
        <f t="shared" si="230"/>
        <v>0</v>
      </c>
      <c r="Z200">
        <f t="shared" si="231"/>
        <v>0</v>
      </c>
      <c r="AA200">
        <f t="shared" si="232"/>
        <v>0</v>
      </c>
      <c r="AB200">
        <f t="shared" si="233"/>
        <v>0</v>
      </c>
      <c r="AC200">
        <f t="shared" si="234"/>
        <v>0</v>
      </c>
      <c r="AD200">
        <f t="shared" si="235"/>
        <v>0</v>
      </c>
      <c r="AE200">
        <f t="shared" si="236"/>
        <v>0</v>
      </c>
      <c r="AF200">
        <f t="shared" si="237"/>
        <v>0</v>
      </c>
      <c r="AG200">
        <f t="shared" si="238"/>
        <v>0</v>
      </c>
      <c r="AH200">
        <f t="shared" si="239"/>
        <v>0</v>
      </c>
      <c r="AI200">
        <f t="shared" si="240"/>
        <v>0</v>
      </c>
      <c r="AJ200">
        <f t="shared" si="241"/>
        <v>0</v>
      </c>
      <c r="AK200">
        <f t="shared" si="242"/>
        <v>0</v>
      </c>
      <c r="AL200">
        <f t="shared" si="243"/>
        <v>0</v>
      </c>
      <c r="AM200">
        <f t="shared" si="244"/>
        <v>0</v>
      </c>
      <c r="AN200">
        <f t="shared" si="245"/>
        <v>0</v>
      </c>
      <c r="AO200">
        <f t="shared" si="246"/>
        <v>0</v>
      </c>
      <c r="AP200">
        <f t="shared" si="247"/>
        <v>0</v>
      </c>
      <c r="AQ200">
        <f t="shared" si="248"/>
        <v>0</v>
      </c>
      <c r="AR200">
        <f t="shared" si="249"/>
        <v>0</v>
      </c>
      <c r="AS200">
        <f t="shared" si="250"/>
        <v>0</v>
      </c>
      <c r="AT200">
        <f t="shared" si="251"/>
        <v>0</v>
      </c>
      <c r="AU200">
        <f t="shared" si="252"/>
        <v>0</v>
      </c>
    </row>
    <row r="201" spans="1:51" ht="21.9" customHeight="1" x14ac:dyDescent="0.4">
      <c r="A201" s="5" t="s">
        <v>755</v>
      </c>
      <c r="B201" s="5" t="s">
        <v>564</v>
      </c>
      <c r="C201" s="6" t="s">
        <v>78</v>
      </c>
      <c r="D201" s="8">
        <v>163</v>
      </c>
      <c r="E201" s="8">
        <f>ROUNDDOWN(일위대가목록!G14, 0)</f>
        <v>1173</v>
      </c>
      <c r="F201" s="8">
        <f t="shared" si="220"/>
        <v>191199</v>
      </c>
      <c r="G201" s="8">
        <f>ROUNDDOWN(일위대가목록!I14, 0)</f>
        <v>5778</v>
      </c>
      <c r="H201" s="8">
        <f t="shared" si="221"/>
        <v>941814</v>
      </c>
      <c r="I201" s="8">
        <f>ROUNDDOWN(일위대가목록!K14, 2)</f>
        <v>0</v>
      </c>
      <c r="J201" s="8">
        <f t="shared" si="222"/>
        <v>0</v>
      </c>
      <c r="K201" s="8">
        <f t="shared" si="219"/>
        <v>6951</v>
      </c>
      <c r="L201" s="8">
        <f t="shared" si="219"/>
        <v>1133013</v>
      </c>
      <c r="M201" s="5" t="s">
        <v>562</v>
      </c>
      <c r="O201" t="str">
        <f>""</f>
        <v/>
      </c>
      <c r="P201" s="10" t="s">
        <v>361</v>
      </c>
      <c r="Q201">
        <v>1</v>
      </c>
      <c r="R201">
        <f t="shared" si="223"/>
        <v>0</v>
      </c>
      <c r="S201">
        <f t="shared" si="224"/>
        <v>0</v>
      </c>
      <c r="T201">
        <f t="shared" si="225"/>
        <v>0</v>
      </c>
      <c r="U201">
        <f t="shared" si="226"/>
        <v>0</v>
      </c>
      <c r="V201">
        <f t="shared" si="227"/>
        <v>0</v>
      </c>
      <c r="W201">
        <f t="shared" si="228"/>
        <v>0</v>
      </c>
      <c r="X201">
        <f t="shared" si="229"/>
        <v>0</v>
      </c>
      <c r="Y201">
        <f t="shared" si="230"/>
        <v>0</v>
      </c>
      <c r="Z201">
        <f t="shared" si="231"/>
        <v>0</v>
      </c>
      <c r="AA201">
        <f t="shared" si="232"/>
        <v>0</v>
      </c>
      <c r="AB201">
        <f t="shared" si="233"/>
        <v>0</v>
      </c>
      <c r="AC201">
        <f t="shared" si="234"/>
        <v>0</v>
      </c>
      <c r="AD201">
        <f t="shared" si="235"/>
        <v>0</v>
      </c>
      <c r="AE201">
        <f t="shared" si="236"/>
        <v>0</v>
      </c>
      <c r="AF201">
        <f t="shared" si="237"/>
        <v>0</v>
      </c>
      <c r="AG201">
        <f t="shared" si="238"/>
        <v>0</v>
      </c>
      <c r="AH201">
        <f t="shared" si="239"/>
        <v>0</v>
      </c>
      <c r="AI201">
        <f t="shared" si="240"/>
        <v>0</v>
      </c>
      <c r="AJ201">
        <f t="shared" si="241"/>
        <v>0</v>
      </c>
      <c r="AK201">
        <f t="shared" si="242"/>
        <v>0</v>
      </c>
      <c r="AL201">
        <f t="shared" si="243"/>
        <v>0</v>
      </c>
      <c r="AM201">
        <f t="shared" si="244"/>
        <v>0</v>
      </c>
      <c r="AN201">
        <f t="shared" si="245"/>
        <v>0</v>
      </c>
      <c r="AO201">
        <f t="shared" si="246"/>
        <v>0</v>
      </c>
      <c r="AP201">
        <f t="shared" si="247"/>
        <v>0</v>
      </c>
      <c r="AQ201">
        <f t="shared" si="248"/>
        <v>0</v>
      </c>
      <c r="AR201">
        <f t="shared" si="249"/>
        <v>0</v>
      </c>
      <c r="AS201">
        <f t="shared" si="250"/>
        <v>0</v>
      </c>
      <c r="AT201">
        <f t="shared" si="251"/>
        <v>0</v>
      </c>
      <c r="AU201">
        <f t="shared" si="252"/>
        <v>0</v>
      </c>
      <c r="AY201" s="10" t="s">
        <v>565</v>
      </c>
    </row>
    <row r="202" spans="1:51" ht="21.9" customHeight="1" x14ac:dyDescent="0.4">
      <c r="A202" s="5" t="s">
        <v>755</v>
      </c>
      <c r="B202" s="5" t="s">
        <v>567</v>
      </c>
      <c r="C202" s="6" t="s">
        <v>78</v>
      </c>
      <c r="D202" s="8">
        <v>163</v>
      </c>
      <c r="E202" s="8">
        <f>ROUNDDOWN(일위대가목록!G15, 0)</f>
        <v>668</v>
      </c>
      <c r="F202" s="8">
        <f t="shared" si="220"/>
        <v>108884</v>
      </c>
      <c r="G202" s="8">
        <f>ROUNDDOWN(일위대가목록!I15, 0)</f>
        <v>5778</v>
      </c>
      <c r="H202" s="8">
        <f t="shared" si="221"/>
        <v>941814</v>
      </c>
      <c r="I202" s="8">
        <f>ROUNDDOWN(일위대가목록!K15, 2)</f>
        <v>0</v>
      </c>
      <c r="J202" s="8">
        <f t="shared" si="222"/>
        <v>0</v>
      </c>
      <c r="K202" s="8">
        <f t="shared" si="219"/>
        <v>6446</v>
      </c>
      <c r="L202" s="8">
        <f t="shared" si="219"/>
        <v>1050698</v>
      </c>
      <c r="M202" s="5" t="s">
        <v>566</v>
      </c>
      <c r="O202" t="str">
        <f>""</f>
        <v/>
      </c>
      <c r="P202" s="10" t="s">
        <v>361</v>
      </c>
      <c r="Q202">
        <v>1</v>
      </c>
      <c r="R202">
        <f t="shared" si="223"/>
        <v>0</v>
      </c>
      <c r="S202">
        <f t="shared" si="224"/>
        <v>0</v>
      </c>
      <c r="T202">
        <f t="shared" si="225"/>
        <v>0</v>
      </c>
      <c r="U202">
        <f t="shared" si="226"/>
        <v>0</v>
      </c>
      <c r="V202">
        <f t="shared" si="227"/>
        <v>0</v>
      </c>
      <c r="W202">
        <f t="shared" si="228"/>
        <v>0</v>
      </c>
      <c r="X202">
        <f t="shared" si="229"/>
        <v>0</v>
      </c>
      <c r="Y202">
        <f t="shared" si="230"/>
        <v>0</v>
      </c>
      <c r="Z202">
        <f t="shared" si="231"/>
        <v>0</v>
      </c>
      <c r="AA202">
        <f t="shared" si="232"/>
        <v>0</v>
      </c>
      <c r="AB202">
        <f t="shared" si="233"/>
        <v>0</v>
      </c>
      <c r="AC202">
        <f t="shared" si="234"/>
        <v>0</v>
      </c>
      <c r="AD202">
        <f t="shared" si="235"/>
        <v>0</v>
      </c>
      <c r="AE202">
        <f t="shared" si="236"/>
        <v>0</v>
      </c>
      <c r="AF202">
        <f t="shared" si="237"/>
        <v>0</v>
      </c>
      <c r="AG202">
        <f t="shared" si="238"/>
        <v>0</v>
      </c>
      <c r="AH202">
        <f t="shared" si="239"/>
        <v>0</v>
      </c>
      <c r="AI202">
        <f t="shared" si="240"/>
        <v>0</v>
      </c>
      <c r="AJ202">
        <f t="shared" si="241"/>
        <v>0</v>
      </c>
      <c r="AK202">
        <f t="shared" si="242"/>
        <v>0</v>
      </c>
      <c r="AL202">
        <f t="shared" si="243"/>
        <v>0</v>
      </c>
      <c r="AM202">
        <f t="shared" si="244"/>
        <v>0</v>
      </c>
      <c r="AN202">
        <f t="shared" si="245"/>
        <v>0</v>
      </c>
      <c r="AO202">
        <f t="shared" si="246"/>
        <v>0</v>
      </c>
      <c r="AP202">
        <f t="shared" si="247"/>
        <v>0</v>
      </c>
      <c r="AQ202">
        <f t="shared" si="248"/>
        <v>0</v>
      </c>
      <c r="AR202">
        <f t="shared" si="249"/>
        <v>0</v>
      </c>
      <c r="AS202">
        <f t="shared" si="250"/>
        <v>0</v>
      </c>
      <c r="AT202">
        <f t="shared" si="251"/>
        <v>0</v>
      </c>
      <c r="AU202">
        <f t="shared" si="252"/>
        <v>0</v>
      </c>
      <c r="AY202" s="10" t="s">
        <v>565</v>
      </c>
    </row>
    <row r="203" spans="1:51" ht="21.9" customHeight="1" x14ac:dyDescent="0.4">
      <c r="A203" s="5" t="s">
        <v>755</v>
      </c>
      <c r="B203" s="5" t="s">
        <v>569</v>
      </c>
      <c r="C203" s="6" t="s">
        <v>78</v>
      </c>
      <c r="D203" s="8">
        <v>294</v>
      </c>
      <c r="E203" s="8">
        <f>ROUNDDOWN(일위대가목록!G16, 0)</f>
        <v>857</v>
      </c>
      <c r="F203" s="8">
        <f t="shared" si="220"/>
        <v>251958</v>
      </c>
      <c r="G203" s="8">
        <f>ROUNDDOWN(일위대가목록!I16, 0)</f>
        <v>4258</v>
      </c>
      <c r="H203" s="8">
        <f t="shared" si="221"/>
        <v>1251852</v>
      </c>
      <c r="I203" s="8">
        <f>ROUNDDOWN(일위대가목록!K16, 2)</f>
        <v>0</v>
      </c>
      <c r="J203" s="8">
        <f t="shared" si="222"/>
        <v>0</v>
      </c>
      <c r="K203" s="8">
        <f t="shared" si="219"/>
        <v>5115</v>
      </c>
      <c r="L203" s="8">
        <f t="shared" si="219"/>
        <v>1503810</v>
      </c>
      <c r="M203" s="5" t="s">
        <v>568</v>
      </c>
      <c r="O203" t="str">
        <f>""</f>
        <v/>
      </c>
      <c r="P203" s="10" t="s">
        <v>361</v>
      </c>
      <c r="Q203">
        <v>1</v>
      </c>
      <c r="R203">
        <f t="shared" si="223"/>
        <v>0</v>
      </c>
      <c r="S203">
        <f t="shared" si="224"/>
        <v>0</v>
      </c>
      <c r="T203">
        <f t="shared" si="225"/>
        <v>0</v>
      </c>
      <c r="U203">
        <f t="shared" si="226"/>
        <v>0</v>
      </c>
      <c r="V203">
        <f t="shared" si="227"/>
        <v>0</v>
      </c>
      <c r="W203">
        <f t="shared" si="228"/>
        <v>0</v>
      </c>
      <c r="X203">
        <f t="shared" si="229"/>
        <v>0</v>
      </c>
      <c r="Y203">
        <f t="shared" si="230"/>
        <v>0</v>
      </c>
      <c r="Z203">
        <f t="shared" si="231"/>
        <v>0</v>
      </c>
      <c r="AA203">
        <f t="shared" si="232"/>
        <v>0</v>
      </c>
      <c r="AB203">
        <f t="shared" si="233"/>
        <v>0</v>
      </c>
      <c r="AC203">
        <f t="shared" si="234"/>
        <v>0</v>
      </c>
      <c r="AD203">
        <f t="shared" si="235"/>
        <v>0</v>
      </c>
      <c r="AE203">
        <f t="shared" si="236"/>
        <v>0</v>
      </c>
      <c r="AF203">
        <f t="shared" si="237"/>
        <v>0</v>
      </c>
      <c r="AG203">
        <f t="shared" si="238"/>
        <v>0</v>
      </c>
      <c r="AH203">
        <f t="shared" si="239"/>
        <v>0</v>
      </c>
      <c r="AI203">
        <f t="shared" si="240"/>
        <v>0</v>
      </c>
      <c r="AJ203">
        <f t="shared" si="241"/>
        <v>0</v>
      </c>
      <c r="AK203">
        <f t="shared" si="242"/>
        <v>0</v>
      </c>
      <c r="AL203">
        <f t="shared" si="243"/>
        <v>0</v>
      </c>
      <c r="AM203">
        <f t="shared" si="244"/>
        <v>0</v>
      </c>
      <c r="AN203">
        <f t="shared" si="245"/>
        <v>0</v>
      </c>
      <c r="AO203">
        <f t="shared" si="246"/>
        <v>0</v>
      </c>
      <c r="AP203">
        <f t="shared" si="247"/>
        <v>0</v>
      </c>
      <c r="AQ203">
        <f t="shared" si="248"/>
        <v>0</v>
      </c>
      <c r="AR203">
        <f t="shared" si="249"/>
        <v>0</v>
      </c>
      <c r="AS203">
        <f t="shared" si="250"/>
        <v>0</v>
      </c>
      <c r="AT203">
        <f t="shared" si="251"/>
        <v>0</v>
      </c>
      <c r="AU203">
        <f t="shared" si="252"/>
        <v>0</v>
      </c>
      <c r="AY203" s="10" t="s">
        <v>570</v>
      </c>
    </row>
    <row r="204" spans="1:51" ht="21.9" customHeight="1" x14ac:dyDescent="0.4">
      <c r="A204" s="5" t="s">
        <v>755</v>
      </c>
      <c r="B204" s="5" t="s">
        <v>572</v>
      </c>
      <c r="C204" s="6" t="s">
        <v>38</v>
      </c>
      <c r="D204" s="8">
        <v>20</v>
      </c>
      <c r="E204" s="8">
        <f>ROUNDDOWN(일위대가목록!G17, 0)</f>
        <v>4408</v>
      </c>
      <c r="F204" s="8">
        <f t="shared" si="220"/>
        <v>88160</v>
      </c>
      <c r="G204" s="8">
        <f>ROUNDDOWN(일위대가목록!I17, 0)</f>
        <v>14831</v>
      </c>
      <c r="H204" s="8">
        <f t="shared" si="221"/>
        <v>296620</v>
      </c>
      <c r="I204" s="8">
        <f>ROUNDDOWN(일위대가목록!K17, 2)</f>
        <v>0</v>
      </c>
      <c r="J204" s="8">
        <f t="shared" si="222"/>
        <v>0</v>
      </c>
      <c r="K204" s="8">
        <f t="shared" si="219"/>
        <v>19239</v>
      </c>
      <c r="L204" s="8">
        <f t="shared" si="219"/>
        <v>384780</v>
      </c>
      <c r="M204" s="5" t="s">
        <v>571</v>
      </c>
      <c r="O204" t="str">
        <f>""</f>
        <v/>
      </c>
      <c r="P204" s="10" t="s">
        <v>361</v>
      </c>
      <c r="Q204">
        <v>1</v>
      </c>
      <c r="R204">
        <f t="shared" si="223"/>
        <v>0</v>
      </c>
      <c r="S204">
        <f t="shared" si="224"/>
        <v>0</v>
      </c>
      <c r="T204">
        <f t="shared" si="225"/>
        <v>0</v>
      </c>
      <c r="U204">
        <f t="shared" si="226"/>
        <v>0</v>
      </c>
      <c r="V204">
        <f t="shared" si="227"/>
        <v>0</v>
      </c>
      <c r="W204">
        <f t="shared" si="228"/>
        <v>0</v>
      </c>
      <c r="X204">
        <f t="shared" si="229"/>
        <v>0</v>
      </c>
      <c r="Y204">
        <f t="shared" si="230"/>
        <v>0</v>
      </c>
      <c r="Z204">
        <f t="shared" si="231"/>
        <v>0</v>
      </c>
      <c r="AA204">
        <f t="shared" si="232"/>
        <v>0</v>
      </c>
      <c r="AB204">
        <f t="shared" si="233"/>
        <v>0</v>
      </c>
      <c r="AC204">
        <f t="shared" si="234"/>
        <v>0</v>
      </c>
      <c r="AD204">
        <f t="shared" si="235"/>
        <v>0</v>
      </c>
      <c r="AE204">
        <f t="shared" si="236"/>
        <v>0</v>
      </c>
      <c r="AF204">
        <f t="shared" si="237"/>
        <v>0</v>
      </c>
      <c r="AG204">
        <f t="shared" si="238"/>
        <v>0</v>
      </c>
      <c r="AH204">
        <f t="shared" si="239"/>
        <v>0</v>
      </c>
      <c r="AI204">
        <f t="shared" si="240"/>
        <v>0</v>
      </c>
      <c r="AJ204">
        <f t="shared" si="241"/>
        <v>0</v>
      </c>
      <c r="AK204">
        <f t="shared" si="242"/>
        <v>0</v>
      </c>
      <c r="AL204">
        <f t="shared" si="243"/>
        <v>0</v>
      </c>
      <c r="AM204">
        <f t="shared" si="244"/>
        <v>0</v>
      </c>
      <c r="AN204">
        <f t="shared" si="245"/>
        <v>0</v>
      </c>
      <c r="AO204">
        <f t="shared" si="246"/>
        <v>0</v>
      </c>
      <c r="AP204">
        <f t="shared" si="247"/>
        <v>0</v>
      </c>
      <c r="AQ204">
        <f t="shared" si="248"/>
        <v>0</v>
      </c>
      <c r="AR204">
        <f t="shared" si="249"/>
        <v>0</v>
      </c>
      <c r="AS204">
        <f t="shared" si="250"/>
        <v>0</v>
      </c>
      <c r="AT204">
        <f t="shared" si="251"/>
        <v>0</v>
      </c>
      <c r="AU204">
        <f t="shared" si="252"/>
        <v>0</v>
      </c>
      <c r="AY204" s="10" t="s">
        <v>573</v>
      </c>
    </row>
    <row r="205" spans="1:51" ht="21.9" customHeight="1" x14ac:dyDescent="0.4">
      <c r="A205" s="7"/>
      <c r="B205" s="7"/>
      <c r="C205" s="9"/>
      <c r="D205" s="8"/>
      <c r="E205" s="8"/>
      <c r="F205" s="8"/>
      <c r="G205" s="8"/>
      <c r="H205" s="8"/>
      <c r="I205" s="8"/>
      <c r="J205" s="8"/>
      <c r="K205" s="8"/>
      <c r="L205" s="8"/>
      <c r="M205" s="7"/>
    </row>
    <row r="206" spans="1:51" ht="21.9" customHeight="1" x14ac:dyDescent="0.4">
      <c r="A206" s="7"/>
      <c r="B206" s="7"/>
      <c r="C206" s="9"/>
      <c r="D206" s="8"/>
      <c r="E206" s="8"/>
      <c r="F206" s="8"/>
      <c r="G206" s="8"/>
      <c r="H206" s="8"/>
      <c r="I206" s="8"/>
      <c r="J206" s="8"/>
      <c r="K206" s="8"/>
      <c r="L206" s="8"/>
      <c r="M206" s="7"/>
    </row>
    <row r="207" spans="1:51" ht="21.9" customHeight="1" x14ac:dyDescent="0.4">
      <c r="A207" s="7"/>
      <c r="B207" s="7"/>
      <c r="C207" s="9"/>
      <c r="D207" s="8"/>
      <c r="E207" s="8"/>
      <c r="F207" s="8"/>
      <c r="G207" s="8"/>
      <c r="H207" s="8"/>
      <c r="I207" s="8"/>
      <c r="J207" s="8"/>
      <c r="K207" s="8"/>
      <c r="L207" s="8"/>
      <c r="M207" s="7"/>
    </row>
    <row r="208" spans="1:51" ht="21.9" customHeight="1" x14ac:dyDescent="0.4">
      <c r="A208" s="7"/>
      <c r="B208" s="7"/>
      <c r="C208" s="9"/>
      <c r="D208" s="8"/>
      <c r="E208" s="8"/>
      <c r="F208" s="8"/>
      <c r="G208" s="8"/>
      <c r="H208" s="8"/>
      <c r="I208" s="8"/>
      <c r="J208" s="8"/>
      <c r="K208" s="8"/>
      <c r="L208" s="8"/>
      <c r="M208" s="7"/>
    </row>
    <row r="209" spans="1:51" ht="21.9" customHeight="1" x14ac:dyDescent="0.4">
      <c r="A209" s="7"/>
      <c r="B209" s="7"/>
      <c r="C209" s="9"/>
      <c r="D209" s="8"/>
      <c r="E209" s="8"/>
      <c r="F209" s="8"/>
      <c r="G209" s="8"/>
      <c r="H209" s="8"/>
      <c r="I209" s="8"/>
      <c r="J209" s="8"/>
      <c r="K209" s="8"/>
      <c r="L209" s="8"/>
      <c r="M209" s="7"/>
    </row>
    <row r="210" spans="1:51" ht="21.9" customHeight="1" x14ac:dyDescent="0.4">
      <c r="A210" s="7"/>
      <c r="B210" s="7"/>
      <c r="C210" s="9"/>
      <c r="D210" s="8"/>
      <c r="E210" s="8"/>
      <c r="F210" s="8"/>
      <c r="G210" s="8"/>
      <c r="H210" s="8"/>
      <c r="I210" s="8"/>
      <c r="J210" s="8"/>
      <c r="K210" s="8"/>
      <c r="L210" s="8"/>
      <c r="M210" s="7"/>
    </row>
    <row r="211" spans="1:51" ht="21.9" customHeight="1" x14ac:dyDescent="0.4">
      <c r="A211" s="7"/>
      <c r="B211" s="7"/>
      <c r="C211" s="9"/>
      <c r="D211" s="8"/>
      <c r="E211" s="8"/>
      <c r="F211" s="8"/>
      <c r="G211" s="8"/>
      <c r="H211" s="8"/>
      <c r="I211" s="8"/>
      <c r="J211" s="8"/>
      <c r="K211" s="8"/>
      <c r="L211" s="8"/>
      <c r="M211" s="7"/>
    </row>
    <row r="212" spans="1:51" ht="21.9" customHeight="1" x14ac:dyDescent="0.4">
      <c r="A212" s="7"/>
      <c r="B212" s="7"/>
      <c r="C212" s="9"/>
      <c r="D212" s="8"/>
      <c r="E212" s="8"/>
      <c r="F212" s="8"/>
      <c r="G212" s="8"/>
      <c r="H212" s="8"/>
      <c r="I212" s="8"/>
      <c r="J212" s="8"/>
      <c r="K212" s="8"/>
      <c r="L212" s="8"/>
      <c r="M212" s="7"/>
    </row>
    <row r="213" spans="1:51" ht="21.9" customHeight="1" x14ac:dyDescent="0.4">
      <c r="A213" s="7"/>
      <c r="B213" s="7"/>
      <c r="C213" s="9"/>
      <c r="D213" s="8"/>
      <c r="E213" s="8"/>
      <c r="F213" s="8"/>
      <c r="G213" s="8"/>
      <c r="H213" s="8"/>
      <c r="I213" s="8"/>
      <c r="J213" s="8"/>
      <c r="K213" s="8"/>
      <c r="L213" s="8"/>
      <c r="M213" s="7"/>
    </row>
    <row r="214" spans="1:51" ht="21.9" customHeight="1" x14ac:dyDescent="0.4">
      <c r="A214" s="7"/>
      <c r="B214" s="7"/>
      <c r="C214" s="9"/>
      <c r="D214" s="8"/>
      <c r="E214" s="8"/>
      <c r="F214" s="8"/>
      <c r="G214" s="8"/>
      <c r="H214" s="8"/>
      <c r="I214" s="8"/>
      <c r="J214" s="8"/>
      <c r="K214" s="8"/>
      <c r="L214" s="8"/>
      <c r="M214" s="7"/>
    </row>
    <row r="215" spans="1:51" ht="21.9" customHeight="1" x14ac:dyDescent="0.4">
      <c r="A215" s="12" t="s">
        <v>372</v>
      </c>
      <c r="B215" s="13"/>
      <c r="C215" s="14"/>
      <c r="D215" s="15"/>
      <c r="E215" s="15"/>
      <c r="F215" s="15">
        <f>ROUNDDOWN(SUMIF(Q198:Q214, "1", F198:F214), 0)</f>
        <v>10624201</v>
      </c>
      <c r="G215" s="15"/>
      <c r="H215" s="15">
        <f>ROUNDDOWN(SUMIF(Q198:Q214, "1", H198:H214), 0)</f>
        <v>3432100</v>
      </c>
      <c r="I215" s="15"/>
      <c r="J215" s="15">
        <f>ROUNDDOWN(SUMIF(Q198:Q214, "1", J198:J214), 0)</f>
        <v>0</v>
      </c>
      <c r="K215" s="15"/>
      <c r="L215" s="15">
        <f>F215+H215+J215</f>
        <v>14056301</v>
      </c>
      <c r="M215" s="13"/>
      <c r="R215">
        <f t="shared" ref="R215:AY215" si="253">ROUNDDOWN(SUM(R198:R204), 0)</f>
        <v>0</v>
      </c>
      <c r="S215">
        <f t="shared" si="253"/>
        <v>0</v>
      </c>
      <c r="T215">
        <f t="shared" si="253"/>
        <v>0</v>
      </c>
      <c r="U215">
        <f t="shared" si="253"/>
        <v>0</v>
      </c>
      <c r="V215">
        <f t="shared" si="253"/>
        <v>0</v>
      </c>
      <c r="W215">
        <f t="shared" si="253"/>
        <v>0</v>
      </c>
      <c r="X215">
        <f t="shared" si="253"/>
        <v>0</v>
      </c>
      <c r="Y215">
        <f t="shared" si="253"/>
        <v>0</v>
      </c>
      <c r="Z215">
        <f t="shared" si="253"/>
        <v>0</v>
      </c>
      <c r="AA215">
        <f t="shared" si="253"/>
        <v>0</v>
      </c>
      <c r="AB215">
        <f t="shared" si="253"/>
        <v>0</v>
      </c>
      <c r="AC215">
        <f t="shared" si="253"/>
        <v>0</v>
      </c>
      <c r="AD215">
        <f t="shared" si="253"/>
        <v>0</v>
      </c>
      <c r="AE215">
        <f t="shared" si="253"/>
        <v>0</v>
      </c>
      <c r="AF215">
        <f t="shared" si="253"/>
        <v>0</v>
      </c>
      <c r="AG215">
        <f t="shared" si="253"/>
        <v>0</v>
      </c>
      <c r="AH215">
        <f t="shared" si="253"/>
        <v>0</v>
      </c>
      <c r="AI215">
        <f t="shared" si="253"/>
        <v>0</v>
      </c>
      <c r="AJ215">
        <f t="shared" si="253"/>
        <v>0</v>
      </c>
      <c r="AK215">
        <f t="shared" si="253"/>
        <v>0</v>
      </c>
      <c r="AL215">
        <f t="shared" si="253"/>
        <v>0</v>
      </c>
      <c r="AM215">
        <f t="shared" si="253"/>
        <v>0</v>
      </c>
      <c r="AN215">
        <f t="shared" si="253"/>
        <v>0</v>
      </c>
      <c r="AO215">
        <f t="shared" si="253"/>
        <v>0</v>
      </c>
      <c r="AP215">
        <f t="shared" si="253"/>
        <v>0</v>
      </c>
      <c r="AQ215">
        <f t="shared" si="253"/>
        <v>0</v>
      </c>
      <c r="AR215">
        <f t="shared" si="253"/>
        <v>0</v>
      </c>
      <c r="AS215">
        <f t="shared" si="253"/>
        <v>0</v>
      </c>
      <c r="AT215">
        <f t="shared" si="253"/>
        <v>0</v>
      </c>
      <c r="AU215">
        <f t="shared" si="253"/>
        <v>0</v>
      </c>
      <c r="AV215">
        <f t="shared" si="253"/>
        <v>0</v>
      </c>
      <c r="AW215">
        <f t="shared" si="253"/>
        <v>0</v>
      </c>
      <c r="AX215">
        <f t="shared" si="253"/>
        <v>0</v>
      </c>
      <c r="AY215">
        <f t="shared" si="253"/>
        <v>0</v>
      </c>
    </row>
  </sheetData>
  <mergeCells count="16">
    <mergeCell ref="A197:M197"/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  <mergeCell ref="K3:L3"/>
    <mergeCell ref="A5:M5"/>
    <mergeCell ref="A81:M81"/>
    <mergeCell ref="A121:M121"/>
    <mergeCell ref="A159:M159"/>
  </mergeCells>
  <phoneticPr fontId="1" type="noConversion"/>
  <conditionalFormatting sqref="A5 A6:M215">
    <cfRule type="containsText" dxfId="15" priority="1" stopIfTrue="1" operator="containsText" text=".">
      <formula>NOT(ISERROR(SEARCH(".",A5)))</formula>
    </cfRule>
    <cfRule type="notContainsText" dxfId="14" priority="2" stopIfTrue="1" operator="notContains" text=".">
      <formula>ISERROR(SEARCH(".",A5))</formula>
    </cfRule>
  </conditionalFormatting>
  <printOptions horizontalCentered="1"/>
  <pageMargins left="0.70866141732283472" right="0.19685039370078741" top="0.59055118110236227" bottom="0.35433070866141736" header="0.31496062992125984" footer="0.15748031496062992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19D86"/>
  </sheetPr>
  <dimension ref="A1:R23"/>
  <sheetViews>
    <sheetView view="pageBreakPreview" zoomScaleNormal="100" zoomScaleSheetLayoutView="100" workbookViewId="0">
      <pane xSplit="4" ySplit="4" topLeftCell="E5" activePane="bottomRight" state="frozen"/>
      <selection activeCell="F32" sqref="F32"/>
      <selection pane="topRight" activeCell="F32" sqref="F32"/>
      <selection pane="bottomLeft" activeCell="F32" sqref="F32"/>
      <selection pane="bottomRight" sqref="A1:N1"/>
    </sheetView>
  </sheetViews>
  <sheetFormatPr defaultRowHeight="17.399999999999999" x14ac:dyDescent="0.4"/>
  <cols>
    <col min="1" max="1" width="7.59765625" style="1" customWidth="1"/>
    <col min="2" max="2" width="16.59765625" style="1" customWidth="1"/>
    <col min="3" max="3" width="17.59765625" style="1" customWidth="1"/>
    <col min="4" max="5" width="3.59765625" style="2" customWidth="1"/>
    <col min="6" max="6" width="6.59765625" style="3" customWidth="1"/>
    <col min="7" max="7" width="8.59765625" style="3" customWidth="1"/>
    <col min="8" max="8" width="6.59765625" style="3" customWidth="1"/>
    <col min="9" max="9" width="8.59765625" style="3" customWidth="1"/>
    <col min="10" max="10" width="6.59765625" style="3" customWidth="1"/>
    <col min="11" max="11" width="8.59765625" style="3" customWidth="1"/>
    <col min="12" max="12" width="6.59765625" style="3" customWidth="1"/>
    <col min="13" max="13" width="10.59765625" style="3" customWidth="1"/>
    <col min="14" max="14" width="12.59765625" style="1" customWidth="1"/>
    <col min="15" max="18" width="9" hidden="1" customWidth="1"/>
  </cols>
  <sheetData>
    <row r="1" spans="1:15" ht="30" customHeight="1" x14ac:dyDescent="0.4">
      <c r="A1" s="37" t="s">
        <v>524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5" ht="21.9" customHeight="1" x14ac:dyDescent="0.4">
      <c r="A2" s="38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5" ht="21.9" customHeight="1" x14ac:dyDescent="0.4">
      <c r="A3" s="46" t="s">
        <v>383</v>
      </c>
      <c r="B3" s="46" t="s">
        <v>475</v>
      </c>
      <c r="C3" s="46" t="s">
        <v>476</v>
      </c>
      <c r="D3" s="46" t="s">
        <v>4</v>
      </c>
      <c r="E3" s="46" t="s">
        <v>384</v>
      </c>
      <c r="F3" s="46" t="s">
        <v>385</v>
      </c>
      <c r="G3" s="46"/>
      <c r="H3" s="46" t="s">
        <v>386</v>
      </c>
      <c r="I3" s="46"/>
      <c r="J3" s="46" t="s">
        <v>387</v>
      </c>
      <c r="K3" s="46"/>
      <c r="L3" s="46" t="s">
        <v>388</v>
      </c>
      <c r="M3" s="46"/>
      <c r="N3" s="46" t="s">
        <v>347</v>
      </c>
    </row>
    <row r="4" spans="1:15" ht="21.9" customHeight="1" x14ac:dyDescent="0.4">
      <c r="A4" s="46"/>
      <c r="B4" s="46"/>
      <c r="C4" s="46"/>
      <c r="D4" s="46"/>
      <c r="E4" s="46"/>
      <c r="F4" s="4" t="s">
        <v>348</v>
      </c>
      <c r="G4" s="4" t="s">
        <v>525</v>
      </c>
      <c r="H4" s="4" t="s">
        <v>348</v>
      </c>
      <c r="I4" s="4" t="s">
        <v>525</v>
      </c>
      <c r="J4" s="4" t="s">
        <v>348</v>
      </c>
      <c r="K4" s="4" t="s">
        <v>525</v>
      </c>
      <c r="L4" s="4" t="s">
        <v>348</v>
      </c>
      <c r="M4" s="4" t="s">
        <v>525</v>
      </c>
      <c r="N4" s="46"/>
      <c r="O4" t="s">
        <v>15</v>
      </c>
    </row>
    <row r="5" spans="1:15" ht="21.9" customHeight="1" x14ac:dyDescent="0.4">
      <c r="A5" s="5" t="s">
        <v>526</v>
      </c>
      <c r="B5" s="5" t="s">
        <v>527</v>
      </c>
      <c r="C5" s="5" t="s">
        <v>528</v>
      </c>
      <c r="D5" s="6" t="s">
        <v>462</v>
      </c>
      <c r="E5" s="9">
        <v>1</v>
      </c>
      <c r="F5" s="8">
        <f>일위대가표!F13</f>
        <v>2317</v>
      </c>
      <c r="G5" s="8">
        <f t="shared" ref="G5:G20" si="0">E5*F5</f>
        <v>2317</v>
      </c>
      <c r="H5" s="8">
        <f>일위대가표!H13</f>
        <v>10680</v>
      </c>
      <c r="I5" s="8">
        <f t="shared" ref="I5:I20" si="1">E5*H5</f>
        <v>10680</v>
      </c>
      <c r="J5" s="8">
        <f>일위대가표!J13</f>
        <v>2766</v>
      </c>
      <c r="K5" s="8">
        <f t="shared" ref="K5:K20" si="2">E5*J5</f>
        <v>2766</v>
      </c>
      <c r="L5" s="8">
        <f t="shared" ref="L5:L20" si="3">F5+H5+J5</f>
        <v>15763</v>
      </c>
      <c r="M5" s="8">
        <f t="shared" ref="M5:M20" si="4">G5+I5+K5</f>
        <v>15763</v>
      </c>
      <c r="N5" s="5" t="s">
        <v>482</v>
      </c>
      <c r="O5" s="10" t="s">
        <v>529</v>
      </c>
    </row>
    <row r="6" spans="1:15" ht="21.9" customHeight="1" x14ac:dyDescent="0.4">
      <c r="A6" s="5" t="s">
        <v>530</v>
      </c>
      <c r="B6" s="5" t="s">
        <v>531</v>
      </c>
      <c r="C6" s="5" t="s">
        <v>532</v>
      </c>
      <c r="D6" s="6" t="s">
        <v>533</v>
      </c>
      <c r="E6" s="9">
        <v>1</v>
      </c>
      <c r="F6" s="8">
        <f>일위대가표!F19</f>
        <v>19578</v>
      </c>
      <c r="G6" s="8">
        <f t="shared" si="0"/>
        <v>19578</v>
      </c>
      <c r="H6" s="8">
        <f>일위대가표!H19</f>
        <v>217540</v>
      </c>
      <c r="I6" s="8">
        <f t="shared" si="1"/>
        <v>217540</v>
      </c>
      <c r="J6" s="8">
        <f>일위대가표!J19</f>
        <v>0</v>
      </c>
      <c r="K6" s="8">
        <f t="shared" si="2"/>
        <v>0</v>
      </c>
      <c r="L6" s="8">
        <f t="shared" si="3"/>
        <v>237118</v>
      </c>
      <c r="M6" s="8">
        <f t="shared" si="4"/>
        <v>237118</v>
      </c>
      <c r="N6" s="5" t="s">
        <v>489</v>
      </c>
      <c r="O6" s="10" t="s">
        <v>534</v>
      </c>
    </row>
    <row r="7" spans="1:15" ht="21.9" customHeight="1" x14ac:dyDescent="0.4">
      <c r="A7" s="5" t="s">
        <v>535</v>
      </c>
      <c r="B7" s="5" t="s">
        <v>536</v>
      </c>
      <c r="C7" s="5" t="s">
        <v>537</v>
      </c>
      <c r="D7" s="6" t="s">
        <v>538</v>
      </c>
      <c r="E7" s="9">
        <v>1</v>
      </c>
      <c r="F7" s="8">
        <f>일위대가표!F26</f>
        <v>21474</v>
      </c>
      <c r="G7" s="8">
        <f t="shared" si="0"/>
        <v>21474</v>
      </c>
      <c r="H7" s="8">
        <f>일위대가표!H26</f>
        <v>573529</v>
      </c>
      <c r="I7" s="8">
        <f t="shared" si="1"/>
        <v>573529</v>
      </c>
      <c r="J7" s="8">
        <f>일위대가표!J26</f>
        <v>0</v>
      </c>
      <c r="K7" s="8">
        <f t="shared" si="2"/>
        <v>0</v>
      </c>
      <c r="L7" s="8">
        <f t="shared" si="3"/>
        <v>595003</v>
      </c>
      <c r="M7" s="8">
        <f t="shared" si="4"/>
        <v>595003</v>
      </c>
      <c r="N7" s="5" t="s">
        <v>492</v>
      </c>
      <c r="O7" s="10" t="s">
        <v>539</v>
      </c>
    </row>
    <row r="8" spans="1:15" ht="21.9" customHeight="1" x14ac:dyDescent="0.4">
      <c r="A8" s="5" t="s">
        <v>540</v>
      </c>
      <c r="B8" s="5" t="s">
        <v>541</v>
      </c>
      <c r="C8" s="5" t="s">
        <v>542</v>
      </c>
      <c r="D8" s="6" t="s">
        <v>543</v>
      </c>
      <c r="E8" s="9">
        <v>1</v>
      </c>
      <c r="F8" s="8">
        <f>일위대가표!F31</f>
        <v>3190</v>
      </c>
      <c r="G8" s="8">
        <f t="shared" si="0"/>
        <v>3190</v>
      </c>
      <c r="H8" s="8">
        <f>일위대가표!H31</f>
        <v>4059</v>
      </c>
      <c r="I8" s="8">
        <f t="shared" si="1"/>
        <v>4059</v>
      </c>
      <c r="J8" s="8">
        <f>일위대가표!J31</f>
        <v>0</v>
      </c>
      <c r="K8" s="8">
        <f t="shared" si="2"/>
        <v>0</v>
      </c>
      <c r="L8" s="8">
        <f t="shared" si="3"/>
        <v>7249</v>
      </c>
      <c r="M8" s="8">
        <f t="shared" si="4"/>
        <v>7249</v>
      </c>
      <c r="N8" s="7"/>
    </row>
    <row r="9" spans="1:15" ht="21.9" customHeight="1" x14ac:dyDescent="0.4">
      <c r="A9" s="5" t="s">
        <v>544</v>
      </c>
      <c r="B9" s="5" t="s">
        <v>541</v>
      </c>
      <c r="C9" s="5" t="s">
        <v>545</v>
      </c>
      <c r="D9" s="6" t="s">
        <v>543</v>
      </c>
      <c r="E9" s="9">
        <v>1</v>
      </c>
      <c r="F9" s="8">
        <f>일위대가표!F36</f>
        <v>4144</v>
      </c>
      <c r="G9" s="8">
        <f t="shared" si="0"/>
        <v>4144</v>
      </c>
      <c r="H9" s="8">
        <f>일위대가표!H36</f>
        <v>7443</v>
      </c>
      <c r="I9" s="8">
        <f t="shared" si="1"/>
        <v>7443</v>
      </c>
      <c r="J9" s="8">
        <f>일위대가표!J36</f>
        <v>0</v>
      </c>
      <c r="K9" s="8">
        <f t="shared" si="2"/>
        <v>0</v>
      </c>
      <c r="L9" s="8">
        <f t="shared" si="3"/>
        <v>11587</v>
      </c>
      <c r="M9" s="8">
        <f t="shared" si="4"/>
        <v>11587</v>
      </c>
      <c r="N9" s="7"/>
    </row>
    <row r="10" spans="1:15" ht="21.9" customHeight="1" x14ac:dyDescent="0.4">
      <c r="A10" s="5" t="s">
        <v>546</v>
      </c>
      <c r="B10" s="5" t="s">
        <v>547</v>
      </c>
      <c r="C10" s="5" t="s">
        <v>548</v>
      </c>
      <c r="D10" s="6" t="s">
        <v>472</v>
      </c>
      <c r="E10" s="9">
        <v>1</v>
      </c>
      <c r="F10" s="8">
        <f>일위대가표!F41</f>
        <v>0</v>
      </c>
      <c r="G10" s="8">
        <f t="shared" si="0"/>
        <v>0</v>
      </c>
      <c r="H10" s="8">
        <f>일위대가표!H41</f>
        <v>1456</v>
      </c>
      <c r="I10" s="8">
        <f t="shared" si="1"/>
        <v>1456</v>
      </c>
      <c r="J10" s="8">
        <f>일위대가표!J41</f>
        <v>0</v>
      </c>
      <c r="K10" s="8">
        <f t="shared" si="2"/>
        <v>0</v>
      </c>
      <c r="L10" s="8">
        <f t="shared" si="3"/>
        <v>1456</v>
      </c>
      <c r="M10" s="8">
        <f t="shared" si="4"/>
        <v>1456</v>
      </c>
      <c r="N10" s="5" t="s">
        <v>500</v>
      </c>
      <c r="O10" s="10" t="s">
        <v>549</v>
      </c>
    </row>
    <row r="11" spans="1:15" ht="21.9" customHeight="1" x14ac:dyDescent="0.4">
      <c r="A11" s="5" t="s">
        <v>550</v>
      </c>
      <c r="B11" s="5" t="s">
        <v>551</v>
      </c>
      <c r="C11" s="5" t="s">
        <v>552</v>
      </c>
      <c r="D11" s="6" t="s">
        <v>553</v>
      </c>
      <c r="E11" s="9">
        <v>1</v>
      </c>
      <c r="F11" s="8">
        <f>일위대가표!F50</f>
        <v>96990</v>
      </c>
      <c r="G11" s="8">
        <f t="shared" si="0"/>
        <v>96990</v>
      </c>
      <c r="H11" s="8">
        <f>일위대가표!H50</f>
        <v>1616500</v>
      </c>
      <c r="I11" s="8">
        <f t="shared" si="1"/>
        <v>1616500</v>
      </c>
      <c r="J11" s="8">
        <f>일위대가표!J50</f>
        <v>0</v>
      </c>
      <c r="K11" s="8">
        <f t="shared" si="2"/>
        <v>0</v>
      </c>
      <c r="L11" s="8">
        <f t="shared" si="3"/>
        <v>1713490</v>
      </c>
      <c r="M11" s="8">
        <f t="shared" si="4"/>
        <v>1713490</v>
      </c>
      <c r="N11" s="5" t="s">
        <v>502</v>
      </c>
      <c r="O11" s="10" t="s">
        <v>554</v>
      </c>
    </row>
    <row r="12" spans="1:15" ht="21.9" customHeight="1" x14ac:dyDescent="0.4">
      <c r="A12" s="5" t="s">
        <v>555</v>
      </c>
      <c r="B12" s="5" t="s">
        <v>547</v>
      </c>
      <c r="C12" s="5" t="s">
        <v>556</v>
      </c>
      <c r="D12" s="6" t="s">
        <v>472</v>
      </c>
      <c r="E12" s="9">
        <v>1</v>
      </c>
      <c r="F12" s="8">
        <f>일위대가표!F55</f>
        <v>0</v>
      </c>
      <c r="G12" s="8">
        <f t="shared" si="0"/>
        <v>0</v>
      </c>
      <c r="H12" s="8">
        <f>일위대가표!H55</f>
        <v>1970</v>
      </c>
      <c r="I12" s="8">
        <f t="shared" si="1"/>
        <v>1970</v>
      </c>
      <c r="J12" s="8">
        <f>일위대가표!J55</f>
        <v>0</v>
      </c>
      <c r="K12" s="8">
        <f t="shared" si="2"/>
        <v>0</v>
      </c>
      <c r="L12" s="8">
        <f t="shared" si="3"/>
        <v>1970</v>
      </c>
      <c r="M12" s="8">
        <f t="shared" si="4"/>
        <v>1970</v>
      </c>
      <c r="N12" s="5" t="s">
        <v>500</v>
      </c>
      <c r="O12" s="10" t="s">
        <v>557</v>
      </c>
    </row>
    <row r="13" spans="1:15" ht="21.9" customHeight="1" x14ac:dyDescent="0.4">
      <c r="A13" s="5" t="s">
        <v>558</v>
      </c>
      <c r="B13" s="5" t="s">
        <v>559</v>
      </c>
      <c r="C13" s="5" t="s">
        <v>560</v>
      </c>
      <c r="D13" s="6" t="s">
        <v>561</v>
      </c>
      <c r="E13" s="9">
        <v>1</v>
      </c>
      <c r="F13" s="8">
        <f>일위대가표!F60</f>
        <v>143004</v>
      </c>
      <c r="G13" s="8">
        <f t="shared" si="0"/>
        <v>143004</v>
      </c>
      <c r="H13" s="8">
        <f>일위대가표!H60</f>
        <v>483171</v>
      </c>
      <c r="I13" s="8">
        <f t="shared" si="1"/>
        <v>483171</v>
      </c>
      <c r="J13" s="8">
        <f>일위대가표!J60</f>
        <v>162720</v>
      </c>
      <c r="K13" s="8">
        <f t="shared" si="2"/>
        <v>162720</v>
      </c>
      <c r="L13" s="8">
        <f t="shared" si="3"/>
        <v>788895</v>
      </c>
      <c r="M13" s="8">
        <f t="shared" si="4"/>
        <v>788895</v>
      </c>
      <c r="N13" s="7"/>
    </row>
    <row r="14" spans="1:15" ht="21.9" customHeight="1" x14ac:dyDescent="0.4">
      <c r="A14" s="5" t="s">
        <v>562</v>
      </c>
      <c r="B14" s="5" t="s">
        <v>563</v>
      </c>
      <c r="C14" s="5" t="s">
        <v>564</v>
      </c>
      <c r="D14" s="6" t="s">
        <v>78</v>
      </c>
      <c r="E14" s="9">
        <v>1</v>
      </c>
      <c r="F14" s="8">
        <f>일위대가표!F66</f>
        <v>1173</v>
      </c>
      <c r="G14" s="8">
        <f t="shared" si="0"/>
        <v>1173</v>
      </c>
      <c r="H14" s="8">
        <f>일위대가표!H66</f>
        <v>5778</v>
      </c>
      <c r="I14" s="8">
        <f t="shared" si="1"/>
        <v>5778</v>
      </c>
      <c r="J14" s="8">
        <f>일위대가표!J66</f>
        <v>0</v>
      </c>
      <c r="K14" s="8">
        <f t="shared" si="2"/>
        <v>0</v>
      </c>
      <c r="L14" s="8">
        <f t="shared" si="3"/>
        <v>6951</v>
      </c>
      <c r="M14" s="8">
        <f t="shared" si="4"/>
        <v>6951</v>
      </c>
      <c r="N14" s="5" t="s">
        <v>508</v>
      </c>
      <c r="O14" s="10" t="s">
        <v>565</v>
      </c>
    </row>
    <row r="15" spans="1:15" ht="21.9" customHeight="1" x14ac:dyDescent="0.4">
      <c r="A15" s="5" t="s">
        <v>566</v>
      </c>
      <c r="B15" s="5" t="s">
        <v>563</v>
      </c>
      <c r="C15" s="5" t="s">
        <v>567</v>
      </c>
      <c r="D15" s="6" t="s">
        <v>78</v>
      </c>
      <c r="E15" s="9">
        <v>1</v>
      </c>
      <c r="F15" s="8">
        <f>일위대가표!F72</f>
        <v>668</v>
      </c>
      <c r="G15" s="8">
        <f t="shared" si="0"/>
        <v>668</v>
      </c>
      <c r="H15" s="8">
        <f>일위대가표!H72</f>
        <v>5778</v>
      </c>
      <c r="I15" s="8">
        <f t="shared" si="1"/>
        <v>5778</v>
      </c>
      <c r="J15" s="8">
        <f>일위대가표!J72</f>
        <v>0</v>
      </c>
      <c r="K15" s="8">
        <f t="shared" si="2"/>
        <v>0</v>
      </c>
      <c r="L15" s="8">
        <f t="shared" si="3"/>
        <v>6446</v>
      </c>
      <c r="M15" s="8">
        <f t="shared" si="4"/>
        <v>6446</v>
      </c>
      <c r="N15" s="5" t="s">
        <v>508</v>
      </c>
      <c r="O15" s="10" t="s">
        <v>565</v>
      </c>
    </row>
    <row r="16" spans="1:15" ht="21.9" customHeight="1" x14ac:dyDescent="0.4">
      <c r="A16" s="5" t="s">
        <v>568</v>
      </c>
      <c r="B16" s="5" t="s">
        <v>563</v>
      </c>
      <c r="C16" s="5" t="s">
        <v>569</v>
      </c>
      <c r="D16" s="6" t="s">
        <v>78</v>
      </c>
      <c r="E16" s="9">
        <v>1</v>
      </c>
      <c r="F16" s="8">
        <f>일위대가표!F78</f>
        <v>857</v>
      </c>
      <c r="G16" s="8">
        <f t="shared" si="0"/>
        <v>857</v>
      </c>
      <c r="H16" s="8">
        <f>일위대가표!H78</f>
        <v>4258</v>
      </c>
      <c r="I16" s="8">
        <f t="shared" si="1"/>
        <v>4258</v>
      </c>
      <c r="J16" s="8">
        <f>일위대가표!J78</f>
        <v>0</v>
      </c>
      <c r="K16" s="8">
        <f t="shared" si="2"/>
        <v>0</v>
      </c>
      <c r="L16" s="8">
        <f t="shared" si="3"/>
        <v>5115</v>
      </c>
      <c r="M16" s="8">
        <f t="shared" si="4"/>
        <v>5115</v>
      </c>
      <c r="N16" s="5" t="s">
        <v>508</v>
      </c>
      <c r="O16" s="10" t="s">
        <v>570</v>
      </c>
    </row>
    <row r="17" spans="1:15" ht="21.9" customHeight="1" x14ac:dyDescent="0.4">
      <c r="A17" s="5" t="s">
        <v>571</v>
      </c>
      <c r="B17" s="5" t="s">
        <v>563</v>
      </c>
      <c r="C17" s="5" t="s">
        <v>572</v>
      </c>
      <c r="D17" s="6" t="s">
        <v>38</v>
      </c>
      <c r="E17" s="9">
        <v>1</v>
      </c>
      <c r="F17" s="8">
        <f>일위대가표!F87</f>
        <v>4408</v>
      </c>
      <c r="G17" s="8">
        <f t="shared" si="0"/>
        <v>4408</v>
      </c>
      <c r="H17" s="8">
        <f>일위대가표!H87</f>
        <v>14831</v>
      </c>
      <c r="I17" s="8">
        <f t="shared" si="1"/>
        <v>14831</v>
      </c>
      <c r="J17" s="8">
        <f>일위대가표!J87</f>
        <v>0</v>
      </c>
      <c r="K17" s="8">
        <f t="shared" si="2"/>
        <v>0</v>
      </c>
      <c r="L17" s="8">
        <f t="shared" si="3"/>
        <v>19239</v>
      </c>
      <c r="M17" s="8">
        <f t="shared" si="4"/>
        <v>19239</v>
      </c>
      <c r="N17" s="5" t="s">
        <v>513</v>
      </c>
      <c r="O17" s="10" t="s">
        <v>573</v>
      </c>
    </row>
    <row r="18" spans="1:15" ht="21.9" customHeight="1" x14ac:dyDescent="0.4">
      <c r="A18" s="5" t="s">
        <v>520</v>
      </c>
      <c r="B18" s="5" t="s">
        <v>518</v>
      </c>
      <c r="C18" s="5" t="s">
        <v>519</v>
      </c>
      <c r="D18" s="6" t="s">
        <v>472</v>
      </c>
      <c r="E18" s="9">
        <v>1</v>
      </c>
      <c r="F18" s="8">
        <f>일위대가표!F93</f>
        <v>344</v>
      </c>
      <c r="G18" s="8">
        <f t="shared" si="0"/>
        <v>344</v>
      </c>
      <c r="H18" s="8">
        <f>일위대가표!H93</f>
        <v>34461</v>
      </c>
      <c r="I18" s="8">
        <f t="shared" si="1"/>
        <v>34461</v>
      </c>
      <c r="J18" s="8">
        <f>일위대가표!J93</f>
        <v>0</v>
      </c>
      <c r="K18" s="8">
        <f t="shared" si="2"/>
        <v>0</v>
      </c>
      <c r="L18" s="8">
        <f t="shared" si="3"/>
        <v>34805</v>
      </c>
      <c r="M18" s="8">
        <f t="shared" si="4"/>
        <v>34805</v>
      </c>
      <c r="N18" s="5" t="s">
        <v>515</v>
      </c>
      <c r="O18" s="10" t="s">
        <v>521</v>
      </c>
    </row>
    <row r="19" spans="1:15" ht="21.9" customHeight="1" x14ac:dyDescent="0.4">
      <c r="A19" s="5" t="s">
        <v>496</v>
      </c>
      <c r="B19" s="5" t="s">
        <v>494</v>
      </c>
      <c r="C19" s="5" t="s">
        <v>495</v>
      </c>
      <c r="D19" s="6" t="s">
        <v>472</v>
      </c>
      <c r="E19" s="9">
        <v>1</v>
      </c>
      <c r="F19" s="8">
        <f>일위대가표!F97</f>
        <v>344</v>
      </c>
      <c r="G19" s="8">
        <f t="shared" si="0"/>
        <v>344</v>
      </c>
      <c r="H19" s="8">
        <f>일위대가표!H97</f>
        <v>34461</v>
      </c>
      <c r="I19" s="8">
        <f t="shared" si="1"/>
        <v>34461</v>
      </c>
      <c r="J19" s="8">
        <f>일위대가표!J97</f>
        <v>0</v>
      </c>
      <c r="K19" s="8">
        <f t="shared" si="2"/>
        <v>0</v>
      </c>
      <c r="L19" s="8">
        <f t="shared" si="3"/>
        <v>34805</v>
      </c>
      <c r="M19" s="8">
        <f t="shared" si="4"/>
        <v>34805</v>
      </c>
      <c r="N19" s="5" t="s">
        <v>517</v>
      </c>
      <c r="O19" s="10" t="s">
        <v>497</v>
      </c>
    </row>
    <row r="20" spans="1:15" ht="21.9" customHeight="1" x14ac:dyDescent="0.4">
      <c r="A20" s="5" t="s">
        <v>455</v>
      </c>
      <c r="B20" s="5" t="s">
        <v>574</v>
      </c>
      <c r="C20" s="5" t="s">
        <v>575</v>
      </c>
      <c r="D20" s="6" t="s">
        <v>472</v>
      </c>
      <c r="E20" s="9">
        <v>1</v>
      </c>
      <c r="F20" s="8">
        <f>일위대가표!F105</f>
        <v>53</v>
      </c>
      <c r="G20" s="8">
        <f t="shared" si="0"/>
        <v>53</v>
      </c>
      <c r="H20" s="8">
        <f>일위대가표!H105</f>
        <v>366</v>
      </c>
      <c r="I20" s="8">
        <f t="shared" si="1"/>
        <v>366</v>
      </c>
      <c r="J20" s="8">
        <f>일위대가표!J105</f>
        <v>38</v>
      </c>
      <c r="K20" s="8">
        <f t="shared" si="2"/>
        <v>38</v>
      </c>
      <c r="L20" s="8">
        <f t="shared" si="3"/>
        <v>457</v>
      </c>
      <c r="M20" s="8">
        <f t="shared" si="4"/>
        <v>457</v>
      </c>
      <c r="N20" s="5" t="s">
        <v>523</v>
      </c>
      <c r="O20" s="10" t="s">
        <v>576</v>
      </c>
    </row>
    <row r="21" spans="1:15" ht="21.9" customHeight="1" x14ac:dyDescent="0.4">
      <c r="A21" s="7"/>
      <c r="B21" s="7"/>
      <c r="C21" s="7"/>
      <c r="D21" s="9"/>
      <c r="E21" s="9"/>
      <c r="F21" s="8"/>
      <c r="G21" s="8"/>
      <c r="H21" s="8"/>
      <c r="I21" s="8"/>
      <c r="J21" s="8"/>
      <c r="K21" s="8"/>
      <c r="L21" s="8"/>
      <c r="M21" s="8"/>
      <c r="N21" s="7"/>
    </row>
    <row r="22" spans="1:15" ht="21.9" customHeight="1" x14ac:dyDescent="0.4">
      <c r="A22" s="7"/>
      <c r="B22" s="7"/>
      <c r="C22" s="7"/>
      <c r="D22" s="9"/>
      <c r="E22" s="9"/>
      <c r="F22" s="8"/>
      <c r="G22" s="8"/>
      <c r="H22" s="8"/>
      <c r="I22" s="8"/>
      <c r="J22" s="8"/>
      <c r="K22" s="8"/>
      <c r="L22" s="8"/>
      <c r="M22" s="8"/>
      <c r="N22" s="7"/>
    </row>
    <row r="23" spans="1:15" ht="21.9" customHeight="1" x14ac:dyDescent="0.4">
      <c r="A23" s="7"/>
      <c r="B23" s="7"/>
      <c r="C23" s="7"/>
      <c r="D23" s="9"/>
      <c r="E23" s="9"/>
      <c r="F23" s="8"/>
      <c r="G23" s="8"/>
      <c r="H23" s="8"/>
      <c r="I23" s="8"/>
      <c r="J23" s="8"/>
      <c r="K23" s="8"/>
      <c r="L23" s="8"/>
      <c r="M23" s="8"/>
      <c r="N23" s="7"/>
    </row>
  </sheetData>
  <mergeCells count="12">
    <mergeCell ref="J3:K3"/>
    <mergeCell ref="L3:M3"/>
    <mergeCell ref="A1:N1"/>
    <mergeCell ref="A2:N2"/>
    <mergeCell ref="A3:A4"/>
    <mergeCell ref="B3:B4"/>
    <mergeCell ref="C3:C4"/>
    <mergeCell ref="D3:D4"/>
    <mergeCell ref="E3:E4"/>
    <mergeCell ref="N3:N4"/>
    <mergeCell ref="F3:G3"/>
    <mergeCell ref="H3:I3"/>
  </mergeCells>
  <phoneticPr fontId="1" type="noConversion"/>
  <conditionalFormatting sqref="A5:N23">
    <cfRule type="containsText" dxfId="13" priority="1" stopIfTrue="1" operator="containsText" text=".">
      <formula>NOT(ISERROR(SEARCH(".",A5)))</formula>
    </cfRule>
    <cfRule type="notContainsText" dxfId="12" priority="2" stopIfTrue="1" operator="notContains" text=".">
      <formula>ISERROR(SEARCH(".",A5))</formula>
    </cfRule>
  </conditionalFormatting>
  <printOptions horizontalCentered="1"/>
  <pageMargins left="0.70866141732283472" right="0.19685039370078741" top="0.59055118110236227" bottom="0.35433070866141736" header="0.31496062992125984" footer="0.15748031496062992"/>
  <pageSetup paperSize="9" orientation="landscape" r:id="rId1"/>
  <rowBreaks count="1" manualBreakCount="1">
    <brk id="2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B7"/>
  </sheetPr>
  <dimension ref="A1:T106"/>
  <sheetViews>
    <sheetView view="pageBreakPreview" zoomScaleNormal="100" zoomScaleSheetLayoutView="100" workbookViewId="0">
      <pane xSplit="4" ySplit="4" topLeftCell="E96" activePane="bottomRight" state="frozen"/>
      <selection activeCell="F32" sqref="F32"/>
      <selection pane="topRight" activeCell="F32" sqref="F32"/>
      <selection pane="bottomLeft" activeCell="F32" sqref="F32"/>
      <selection pane="bottomRight" activeCell="E108" sqref="E108"/>
    </sheetView>
  </sheetViews>
  <sheetFormatPr defaultRowHeight="17.399999999999999" x14ac:dyDescent="0.4"/>
  <cols>
    <col min="1" max="1" width="18.59765625" style="1" customWidth="1"/>
    <col min="2" max="2" width="19.59765625" style="1" customWidth="1"/>
    <col min="3" max="3" width="3.59765625" style="2" customWidth="1"/>
    <col min="4" max="5" width="6.59765625" style="3" customWidth="1"/>
    <col min="6" max="6" width="8.59765625" style="3" customWidth="1"/>
    <col min="7" max="7" width="6.59765625" style="3" customWidth="1"/>
    <col min="8" max="8" width="8.59765625" style="3" customWidth="1"/>
    <col min="9" max="9" width="6.59765625" style="3" customWidth="1"/>
    <col min="10" max="10" width="8.59765625" style="3" customWidth="1"/>
    <col min="11" max="11" width="6.59765625" style="3" customWidth="1"/>
    <col min="12" max="12" width="10.59765625" style="3" customWidth="1"/>
    <col min="13" max="13" width="11.59765625" style="1" customWidth="1"/>
    <col min="14" max="20" width="9" hidden="1" customWidth="1"/>
  </cols>
  <sheetData>
    <row r="1" spans="1:20" ht="30" customHeight="1" x14ac:dyDescent="0.4">
      <c r="A1" s="37" t="s">
        <v>474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20" ht="21.9" customHeight="1" x14ac:dyDescent="0.4">
      <c r="A2" s="38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20" ht="21.9" customHeight="1" x14ac:dyDescent="0.4">
      <c r="A3" s="46" t="s">
        <v>475</v>
      </c>
      <c r="B3" s="46" t="s">
        <v>476</v>
      </c>
      <c r="C3" s="46" t="s">
        <v>4</v>
      </c>
      <c r="D3" s="46" t="s">
        <v>342</v>
      </c>
      <c r="E3" s="46" t="s">
        <v>477</v>
      </c>
      <c r="F3" s="46"/>
      <c r="G3" s="46" t="s">
        <v>478</v>
      </c>
      <c r="H3" s="46"/>
      <c r="I3" s="46" t="s">
        <v>479</v>
      </c>
      <c r="J3" s="46"/>
      <c r="K3" s="46" t="s">
        <v>480</v>
      </c>
      <c r="L3" s="46"/>
      <c r="M3" s="46" t="s">
        <v>347</v>
      </c>
    </row>
    <row r="4" spans="1:20" ht="21.9" customHeight="1" x14ac:dyDescent="0.4">
      <c r="A4" s="46"/>
      <c r="B4" s="46"/>
      <c r="C4" s="46"/>
      <c r="D4" s="46"/>
      <c r="E4" s="4" t="s">
        <v>348</v>
      </c>
      <c r="F4" s="4" t="s">
        <v>349</v>
      </c>
      <c r="G4" s="4" t="s">
        <v>348</v>
      </c>
      <c r="H4" s="4" t="s">
        <v>349</v>
      </c>
      <c r="I4" s="4" t="s">
        <v>348</v>
      </c>
      <c r="J4" s="4" t="s">
        <v>349</v>
      </c>
      <c r="K4" s="4" t="s">
        <v>348</v>
      </c>
      <c r="L4" s="4" t="s">
        <v>349</v>
      </c>
      <c r="M4" s="46"/>
      <c r="N4" t="s">
        <v>350</v>
      </c>
      <c r="O4" t="s">
        <v>351</v>
      </c>
      <c r="P4" t="s">
        <v>352</v>
      </c>
      <c r="Q4" t="s">
        <v>353</v>
      </c>
      <c r="R4" t="s">
        <v>354</v>
      </c>
      <c r="S4" t="s">
        <v>355</v>
      </c>
      <c r="T4" t="s">
        <v>15</v>
      </c>
    </row>
    <row r="5" spans="1:20" ht="21.9" customHeight="1" x14ac:dyDescent="0.4">
      <c r="A5" s="63" t="s">
        <v>481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5"/>
      <c r="M5" s="11" t="s">
        <v>482</v>
      </c>
    </row>
    <row r="6" spans="1:20" ht="21.9" customHeight="1" x14ac:dyDescent="0.4">
      <c r="A6" s="5" t="s">
        <v>319</v>
      </c>
      <c r="B6" s="5" t="s">
        <v>307</v>
      </c>
      <c r="C6" s="6" t="s">
        <v>308</v>
      </c>
      <c r="D6" s="8">
        <v>1.9E-2</v>
      </c>
      <c r="E6" s="8">
        <v>0</v>
      </c>
      <c r="F6" s="8">
        <f>ROUNDDOWN(D6*E6, 1)</f>
        <v>0</v>
      </c>
      <c r="G6" s="8">
        <f>ROUNDDOWN(단가대비표!N152, 0)</f>
        <v>273540</v>
      </c>
      <c r="H6" s="8">
        <f>ROUNDDOWN(D6*G6, 1)</f>
        <v>5197.2</v>
      </c>
      <c r="I6" s="8">
        <v>0</v>
      </c>
      <c r="J6" s="8">
        <f>ROUNDDOWN(D6*I6, 1)</f>
        <v>0</v>
      </c>
      <c r="K6" s="8">
        <f t="shared" ref="K6:L12" si="0">E6+G6+I6</f>
        <v>273540</v>
      </c>
      <c r="L6" s="8">
        <f t="shared" si="0"/>
        <v>5197.2</v>
      </c>
      <c r="M6" s="7"/>
      <c r="O6" s="10" t="s">
        <v>371</v>
      </c>
      <c r="P6" s="10" t="s">
        <v>361</v>
      </c>
      <c r="Q6">
        <v>1</v>
      </c>
    </row>
    <row r="7" spans="1:20" ht="21.9" customHeight="1" x14ac:dyDescent="0.4">
      <c r="A7" s="5" t="s">
        <v>321</v>
      </c>
      <c r="B7" s="5" t="s">
        <v>307</v>
      </c>
      <c r="C7" s="6" t="s">
        <v>308</v>
      </c>
      <c r="D7" s="8">
        <v>4.7999999999999996E-3</v>
      </c>
      <c r="E7" s="8">
        <v>0</v>
      </c>
      <c r="F7" s="8">
        <f>ROUNDDOWN(D7*E7, 1)</f>
        <v>0</v>
      </c>
      <c r="G7" s="8">
        <f>ROUNDDOWN(단가대비표!N154, 0)</f>
        <v>226122</v>
      </c>
      <c r="H7" s="8">
        <f>ROUNDDOWN(D7*G7, 1)</f>
        <v>1085.3</v>
      </c>
      <c r="I7" s="8">
        <v>0</v>
      </c>
      <c r="J7" s="8">
        <f>ROUNDDOWN(D7*I7, 1)</f>
        <v>0</v>
      </c>
      <c r="K7" s="8">
        <f t="shared" si="0"/>
        <v>226122</v>
      </c>
      <c r="L7" s="8">
        <f t="shared" si="0"/>
        <v>1085.3</v>
      </c>
      <c r="M7" s="7"/>
      <c r="O7" s="10" t="s">
        <v>371</v>
      </c>
      <c r="P7" s="10" t="s">
        <v>361</v>
      </c>
      <c r="Q7">
        <v>1</v>
      </c>
    </row>
    <row r="8" spans="1:20" ht="21.9" customHeight="1" x14ac:dyDescent="0.4">
      <c r="A8" s="5" t="s">
        <v>322</v>
      </c>
      <c r="B8" s="5" t="s">
        <v>307</v>
      </c>
      <c r="C8" s="6" t="s">
        <v>308</v>
      </c>
      <c r="D8" s="8">
        <v>4.7999999999999996E-3</v>
      </c>
      <c r="E8" s="8">
        <v>0</v>
      </c>
      <c r="F8" s="8">
        <f>ROUNDDOWN(D8*E8, 1)</f>
        <v>0</v>
      </c>
      <c r="G8" s="8">
        <f>ROUNDDOWN(단가대비표!N155, 0)</f>
        <v>275790</v>
      </c>
      <c r="H8" s="8">
        <f>ROUNDDOWN(D8*G8, 1)</f>
        <v>1323.7</v>
      </c>
      <c r="I8" s="8">
        <v>0</v>
      </c>
      <c r="J8" s="8">
        <f>ROUNDDOWN(D8*I8, 1)</f>
        <v>0</v>
      </c>
      <c r="K8" s="8">
        <f t="shared" si="0"/>
        <v>275790</v>
      </c>
      <c r="L8" s="8">
        <f t="shared" si="0"/>
        <v>1323.7</v>
      </c>
      <c r="M8" s="7"/>
      <c r="O8" s="10" t="s">
        <v>371</v>
      </c>
      <c r="P8" s="10" t="s">
        <v>361</v>
      </c>
      <c r="Q8">
        <v>1</v>
      </c>
    </row>
    <row r="9" spans="1:20" ht="21.9" customHeight="1" x14ac:dyDescent="0.4">
      <c r="A9" s="5" t="s">
        <v>311</v>
      </c>
      <c r="B9" s="5" t="s">
        <v>307</v>
      </c>
      <c r="C9" s="6" t="s">
        <v>308</v>
      </c>
      <c r="D9" s="8">
        <v>4.7999999999999996E-3</v>
      </c>
      <c r="E9" s="8">
        <v>0</v>
      </c>
      <c r="F9" s="8">
        <f>ROUNDDOWN(D9*E9, 1)</f>
        <v>0</v>
      </c>
      <c r="G9" s="8">
        <f>ROUNDDOWN(단가대비표!N146, 0)</f>
        <v>172068</v>
      </c>
      <c r="H9" s="8">
        <f>ROUNDDOWN(D9*G9, 1)</f>
        <v>825.9</v>
      </c>
      <c r="I9" s="8">
        <v>0</v>
      </c>
      <c r="J9" s="8">
        <f>ROUNDDOWN(D9*I9, 1)</f>
        <v>0</v>
      </c>
      <c r="K9" s="8">
        <f t="shared" si="0"/>
        <v>172068</v>
      </c>
      <c r="L9" s="8">
        <f t="shared" si="0"/>
        <v>825.9</v>
      </c>
      <c r="M9" s="7"/>
      <c r="O9" s="10" t="s">
        <v>371</v>
      </c>
      <c r="P9" s="10" t="s">
        <v>361</v>
      </c>
      <c r="Q9">
        <v>1</v>
      </c>
    </row>
    <row r="10" spans="1:20" ht="21.9" customHeight="1" x14ac:dyDescent="0.4">
      <c r="A10" s="5" t="s">
        <v>483</v>
      </c>
      <c r="B10" s="7" t="str">
        <f>"인력품의 " &amp; N10*100 &amp; "%"</f>
        <v>인력품의 5%</v>
      </c>
      <c r="C10" s="6" t="s">
        <v>51</v>
      </c>
      <c r="D10" s="8">
        <v>1</v>
      </c>
      <c r="E10" s="8">
        <f>SUMIF(O6:O12, "02", H6:H12)</f>
        <v>8432.1</v>
      </c>
      <c r="F10" s="8">
        <f>ROUNDDOWN((E10)*N10, 1)</f>
        <v>421.6</v>
      </c>
      <c r="G10" s="8">
        <v>0</v>
      </c>
      <c r="H10" s="8">
        <v>0</v>
      </c>
      <c r="I10" s="8">
        <v>0</v>
      </c>
      <c r="J10" s="8">
        <v>0</v>
      </c>
      <c r="K10" s="8">
        <f t="shared" si="0"/>
        <v>8432.1</v>
      </c>
      <c r="L10" s="8">
        <f t="shared" si="0"/>
        <v>421.6</v>
      </c>
      <c r="M10" s="5" t="s">
        <v>369</v>
      </c>
      <c r="N10">
        <v>0.05</v>
      </c>
      <c r="P10" s="10" t="s">
        <v>361</v>
      </c>
      <c r="Q10">
        <v>1</v>
      </c>
      <c r="R10" s="10" t="s">
        <v>484</v>
      </c>
      <c r="S10" s="10" t="s">
        <v>485</v>
      </c>
    </row>
    <row r="11" spans="1:20" ht="21.9" customHeight="1" x14ac:dyDescent="0.4">
      <c r="A11" s="5" t="s">
        <v>486</v>
      </c>
      <c r="B11" s="7" t="str">
        <f>"인력품의 " &amp; N11*100 &amp; "%"</f>
        <v>인력품의 5%</v>
      </c>
      <c r="C11" s="6" t="s">
        <v>51</v>
      </c>
      <c r="D11" s="8">
        <v>1</v>
      </c>
      <c r="E11" s="8">
        <f>SUMIF(O6:O12, "02", H6:H12)</f>
        <v>8432.1</v>
      </c>
      <c r="F11" s="8">
        <f>ROUNDDOWN((E11)*N11, 1)</f>
        <v>421.6</v>
      </c>
      <c r="G11" s="8">
        <v>0</v>
      </c>
      <c r="H11" s="8">
        <v>0</v>
      </c>
      <c r="I11" s="8">
        <v>0</v>
      </c>
      <c r="J11" s="8">
        <v>0</v>
      </c>
      <c r="K11" s="8">
        <f t="shared" si="0"/>
        <v>8432.1</v>
      </c>
      <c r="L11" s="8">
        <f t="shared" si="0"/>
        <v>421.6</v>
      </c>
      <c r="M11" s="7"/>
      <c r="N11">
        <v>0.05</v>
      </c>
      <c r="P11" s="10" t="s">
        <v>361</v>
      </c>
      <c r="Q11">
        <v>1</v>
      </c>
      <c r="R11" s="10" t="s">
        <v>484</v>
      </c>
      <c r="S11" s="10" t="s">
        <v>485</v>
      </c>
    </row>
    <row r="12" spans="1:20" ht="21.9" customHeight="1" x14ac:dyDescent="0.4">
      <c r="A12" s="5" t="s">
        <v>336</v>
      </c>
      <c r="B12" s="5" t="s">
        <v>400</v>
      </c>
      <c r="C12" s="6" t="s">
        <v>391</v>
      </c>
      <c r="D12" s="8">
        <v>3.8100000000000002E-2</v>
      </c>
      <c r="E12" s="8">
        <f>ROUNDDOWN(중기경비목록!G9, 0)</f>
        <v>38699</v>
      </c>
      <c r="F12" s="8">
        <f>ROUNDDOWN(D12*E12, 1)</f>
        <v>1474.4</v>
      </c>
      <c r="G12" s="8">
        <f>ROUNDDOWN(중기경비목록!I9, 0)</f>
        <v>59020</v>
      </c>
      <c r="H12" s="8">
        <f>ROUNDDOWN(D12*G12, 1)</f>
        <v>2248.6</v>
      </c>
      <c r="I12" s="8">
        <f>ROUNDDOWN(중기경비목록!K9, 0)</f>
        <v>72600</v>
      </c>
      <c r="J12" s="8">
        <f>ROUNDDOWN(D12*I12, 1)</f>
        <v>2766</v>
      </c>
      <c r="K12" s="8">
        <f t="shared" si="0"/>
        <v>170319</v>
      </c>
      <c r="L12" s="8">
        <f t="shared" si="0"/>
        <v>6489</v>
      </c>
      <c r="M12" s="5" t="s">
        <v>399</v>
      </c>
      <c r="O12" s="10" t="s">
        <v>487</v>
      </c>
      <c r="P12" s="10" t="s">
        <v>361</v>
      </c>
      <c r="Q12">
        <v>1</v>
      </c>
    </row>
    <row r="13" spans="1:20" ht="21.9" customHeight="1" x14ac:dyDescent="0.4">
      <c r="A13" s="12" t="s">
        <v>372</v>
      </c>
      <c r="B13" s="13"/>
      <c r="C13" s="14"/>
      <c r="D13" s="15"/>
      <c r="E13" s="15"/>
      <c r="F13" s="15">
        <f>ROUNDDOWN(SUMIF(Q6:Q12, "1", F6:F12), 0)</f>
        <v>2317</v>
      </c>
      <c r="G13" s="15"/>
      <c r="H13" s="15">
        <f>ROUNDDOWN(SUMIF(Q6:Q12, "1", H6:H12), 0)</f>
        <v>10680</v>
      </c>
      <c r="I13" s="15"/>
      <c r="J13" s="15">
        <f>ROUNDDOWN(SUMIF(Q6:Q12, "1", J6:J12), 0)</f>
        <v>2766</v>
      </c>
      <c r="K13" s="15"/>
      <c r="L13" s="15">
        <f>F13+H13+J13</f>
        <v>15763</v>
      </c>
      <c r="M13" s="13"/>
    </row>
    <row r="14" spans="1:20" ht="21.9" customHeight="1" x14ac:dyDescent="0.4">
      <c r="A14" s="7"/>
      <c r="B14" s="7"/>
      <c r="C14" s="9"/>
      <c r="D14" s="8"/>
      <c r="E14" s="8"/>
      <c r="F14" s="8"/>
      <c r="G14" s="8"/>
      <c r="H14" s="8"/>
      <c r="I14" s="8"/>
      <c r="J14" s="8"/>
      <c r="K14" s="8"/>
      <c r="L14" s="8"/>
      <c r="M14" s="7"/>
    </row>
    <row r="15" spans="1:20" ht="21.9" customHeight="1" x14ac:dyDescent="0.4">
      <c r="A15" s="61" t="s">
        <v>488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11" t="s">
        <v>489</v>
      </c>
    </row>
    <row r="16" spans="1:20" ht="21.9" customHeight="1" x14ac:dyDescent="0.4">
      <c r="A16" s="5" t="s">
        <v>318</v>
      </c>
      <c r="B16" s="5" t="s">
        <v>307</v>
      </c>
      <c r="C16" s="6" t="s">
        <v>308</v>
      </c>
      <c r="D16" s="8">
        <v>0.67</v>
      </c>
      <c r="E16" s="8">
        <v>0</v>
      </c>
      <c r="F16" s="8">
        <f>ROUNDDOWN(D16*E16, 1)</f>
        <v>0</v>
      </c>
      <c r="G16" s="8">
        <f>ROUNDDOWN(단가대비표!N151, 0)</f>
        <v>268187</v>
      </c>
      <c r="H16" s="8">
        <f>ROUNDDOWN(D16*G16, 1)</f>
        <v>179685.2</v>
      </c>
      <c r="I16" s="8">
        <v>0</v>
      </c>
      <c r="J16" s="8">
        <f>ROUNDDOWN(D16*I16, 1)</f>
        <v>0</v>
      </c>
      <c r="K16" s="8">
        <f t="shared" ref="K16:L18" si="1">E16+G16+I16</f>
        <v>268187</v>
      </c>
      <c r="L16" s="8">
        <f t="shared" si="1"/>
        <v>179685.2</v>
      </c>
      <c r="M16" s="7"/>
      <c r="O16" s="10" t="s">
        <v>364</v>
      </c>
      <c r="P16" s="10" t="s">
        <v>361</v>
      </c>
      <c r="Q16">
        <v>1</v>
      </c>
    </row>
    <row r="17" spans="1:20" ht="21.9" customHeight="1" x14ac:dyDescent="0.4">
      <c r="A17" s="5" t="s">
        <v>311</v>
      </c>
      <c r="B17" s="5" t="s">
        <v>307</v>
      </c>
      <c r="C17" s="6" t="s">
        <v>308</v>
      </c>
      <c r="D17" s="8">
        <v>0.22</v>
      </c>
      <c r="E17" s="8">
        <v>0</v>
      </c>
      <c r="F17" s="8">
        <f>ROUNDDOWN(D17*E17, 1)</f>
        <v>0</v>
      </c>
      <c r="G17" s="8">
        <f>ROUNDDOWN(단가대비표!N146, 0)</f>
        <v>172068</v>
      </c>
      <c r="H17" s="8">
        <f>ROUNDDOWN(D17*G17, 1)</f>
        <v>37854.9</v>
      </c>
      <c r="I17" s="8">
        <v>0</v>
      </c>
      <c r="J17" s="8">
        <f>ROUNDDOWN(D17*I17, 1)</f>
        <v>0</v>
      </c>
      <c r="K17" s="8">
        <f t="shared" si="1"/>
        <v>172068</v>
      </c>
      <c r="L17" s="8">
        <f t="shared" si="1"/>
        <v>37854.9</v>
      </c>
      <c r="M17" s="7"/>
      <c r="O17" s="10" t="s">
        <v>364</v>
      </c>
      <c r="P17" s="10" t="s">
        <v>361</v>
      </c>
      <c r="Q17">
        <v>1</v>
      </c>
    </row>
    <row r="18" spans="1:20" ht="21.9" customHeight="1" x14ac:dyDescent="0.4">
      <c r="A18" s="5" t="s">
        <v>490</v>
      </c>
      <c r="B18" s="7" t="str">
        <f>"노무비의 " &amp; N18*100 &amp; "%"</f>
        <v>노무비의 9%</v>
      </c>
      <c r="C18" s="6" t="s">
        <v>51</v>
      </c>
      <c r="D18" s="8">
        <v>1</v>
      </c>
      <c r="E18" s="8">
        <f>SUMIF(O16:O18, "01", H16:H18)</f>
        <v>217540.1</v>
      </c>
      <c r="F18" s="8">
        <f>ROUNDDOWN((E18)*N18, 1)</f>
        <v>19578.599999999999</v>
      </c>
      <c r="G18" s="8">
        <v>0</v>
      </c>
      <c r="H18" s="8">
        <v>0</v>
      </c>
      <c r="I18" s="8">
        <v>0</v>
      </c>
      <c r="J18" s="8">
        <v>0</v>
      </c>
      <c r="K18" s="8">
        <f t="shared" si="1"/>
        <v>217540.1</v>
      </c>
      <c r="L18" s="8">
        <f t="shared" si="1"/>
        <v>19578.599999999999</v>
      </c>
      <c r="M18" s="7"/>
      <c r="N18">
        <v>0.09</v>
      </c>
      <c r="P18" s="10" t="s">
        <v>361</v>
      </c>
      <c r="Q18">
        <v>1</v>
      </c>
      <c r="R18" s="10" t="s">
        <v>484</v>
      </c>
      <c r="S18" s="10" t="s">
        <v>368</v>
      </c>
    </row>
    <row r="19" spans="1:20" ht="21.9" customHeight="1" x14ac:dyDescent="0.4">
      <c r="A19" s="12" t="s">
        <v>372</v>
      </c>
      <c r="B19" s="13"/>
      <c r="C19" s="14"/>
      <c r="D19" s="15"/>
      <c r="E19" s="15"/>
      <c r="F19" s="15">
        <f>ROUNDDOWN(SUMIF(Q16:Q18, "1", F16:F18), 0)</f>
        <v>19578</v>
      </c>
      <c r="G19" s="15"/>
      <c r="H19" s="15">
        <f>ROUNDDOWN(SUMIF(Q16:Q18, "1", H16:H18), 0)</f>
        <v>217540</v>
      </c>
      <c r="I19" s="15"/>
      <c r="J19" s="15">
        <f>ROUNDDOWN(SUMIF(Q16:Q18, "1", J16:J18), 0)</f>
        <v>0</v>
      </c>
      <c r="K19" s="15"/>
      <c r="L19" s="15">
        <f>F19+H19+J19</f>
        <v>237118</v>
      </c>
      <c r="M19" s="13"/>
    </row>
    <row r="20" spans="1:20" ht="21.9" customHeight="1" x14ac:dyDescent="0.4">
      <c r="A20" s="7"/>
      <c r="B20" s="7"/>
      <c r="C20" s="9"/>
      <c r="D20" s="8"/>
      <c r="E20" s="8"/>
      <c r="F20" s="8"/>
      <c r="G20" s="8"/>
      <c r="H20" s="8"/>
      <c r="I20" s="8"/>
      <c r="J20" s="8"/>
      <c r="K20" s="8"/>
      <c r="L20" s="8"/>
      <c r="M20" s="7"/>
    </row>
    <row r="21" spans="1:20" ht="21.9" customHeight="1" x14ac:dyDescent="0.4">
      <c r="A21" s="61" t="s">
        <v>491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11" t="s">
        <v>492</v>
      </c>
    </row>
    <row r="22" spans="1:20" ht="21.9" customHeight="1" x14ac:dyDescent="0.4">
      <c r="A22" s="5" t="s">
        <v>318</v>
      </c>
      <c r="B22" s="5" t="s">
        <v>307</v>
      </c>
      <c r="C22" s="6" t="s">
        <v>308</v>
      </c>
      <c r="D22" s="8">
        <v>1.76</v>
      </c>
      <c r="E22" s="8">
        <v>0</v>
      </c>
      <c r="F22" s="8">
        <f>ROUNDDOWN(D22*E22, 1)</f>
        <v>0</v>
      </c>
      <c r="G22" s="8">
        <f>ROUNDDOWN(단가대비표!N151, 0)</f>
        <v>268187</v>
      </c>
      <c r="H22" s="8">
        <f>ROUNDDOWN(D22*G22, 1)</f>
        <v>472009.1</v>
      </c>
      <c r="I22" s="8">
        <v>0</v>
      </c>
      <c r="J22" s="8">
        <f>ROUNDDOWN(D22*I22, 1)</f>
        <v>0</v>
      </c>
      <c r="K22" s="8">
        <f t="shared" ref="K22:L25" si="2">E22+G22+I22</f>
        <v>268187</v>
      </c>
      <c r="L22" s="8">
        <f t="shared" si="2"/>
        <v>472009.1</v>
      </c>
      <c r="M22" s="7"/>
      <c r="O22" s="10" t="s">
        <v>364</v>
      </c>
      <c r="P22" s="10" t="s">
        <v>361</v>
      </c>
      <c r="Q22">
        <v>1</v>
      </c>
    </row>
    <row r="23" spans="1:20" ht="21.9" customHeight="1" x14ac:dyDescent="0.4">
      <c r="A23" s="5" t="s">
        <v>311</v>
      </c>
      <c r="B23" s="5" t="s">
        <v>307</v>
      </c>
      <c r="C23" s="6" t="s">
        <v>308</v>
      </c>
      <c r="D23" s="8">
        <v>0.59</v>
      </c>
      <c r="E23" s="8">
        <v>0</v>
      </c>
      <c r="F23" s="8">
        <f>ROUNDDOWN(D23*E23, 1)</f>
        <v>0</v>
      </c>
      <c r="G23" s="8">
        <f>ROUNDDOWN(단가대비표!N146, 0)</f>
        <v>172068</v>
      </c>
      <c r="H23" s="8">
        <f>ROUNDDOWN(D23*G23, 1)</f>
        <v>101520.1</v>
      </c>
      <c r="I23" s="8">
        <v>0</v>
      </c>
      <c r="J23" s="8">
        <f>ROUNDDOWN(D23*I23, 1)</f>
        <v>0</v>
      </c>
      <c r="K23" s="8">
        <f t="shared" si="2"/>
        <v>172068</v>
      </c>
      <c r="L23" s="8">
        <f t="shared" si="2"/>
        <v>101520.1</v>
      </c>
      <c r="M23" s="7"/>
      <c r="O23" s="10" t="s">
        <v>364</v>
      </c>
      <c r="P23" s="10" t="s">
        <v>361</v>
      </c>
      <c r="Q23">
        <v>1</v>
      </c>
    </row>
    <row r="24" spans="1:20" ht="21.9" customHeight="1" x14ac:dyDescent="0.4">
      <c r="A24" s="5" t="s">
        <v>490</v>
      </c>
      <c r="B24" s="7" t="str">
        <f>"노무비의 " &amp; N24*100 &amp; "%"</f>
        <v>노무비의 2%</v>
      </c>
      <c r="C24" s="6" t="s">
        <v>51</v>
      </c>
      <c r="D24" s="8">
        <v>1</v>
      </c>
      <c r="E24" s="8">
        <f>SUMIF(O22:O25, "01", H22:H25)</f>
        <v>573529.19999999995</v>
      </c>
      <c r="F24" s="8">
        <f>ROUNDDOWN((E24)*N24, 1)</f>
        <v>11470.5</v>
      </c>
      <c r="G24" s="8">
        <v>0</v>
      </c>
      <c r="H24" s="8">
        <v>0</v>
      </c>
      <c r="I24" s="8">
        <v>0</v>
      </c>
      <c r="J24" s="8">
        <v>0</v>
      </c>
      <c r="K24" s="8">
        <f t="shared" si="2"/>
        <v>573529.19999999995</v>
      </c>
      <c r="L24" s="8">
        <f t="shared" si="2"/>
        <v>11470.5</v>
      </c>
      <c r="M24" s="7"/>
      <c r="N24">
        <v>0.02</v>
      </c>
      <c r="P24" s="10" t="s">
        <v>361</v>
      </c>
      <c r="Q24">
        <v>1</v>
      </c>
      <c r="R24" s="10" t="s">
        <v>484</v>
      </c>
      <c r="S24" s="10" t="s">
        <v>368</v>
      </c>
    </row>
    <row r="25" spans="1:20" ht="21.9" customHeight="1" x14ac:dyDescent="0.4">
      <c r="A25" s="5" t="s">
        <v>239</v>
      </c>
      <c r="B25" s="5" t="s">
        <v>240</v>
      </c>
      <c r="C25" s="6" t="s">
        <v>241</v>
      </c>
      <c r="D25" s="8">
        <v>6.5</v>
      </c>
      <c r="E25" s="8">
        <f>ROUNDDOWN(단가대비표!N107, 0)</f>
        <v>1539</v>
      </c>
      <c r="F25" s="8">
        <f>ROUNDDOWN(D25*E25, 1)</f>
        <v>10003.5</v>
      </c>
      <c r="G25" s="8">
        <v>0</v>
      </c>
      <c r="H25" s="8">
        <f>ROUNDDOWN(D25*G25, 1)</f>
        <v>0</v>
      </c>
      <c r="I25" s="8">
        <v>0</v>
      </c>
      <c r="J25" s="8">
        <f>ROUNDDOWN(D25*I25, 1)</f>
        <v>0</v>
      </c>
      <c r="K25" s="8">
        <f t="shared" si="2"/>
        <v>1539</v>
      </c>
      <c r="L25" s="8">
        <f t="shared" si="2"/>
        <v>10003.5</v>
      </c>
      <c r="M25" s="7"/>
      <c r="O25" s="10" t="s">
        <v>487</v>
      </c>
      <c r="P25" s="10" t="s">
        <v>361</v>
      </c>
      <c r="Q25">
        <v>1</v>
      </c>
    </row>
    <row r="26" spans="1:20" ht="21.9" customHeight="1" x14ac:dyDescent="0.4">
      <c r="A26" s="12" t="s">
        <v>372</v>
      </c>
      <c r="B26" s="13"/>
      <c r="C26" s="14"/>
      <c r="D26" s="15"/>
      <c r="E26" s="15"/>
      <c r="F26" s="15">
        <f>ROUNDDOWN(SUMIF(Q22:Q25, "1", F22:F25), 0)</f>
        <v>21474</v>
      </c>
      <c r="G26" s="15"/>
      <c r="H26" s="15">
        <f>ROUNDDOWN(SUMIF(Q22:Q25, "1", H22:H25), 0)</f>
        <v>573529</v>
      </c>
      <c r="I26" s="15"/>
      <c r="J26" s="15">
        <f>ROUNDDOWN(SUMIF(Q22:Q25, "1", J22:J25), 0)</f>
        <v>0</v>
      </c>
      <c r="K26" s="15"/>
      <c r="L26" s="15">
        <f>F26+H26+J26</f>
        <v>595003</v>
      </c>
      <c r="M26" s="13"/>
    </row>
    <row r="27" spans="1:20" ht="21.9" customHeight="1" x14ac:dyDescent="0.4">
      <c r="A27" s="7"/>
      <c r="B27" s="7"/>
      <c r="C27" s="9"/>
      <c r="D27" s="8"/>
      <c r="E27" s="8"/>
      <c r="F27" s="8"/>
      <c r="G27" s="8"/>
      <c r="H27" s="8"/>
      <c r="I27" s="8"/>
      <c r="J27" s="8"/>
      <c r="K27" s="8"/>
      <c r="L27" s="8"/>
      <c r="M27" s="7"/>
    </row>
    <row r="28" spans="1:20" ht="21.9" customHeight="1" x14ac:dyDescent="0.4">
      <c r="A28" s="61" t="s">
        <v>493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16"/>
    </row>
    <row r="29" spans="1:20" ht="21.9" customHeight="1" x14ac:dyDescent="0.4">
      <c r="A29" s="5" t="s">
        <v>290</v>
      </c>
      <c r="B29" s="5" t="s">
        <v>296</v>
      </c>
      <c r="C29" s="6" t="s">
        <v>38</v>
      </c>
      <c r="D29" s="8">
        <v>0.15</v>
      </c>
      <c r="E29" s="8">
        <f>ROUNDDOWN(단가대비표!N138, 0)</f>
        <v>21000</v>
      </c>
      <c r="F29" s="8">
        <f>ROUNDDOWN(D29*E29, 1)</f>
        <v>3150</v>
      </c>
      <c r="G29" s="8">
        <v>0</v>
      </c>
      <c r="H29" s="8">
        <f>ROUNDDOWN(D29*G29, 1)</f>
        <v>0</v>
      </c>
      <c r="I29" s="8">
        <v>0</v>
      </c>
      <c r="J29" s="8">
        <f>ROUNDDOWN(D29*I29, 1)</f>
        <v>0</v>
      </c>
      <c r="K29" s="8">
        <f>E29+G29+I29</f>
        <v>21000</v>
      </c>
      <c r="L29" s="8">
        <f>F29+H29+J29</f>
        <v>3150</v>
      </c>
      <c r="M29" s="7"/>
      <c r="O29" s="10" t="s">
        <v>364</v>
      </c>
      <c r="P29" s="10" t="s">
        <v>361</v>
      </c>
      <c r="Q29">
        <v>1</v>
      </c>
    </row>
    <row r="30" spans="1:20" ht="21.9" customHeight="1" x14ac:dyDescent="0.4">
      <c r="A30" s="5" t="s">
        <v>494</v>
      </c>
      <c r="B30" s="5" t="s">
        <v>495</v>
      </c>
      <c r="C30" s="6" t="s">
        <v>472</v>
      </c>
      <c r="D30" s="8">
        <v>0.1178</v>
      </c>
      <c r="E30" s="8">
        <f>ROUNDDOWN(일위대가목록!G19, 0)</f>
        <v>344</v>
      </c>
      <c r="F30" s="8">
        <f>ROUNDDOWN(D30*E30, 1)</f>
        <v>40.5</v>
      </c>
      <c r="G30" s="8">
        <f>ROUNDDOWN(일위대가목록!I19, 0)</f>
        <v>34461</v>
      </c>
      <c r="H30" s="8">
        <f>ROUNDDOWN(D30*G30, 1)</f>
        <v>4059.5</v>
      </c>
      <c r="I30" s="8">
        <f>ROUNDDOWN(일위대가목록!K19, 2)</f>
        <v>0</v>
      </c>
      <c r="J30" s="8">
        <f>ROUNDDOWN(D30*I30, 1)</f>
        <v>0</v>
      </c>
      <c r="K30" s="8">
        <f>E30+G30+I30</f>
        <v>34805</v>
      </c>
      <c r="L30" s="8">
        <f>F30+H30+J30</f>
        <v>4100</v>
      </c>
      <c r="M30" s="5" t="s">
        <v>496</v>
      </c>
      <c r="P30" s="10" t="s">
        <v>361</v>
      </c>
      <c r="Q30">
        <v>1</v>
      </c>
      <c r="T30" s="10" t="s">
        <v>497</v>
      </c>
    </row>
    <row r="31" spans="1:20" ht="21.9" customHeight="1" x14ac:dyDescent="0.4">
      <c r="A31" s="12" t="s">
        <v>372</v>
      </c>
      <c r="B31" s="13"/>
      <c r="C31" s="14"/>
      <c r="D31" s="15"/>
      <c r="E31" s="15"/>
      <c r="F31" s="15">
        <f>ROUNDDOWN(SUMIF(Q29:Q30, "1", F29:F30), 0)</f>
        <v>3190</v>
      </c>
      <c r="G31" s="15"/>
      <c r="H31" s="15">
        <f>ROUNDDOWN(SUMIF(Q29:Q30, "1", H29:H30), 0)</f>
        <v>4059</v>
      </c>
      <c r="I31" s="15"/>
      <c r="J31" s="15">
        <f>ROUNDDOWN(SUMIF(Q29:Q30, "1", J29:J30), 0)</f>
        <v>0</v>
      </c>
      <c r="K31" s="15"/>
      <c r="L31" s="15">
        <f>F31+H31+J31</f>
        <v>7249</v>
      </c>
      <c r="M31" s="13"/>
    </row>
    <row r="32" spans="1:20" ht="21.9" customHeight="1" x14ac:dyDescent="0.4">
      <c r="A32" s="7"/>
      <c r="B32" s="7"/>
      <c r="C32" s="9"/>
      <c r="D32" s="8"/>
      <c r="E32" s="8"/>
      <c r="F32" s="8"/>
      <c r="G32" s="8"/>
      <c r="H32" s="8"/>
      <c r="I32" s="8"/>
      <c r="J32" s="8"/>
      <c r="K32" s="8"/>
      <c r="L32" s="8"/>
      <c r="M32" s="7"/>
    </row>
    <row r="33" spans="1:20" ht="21.9" customHeight="1" x14ac:dyDescent="0.4">
      <c r="A33" s="61" t="s">
        <v>498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16"/>
    </row>
    <row r="34" spans="1:20" ht="21.9" customHeight="1" x14ac:dyDescent="0.4">
      <c r="A34" s="5" t="s">
        <v>290</v>
      </c>
      <c r="B34" s="5" t="s">
        <v>291</v>
      </c>
      <c r="C34" s="6" t="s">
        <v>38</v>
      </c>
      <c r="D34" s="8">
        <v>0.55000000000000004</v>
      </c>
      <c r="E34" s="8">
        <f>ROUNDDOWN(단가대비표!N137, 0)</f>
        <v>7400</v>
      </c>
      <c r="F34" s="8">
        <f>ROUNDDOWN(D34*E34, 1)</f>
        <v>4070</v>
      </c>
      <c r="G34" s="8">
        <v>0</v>
      </c>
      <c r="H34" s="8">
        <f>ROUNDDOWN(D34*G34, 1)</f>
        <v>0</v>
      </c>
      <c r="I34" s="8">
        <v>0</v>
      </c>
      <c r="J34" s="8">
        <f>ROUNDDOWN(D34*I34, 1)</f>
        <v>0</v>
      </c>
      <c r="K34" s="8">
        <f>E34+G34+I34</f>
        <v>7400</v>
      </c>
      <c r="L34" s="8">
        <f>F34+H34+J34</f>
        <v>4070</v>
      </c>
      <c r="M34" s="7"/>
      <c r="O34" s="10" t="s">
        <v>364</v>
      </c>
      <c r="P34" s="10" t="s">
        <v>361</v>
      </c>
      <c r="Q34">
        <v>1</v>
      </c>
    </row>
    <row r="35" spans="1:20" ht="21.9" customHeight="1" x14ac:dyDescent="0.4">
      <c r="A35" s="5" t="s">
        <v>494</v>
      </c>
      <c r="B35" s="5" t="s">
        <v>495</v>
      </c>
      <c r="C35" s="6" t="s">
        <v>472</v>
      </c>
      <c r="D35" s="8">
        <v>0.216</v>
      </c>
      <c r="E35" s="8">
        <f>ROUNDDOWN(일위대가목록!G19, 0)</f>
        <v>344</v>
      </c>
      <c r="F35" s="8">
        <f>ROUNDDOWN(D35*E35, 1)</f>
        <v>74.3</v>
      </c>
      <c r="G35" s="8">
        <f>ROUNDDOWN(일위대가목록!I19, 0)</f>
        <v>34461</v>
      </c>
      <c r="H35" s="8">
        <f>ROUNDDOWN(D35*G35, 1)</f>
        <v>7443.5</v>
      </c>
      <c r="I35" s="8">
        <f>ROUNDDOWN(일위대가목록!K19, 2)</f>
        <v>0</v>
      </c>
      <c r="J35" s="8">
        <f>ROUNDDOWN(D35*I35, 1)</f>
        <v>0</v>
      </c>
      <c r="K35" s="8">
        <f>E35+G35+I35</f>
        <v>34805</v>
      </c>
      <c r="L35" s="8">
        <f>F35+H35+J35</f>
        <v>7517.8</v>
      </c>
      <c r="M35" s="5" t="s">
        <v>496</v>
      </c>
      <c r="P35" s="10" t="s">
        <v>361</v>
      </c>
      <c r="Q35">
        <v>1</v>
      </c>
      <c r="T35" s="10" t="s">
        <v>497</v>
      </c>
    </row>
    <row r="36" spans="1:20" ht="21.9" customHeight="1" x14ac:dyDescent="0.4">
      <c r="A36" s="12" t="s">
        <v>372</v>
      </c>
      <c r="B36" s="13"/>
      <c r="C36" s="14"/>
      <c r="D36" s="15"/>
      <c r="E36" s="15"/>
      <c r="F36" s="15">
        <f>ROUNDDOWN(SUMIF(Q34:Q35, "1", F34:F35), 0)</f>
        <v>4144</v>
      </c>
      <c r="G36" s="15"/>
      <c r="H36" s="15">
        <f>ROUNDDOWN(SUMIF(Q34:Q35, "1", H34:H35), 0)</f>
        <v>7443</v>
      </c>
      <c r="I36" s="15"/>
      <c r="J36" s="15">
        <f>ROUNDDOWN(SUMIF(Q34:Q35, "1", J34:J35), 0)</f>
        <v>0</v>
      </c>
      <c r="K36" s="15"/>
      <c r="L36" s="15">
        <f>F36+H36+J36</f>
        <v>11587</v>
      </c>
      <c r="M36" s="13"/>
    </row>
    <row r="37" spans="1:20" ht="21.9" customHeight="1" x14ac:dyDescent="0.4">
      <c r="A37" s="7"/>
      <c r="B37" s="7"/>
      <c r="C37" s="9"/>
      <c r="D37" s="8"/>
      <c r="E37" s="8"/>
      <c r="F37" s="8"/>
      <c r="G37" s="8"/>
      <c r="H37" s="8"/>
      <c r="I37" s="8"/>
      <c r="J37" s="8"/>
      <c r="K37" s="8"/>
      <c r="L37" s="8"/>
      <c r="M37" s="7"/>
    </row>
    <row r="38" spans="1:20" ht="21.9" customHeight="1" x14ac:dyDescent="0.4">
      <c r="A38" s="61" t="s">
        <v>499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11" t="s">
        <v>500</v>
      </c>
    </row>
    <row r="39" spans="1:20" ht="21.9" customHeight="1" x14ac:dyDescent="0.4">
      <c r="A39" s="5" t="s">
        <v>310</v>
      </c>
      <c r="B39" s="5" t="s">
        <v>307</v>
      </c>
      <c r="C39" s="6" t="s">
        <v>308</v>
      </c>
      <c r="D39" s="8">
        <v>5.0000000000000001E-3</v>
      </c>
      <c r="E39" s="8">
        <v>0</v>
      </c>
      <c r="F39" s="8">
        <f>ROUNDDOWN(D39*E39, 1)</f>
        <v>0</v>
      </c>
      <c r="G39" s="8">
        <f>ROUNDDOWN(단가대비표!N145, 0)</f>
        <v>256883</v>
      </c>
      <c r="H39" s="8">
        <f>ROUNDDOWN(D39*G39, 1)</f>
        <v>1284.4000000000001</v>
      </c>
      <c r="I39" s="8">
        <v>0</v>
      </c>
      <c r="J39" s="8">
        <f>ROUNDDOWN(D39*I39, 1)</f>
        <v>0</v>
      </c>
      <c r="K39" s="8">
        <f>E39+G39+I39</f>
        <v>256883</v>
      </c>
      <c r="L39" s="8">
        <f>F39+H39+J39</f>
        <v>1284.4000000000001</v>
      </c>
      <c r="M39" s="7"/>
      <c r="O39" s="10" t="s">
        <v>371</v>
      </c>
      <c r="P39" s="10" t="s">
        <v>361</v>
      </c>
      <c r="Q39">
        <v>1</v>
      </c>
    </row>
    <row r="40" spans="1:20" ht="21.9" customHeight="1" x14ac:dyDescent="0.4">
      <c r="A40" s="5" t="s">
        <v>311</v>
      </c>
      <c r="B40" s="5" t="s">
        <v>307</v>
      </c>
      <c r="C40" s="6" t="s">
        <v>308</v>
      </c>
      <c r="D40" s="8">
        <v>1E-3</v>
      </c>
      <c r="E40" s="8">
        <v>0</v>
      </c>
      <c r="F40" s="8">
        <f>ROUNDDOWN(D40*E40, 1)</f>
        <v>0</v>
      </c>
      <c r="G40" s="8">
        <f>ROUNDDOWN(단가대비표!N146, 0)</f>
        <v>172068</v>
      </c>
      <c r="H40" s="8">
        <f>ROUNDDOWN(D40*G40, 1)</f>
        <v>172</v>
      </c>
      <c r="I40" s="8">
        <v>0</v>
      </c>
      <c r="J40" s="8">
        <f>ROUNDDOWN(D40*I40, 1)</f>
        <v>0</v>
      </c>
      <c r="K40" s="8">
        <f>E40+G40+I40</f>
        <v>172068</v>
      </c>
      <c r="L40" s="8">
        <f>F40+H40+J40</f>
        <v>172</v>
      </c>
      <c r="M40" s="7"/>
      <c r="O40" s="10" t="s">
        <v>371</v>
      </c>
      <c r="P40" s="10" t="s">
        <v>361</v>
      </c>
      <c r="Q40">
        <v>1</v>
      </c>
    </row>
    <row r="41" spans="1:20" ht="21.9" customHeight="1" x14ac:dyDescent="0.4">
      <c r="A41" s="12" t="s">
        <v>372</v>
      </c>
      <c r="B41" s="13"/>
      <c r="C41" s="14"/>
      <c r="D41" s="15"/>
      <c r="E41" s="15"/>
      <c r="F41" s="15">
        <f>ROUNDDOWN(SUMIF(Q39:Q40, "1", F39:F40), 0)</f>
        <v>0</v>
      </c>
      <c r="G41" s="15"/>
      <c r="H41" s="15">
        <f>ROUNDDOWN(SUMIF(Q39:Q40, "1", H39:H40), 0)</f>
        <v>1456</v>
      </c>
      <c r="I41" s="15"/>
      <c r="J41" s="15">
        <f>ROUNDDOWN(SUMIF(Q39:Q40, "1", J39:J40), 0)</f>
        <v>0</v>
      </c>
      <c r="K41" s="15"/>
      <c r="L41" s="15">
        <f>F41+H41+J41</f>
        <v>1456</v>
      </c>
      <c r="M41" s="13"/>
    </row>
    <row r="42" spans="1:20" ht="21.9" customHeight="1" x14ac:dyDescent="0.4">
      <c r="A42" s="7"/>
      <c r="B42" s="7"/>
      <c r="C42" s="9"/>
      <c r="D42" s="8"/>
      <c r="E42" s="8"/>
      <c r="F42" s="8"/>
      <c r="G42" s="8"/>
      <c r="H42" s="8"/>
      <c r="I42" s="8"/>
      <c r="J42" s="8"/>
      <c r="K42" s="8"/>
      <c r="L42" s="8"/>
      <c r="M42" s="7"/>
    </row>
    <row r="43" spans="1:20" ht="21.9" customHeight="1" x14ac:dyDescent="0.4">
      <c r="A43" s="61" t="s">
        <v>501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11" t="s">
        <v>502</v>
      </c>
    </row>
    <row r="44" spans="1:20" ht="21.9" customHeight="1" x14ac:dyDescent="0.4">
      <c r="A44" s="5" t="s">
        <v>317</v>
      </c>
      <c r="B44" s="5" t="s">
        <v>307</v>
      </c>
      <c r="C44" s="6" t="s">
        <v>308</v>
      </c>
      <c r="D44" s="8">
        <v>3.71</v>
      </c>
      <c r="E44" s="8">
        <v>0</v>
      </c>
      <c r="F44" s="8">
        <f>ROUNDDOWN(D44*E44, 1)</f>
        <v>0</v>
      </c>
      <c r="G44" s="8">
        <f>ROUNDDOWN(단가대비표!N150, 0)</f>
        <v>239808</v>
      </c>
      <c r="H44" s="8">
        <f>ROUNDDOWN(D44*G44, 1)</f>
        <v>889687.6</v>
      </c>
      <c r="I44" s="8">
        <v>0</v>
      </c>
      <c r="J44" s="8">
        <f>ROUNDDOWN(D44*I44, 1)</f>
        <v>0</v>
      </c>
      <c r="K44" s="8">
        <f t="shared" ref="K44:L49" si="3">E44+G44+I44</f>
        <v>239808</v>
      </c>
      <c r="L44" s="8">
        <f t="shared" si="3"/>
        <v>889687.6</v>
      </c>
      <c r="M44" s="7"/>
      <c r="O44" s="10" t="s">
        <v>364</v>
      </c>
      <c r="P44" s="10" t="s">
        <v>361</v>
      </c>
      <c r="Q44">
        <v>1</v>
      </c>
    </row>
    <row r="45" spans="1:20" ht="21.9" customHeight="1" x14ac:dyDescent="0.4">
      <c r="A45" s="5" t="s">
        <v>312</v>
      </c>
      <c r="B45" s="5" t="s">
        <v>307</v>
      </c>
      <c r="C45" s="6" t="s">
        <v>308</v>
      </c>
      <c r="D45" s="8">
        <v>1.35</v>
      </c>
      <c r="E45" s="8">
        <v>0</v>
      </c>
      <c r="F45" s="8">
        <f>ROUNDDOWN(D45*E45, 1)</f>
        <v>0</v>
      </c>
      <c r="G45" s="8">
        <f>ROUNDDOWN(단가대비표!N147, 0)</f>
        <v>282536</v>
      </c>
      <c r="H45" s="8">
        <f>ROUNDDOWN(D45*G45, 1)</f>
        <v>381423.6</v>
      </c>
      <c r="I45" s="8">
        <v>0</v>
      </c>
      <c r="J45" s="8">
        <f>ROUNDDOWN(D45*I45, 1)</f>
        <v>0</v>
      </c>
      <c r="K45" s="8">
        <f t="shared" si="3"/>
        <v>282536</v>
      </c>
      <c r="L45" s="8">
        <f t="shared" si="3"/>
        <v>381423.6</v>
      </c>
      <c r="M45" s="5" t="s">
        <v>313</v>
      </c>
      <c r="O45" s="10" t="s">
        <v>364</v>
      </c>
      <c r="P45" s="10" t="s">
        <v>361</v>
      </c>
      <c r="Q45">
        <v>1</v>
      </c>
    </row>
    <row r="46" spans="1:20" ht="21.9" customHeight="1" x14ac:dyDescent="0.4">
      <c r="A46" s="5" t="s">
        <v>321</v>
      </c>
      <c r="B46" s="5" t="s">
        <v>307</v>
      </c>
      <c r="C46" s="6" t="s">
        <v>308</v>
      </c>
      <c r="D46" s="8">
        <v>1.01</v>
      </c>
      <c r="E46" s="8">
        <v>0</v>
      </c>
      <c r="F46" s="8">
        <f>ROUNDDOWN(D46*E46, 1)</f>
        <v>0</v>
      </c>
      <c r="G46" s="8">
        <f>ROUNDDOWN(단가대비표!N154, 0)</f>
        <v>226122</v>
      </c>
      <c r="H46" s="8">
        <f>ROUNDDOWN(D46*G46, 1)</f>
        <v>228383.2</v>
      </c>
      <c r="I46" s="8">
        <v>0</v>
      </c>
      <c r="J46" s="8">
        <f>ROUNDDOWN(D46*I46, 1)</f>
        <v>0</v>
      </c>
      <c r="K46" s="8">
        <f t="shared" si="3"/>
        <v>226122</v>
      </c>
      <c r="L46" s="8">
        <f t="shared" si="3"/>
        <v>228383.2</v>
      </c>
      <c r="M46" s="7"/>
      <c r="O46" s="10" t="s">
        <v>364</v>
      </c>
      <c r="P46" s="10" t="s">
        <v>361</v>
      </c>
      <c r="Q46">
        <v>1</v>
      </c>
    </row>
    <row r="47" spans="1:20" ht="21.9" customHeight="1" x14ac:dyDescent="0.4">
      <c r="A47" s="5" t="s">
        <v>311</v>
      </c>
      <c r="B47" s="5" t="s">
        <v>307</v>
      </c>
      <c r="C47" s="6" t="s">
        <v>308</v>
      </c>
      <c r="D47" s="8">
        <v>0.68</v>
      </c>
      <c r="E47" s="8">
        <v>0</v>
      </c>
      <c r="F47" s="8">
        <f>ROUNDDOWN(D47*E47, 1)</f>
        <v>0</v>
      </c>
      <c r="G47" s="8">
        <f>ROUNDDOWN(단가대비표!N146, 0)</f>
        <v>172068</v>
      </c>
      <c r="H47" s="8">
        <f>ROUNDDOWN(D47*G47, 1)</f>
        <v>117006.2</v>
      </c>
      <c r="I47" s="8">
        <v>0</v>
      </c>
      <c r="J47" s="8">
        <f>ROUNDDOWN(D47*I47, 1)</f>
        <v>0</v>
      </c>
      <c r="K47" s="8">
        <f t="shared" si="3"/>
        <v>172068</v>
      </c>
      <c r="L47" s="8">
        <f t="shared" si="3"/>
        <v>117006.2</v>
      </c>
      <c r="M47" s="7"/>
      <c r="O47" s="10" t="s">
        <v>364</v>
      </c>
      <c r="P47" s="10" t="s">
        <v>361</v>
      </c>
      <c r="Q47">
        <v>1</v>
      </c>
    </row>
    <row r="48" spans="1:20" ht="21.9" customHeight="1" x14ac:dyDescent="0.4">
      <c r="A48" s="5" t="s">
        <v>503</v>
      </c>
      <c r="B48" s="7" t="str">
        <f>"노무비의 " &amp; N48*100 &amp; "%"</f>
        <v>노무비의 4%</v>
      </c>
      <c r="C48" s="6" t="s">
        <v>51</v>
      </c>
      <c r="D48" s="8">
        <v>1</v>
      </c>
      <c r="E48" s="8">
        <f>SUMIF(O44:O49, "01", H44:H49)</f>
        <v>1616500.5999999999</v>
      </c>
      <c r="F48" s="8">
        <f>ROUNDDOWN((E48)*N48, 1)</f>
        <v>64660</v>
      </c>
      <c r="G48" s="8">
        <v>0</v>
      </c>
      <c r="H48" s="8">
        <v>0</v>
      </c>
      <c r="I48" s="8">
        <v>0</v>
      </c>
      <c r="J48" s="8">
        <v>0</v>
      </c>
      <c r="K48" s="8">
        <f t="shared" si="3"/>
        <v>1616500.5999999999</v>
      </c>
      <c r="L48" s="8">
        <f t="shared" si="3"/>
        <v>64660</v>
      </c>
      <c r="M48" s="7"/>
      <c r="N48">
        <v>0.04</v>
      </c>
      <c r="P48" s="10" t="s">
        <v>361</v>
      </c>
      <c r="Q48">
        <v>1</v>
      </c>
      <c r="R48" s="10" t="s">
        <v>484</v>
      </c>
      <c r="S48" s="10" t="s">
        <v>368</v>
      </c>
    </row>
    <row r="49" spans="1:19" ht="21.9" customHeight="1" x14ac:dyDescent="0.4">
      <c r="A49" s="5" t="s">
        <v>504</v>
      </c>
      <c r="B49" s="7" t="str">
        <f>"노무비의 " &amp; N49*100 &amp; "%"</f>
        <v>노무비의 2%</v>
      </c>
      <c r="C49" s="6" t="s">
        <v>51</v>
      </c>
      <c r="D49" s="8">
        <v>1</v>
      </c>
      <c r="E49" s="8">
        <f>SUMIF(O44:O49, "01", H44:H49)</f>
        <v>1616500.5999999999</v>
      </c>
      <c r="F49" s="8">
        <f>ROUNDDOWN((E49)*N49, 1)</f>
        <v>32330</v>
      </c>
      <c r="G49" s="8">
        <v>0</v>
      </c>
      <c r="H49" s="8">
        <v>0</v>
      </c>
      <c r="I49" s="8">
        <v>0</v>
      </c>
      <c r="J49" s="8">
        <v>0</v>
      </c>
      <c r="K49" s="8">
        <f t="shared" si="3"/>
        <v>1616500.5999999999</v>
      </c>
      <c r="L49" s="8">
        <f t="shared" si="3"/>
        <v>32330</v>
      </c>
      <c r="M49" s="7"/>
      <c r="N49">
        <v>0.02</v>
      </c>
      <c r="P49" s="10" t="s">
        <v>361</v>
      </c>
      <c r="Q49">
        <v>1</v>
      </c>
      <c r="R49" s="10" t="s">
        <v>484</v>
      </c>
      <c r="S49" s="10" t="s">
        <v>368</v>
      </c>
    </row>
    <row r="50" spans="1:19" ht="21.9" customHeight="1" x14ac:dyDescent="0.4">
      <c r="A50" s="12" t="s">
        <v>372</v>
      </c>
      <c r="B50" s="13"/>
      <c r="C50" s="14"/>
      <c r="D50" s="15"/>
      <c r="E50" s="15"/>
      <c r="F50" s="15">
        <f>ROUNDDOWN(SUMIF(Q44:Q49, "1", F44:F49), 0)</f>
        <v>96990</v>
      </c>
      <c r="G50" s="15"/>
      <c r="H50" s="15">
        <f>ROUNDDOWN(SUMIF(Q44:Q49, "1", H44:H49), 0)</f>
        <v>1616500</v>
      </c>
      <c r="I50" s="15"/>
      <c r="J50" s="15">
        <f>ROUNDDOWN(SUMIF(Q44:Q49, "1", J44:J49), 0)</f>
        <v>0</v>
      </c>
      <c r="K50" s="15"/>
      <c r="L50" s="15">
        <f>F50+H50+J50</f>
        <v>1713490</v>
      </c>
      <c r="M50" s="13"/>
    </row>
    <row r="51" spans="1:19" ht="21.9" customHeight="1" x14ac:dyDescent="0.4">
      <c r="A51" s="7"/>
      <c r="B51" s="7"/>
      <c r="C51" s="9"/>
      <c r="D51" s="8"/>
      <c r="E51" s="8"/>
      <c r="F51" s="8"/>
      <c r="G51" s="8"/>
      <c r="H51" s="8"/>
      <c r="I51" s="8"/>
      <c r="J51" s="8"/>
      <c r="K51" s="8"/>
      <c r="L51" s="8"/>
      <c r="M51" s="7"/>
    </row>
    <row r="52" spans="1:19" ht="21.9" customHeight="1" x14ac:dyDescent="0.4">
      <c r="A52" s="61" t="s">
        <v>505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11" t="s">
        <v>500</v>
      </c>
    </row>
    <row r="53" spans="1:19" ht="21.9" customHeight="1" x14ac:dyDescent="0.4">
      <c r="A53" s="5" t="s">
        <v>310</v>
      </c>
      <c r="B53" s="5" t="s">
        <v>307</v>
      </c>
      <c r="C53" s="6" t="s">
        <v>308</v>
      </c>
      <c r="D53" s="8">
        <v>7.0000000000000001E-3</v>
      </c>
      <c r="E53" s="8">
        <v>0</v>
      </c>
      <c r="F53" s="8">
        <f>ROUNDDOWN(D53*E53, 1)</f>
        <v>0</v>
      </c>
      <c r="G53" s="8">
        <f>ROUNDDOWN(단가대비표!N145, 0)</f>
        <v>256883</v>
      </c>
      <c r="H53" s="8">
        <f>ROUNDDOWN(D53*G53, 1)</f>
        <v>1798.1</v>
      </c>
      <c r="I53" s="8">
        <v>0</v>
      </c>
      <c r="J53" s="8">
        <f>ROUNDDOWN(D53*I53, 1)</f>
        <v>0</v>
      </c>
      <c r="K53" s="8">
        <f>E53+G53+I53</f>
        <v>256883</v>
      </c>
      <c r="L53" s="8">
        <f>F53+H53+J53</f>
        <v>1798.1</v>
      </c>
      <c r="M53" s="7"/>
      <c r="O53" s="10" t="s">
        <v>371</v>
      </c>
      <c r="P53" s="10" t="s">
        <v>361</v>
      </c>
      <c r="Q53">
        <v>1</v>
      </c>
    </row>
    <row r="54" spans="1:19" ht="21.9" customHeight="1" x14ac:dyDescent="0.4">
      <c r="A54" s="5" t="s">
        <v>311</v>
      </c>
      <c r="B54" s="5" t="s">
        <v>307</v>
      </c>
      <c r="C54" s="6" t="s">
        <v>308</v>
      </c>
      <c r="D54" s="8">
        <v>1E-3</v>
      </c>
      <c r="E54" s="8">
        <v>0</v>
      </c>
      <c r="F54" s="8">
        <f>ROUNDDOWN(D54*E54, 1)</f>
        <v>0</v>
      </c>
      <c r="G54" s="8">
        <f>ROUNDDOWN(단가대비표!N146, 0)</f>
        <v>172068</v>
      </c>
      <c r="H54" s="8">
        <f>ROUNDDOWN(D54*G54, 1)</f>
        <v>172</v>
      </c>
      <c r="I54" s="8">
        <v>0</v>
      </c>
      <c r="J54" s="8">
        <f>ROUNDDOWN(D54*I54, 1)</f>
        <v>0</v>
      </c>
      <c r="K54" s="8">
        <f>E54+G54+I54</f>
        <v>172068</v>
      </c>
      <c r="L54" s="8">
        <f>F54+H54+J54</f>
        <v>172</v>
      </c>
      <c r="M54" s="7"/>
      <c r="O54" s="10" t="s">
        <v>371</v>
      </c>
      <c r="P54" s="10" t="s">
        <v>361</v>
      </c>
      <c r="Q54">
        <v>1</v>
      </c>
    </row>
    <row r="55" spans="1:19" ht="21.9" customHeight="1" x14ac:dyDescent="0.4">
      <c r="A55" s="12" t="s">
        <v>372</v>
      </c>
      <c r="B55" s="13"/>
      <c r="C55" s="14"/>
      <c r="D55" s="15"/>
      <c r="E55" s="15"/>
      <c r="F55" s="15">
        <f>ROUNDDOWN(SUMIF(Q53:Q54, "1", F53:F54), 0)</f>
        <v>0</v>
      </c>
      <c r="G55" s="15"/>
      <c r="H55" s="15">
        <f>ROUNDDOWN(SUMIF(Q53:Q54, "1", H53:H54), 0)</f>
        <v>1970</v>
      </c>
      <c r="I55" s="15"/>
      <c r="J55" s="15">
        <f>ROUNDDOWN(SUMIF(Q53:Q54, "1", J53:J54), 0)</f>
        <v>0</v>
      </c>
      <c r="K55" s="15"/>
      <c r="L55" s="15">
        <f>F55+H55+J55</f>
        <v>1970</v>
      </c>
      <c r="M55" s="13"/>
    </row>
    <row r="56" spans="1:19" ht="21.9" customHeight="1" x14ac:dyDescent="0.4">
      <c r="A56" s="7"/>
      <c r="B56" s="7"/>
      <c r="C56" s="9"/>
      <c r="D56" s="8"/>
      <c r="E56" s="8"/>
      <c r="F56" s="8"/>
      <c r="G56" s="8"/>
      <c r="H56" s="8"/>
      <c r="I56" s="8"/>
      <c r="J56" s="8"/>
      <c r="K56" s="8"/>
      <c r="L56" s="8"/>
      <c r="M56" s="7"/>
    </row>
    <row r="57" spans="1:19" ht="21.9" customHeight="1" x14ac:dyDescent="0.4">
      <c r="A57" s="61" t="s">
        <v>506</v>
      </c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16"/>
    </row>
    <row r="58" spans="1:19" ht="21.9" customHeight="1" x14ac:dyDescent="0.4">
      <c r="A58" s="5" t="s">
        <v>327</v>
      </c>
      <c r="B58" s="5" t="s">
        <v>390</v>
      </c>
      <c r="C58" s="6" t="s">
        <v>391</v>
      </c>
      <c r="D58" s="8">
        <v>6</v>
      </c>
      <c r="E58" s="8">
        <f>ROUNDDOWN(중기경비목록!G5, 0)</f>
        <v>23834</v>
      </c>
      <c r="F58" s="8">
        <f>ROUNDDOWN(D58*E58, 1)</f>
        <v>143004</v>
      </c>
      <c r="G58" s="8">
        <f>ROUNDDOWN(중기경비목록!I5, 0)</f>
        <v>59020</v>
      </c>
      <c r="H58" s="8">
        <f>ROUNDDOWN(D58*G58, 1)</f>
        <v>354120</v>
      </c>
      <c r="I58" s="8">
        <f>ROUNDDOWN(중기경비목록!K5, 0)</f>
        <v>27120</v>
      </c>
      <c r="J58" s="8">
        <f>ROUNDDOWN(D58*I58, 1)</f>
        <v>162720</v>
      </c>
      <c r="K58" s="8">
        <f>E58+G58+I58</f>
        <v>109974</v>
      </c>
      <c r="L58" s="8">
        <f>F58+H58+J58</f>
        <v>659844</v>
      </c>
      <c r="M58" s="5" t="s">
        <v>389</v>
      </c>
      <c r="P58" s="10" t="s">
        <v>361</v>
      </c>
      <c r="Q58">
        <v>1</v>
      </c>
    </row>
    <row r="59" spans="1:19" ht="21.9" customHeight="1" x14ac:dyDescent="0.4">
      <c r="A59" s="5" t="s">
        <v>311</v>
      </c>
      <c r="B59" s="5" t="s">
        <v>307</v>
      </c>
      <c r="C59" s="6" t="s">
        <v>308</v>
      </c>
      <c r="D59" s="8">
        <v>0.75</v>
      </c>
      <c r="E59" s="8">
        <v>0</v>
      </c>
      <c r="F59" s="8">
        <f>ROUNDDOWN(D59*E59, 1)</f>
        <v>0</v>
      </c>
      <c r="G59" s="8">
        <f>ROUNDDOWN(단가대비표!N146, 0)</f>
        <v>172068</v>
      </c>
      <c r="H59" s="8">
        <f>ROUNDDOWN(D59*G59, 1)</f>
        <v>129051</v>
      </c>
      <c r="I59" s="8">
        <v>0</v>
      </c>
      <c r="J59" s="8">
        <f>ROUNDDOWN(D59*I59, 1)</f>
        <v>0</v>
      </c>
      <c r="K59" s="8">
        <f>E59+G59+I59</f>
        <v>172068</v>
      </c>
      <c r="L59" s="8">
        <f>F59+H59+J59</f>
        <v>129051</v>
      </c>
      <c r="M59" s="7"/>
      <c r="O59" s="10" t="s">
        <v>371</v>
      </c>
      <c r="P59" s="10" t="s">
        <v>361</v>
      </c>
      <c r="Q59">
        <v>1</v>
      </c>
    </row>
    <row r="60" spans="1:19" ht="21.9" customHeight="1" x14ac:dyDescent="0.4">
      <c r="A60" s="12" t="s">
        <v>372</v>
      </c>
      <c r="B60" s="13"/>
      <c r="C60" s="14"/>
      <c r="D60" s="15"/>
      <c r="E60" s="15"/>
      <c r="F60" s="15">
        <f>ROUNDDOWN(SUMIF(Q58:Q59, "1", F58:F59), 0)</f>
        <v>143004</v>
      </c>
      <c r="G60" s="15"/>
      <c r="H60" s="15">
        <f>ROUNDDOWN(SUMIF(Q58:Q59, "1", H58:H59), 0)</f>
        <v>483171</v>
      </c>
      <c r="I60" s="15"/>
      <c r="J60" s="15">
        <f>ROUNDDOWN(SUMIF(Q58:Q59, "1", J58:J59), 0)</f>
        <v>162720</v>
      </c>
      <c r="K60" s="15"/>
      <c r="L60" s="15">
        <f>F60+H60+J60</f>
        <v>788895</v>
      </c>
      <c r="M60" s="13"/>
    </row>
    <row r="61" spans="1:19" ht="21.9" customHeight="1" x14ac:dyDescent="0.4">
      <c r="A61" s="7"/>
      <c r="B61" s="7"/>
      <c r="C61" s="9"/>
      <c r="D61" s="8"/>
      <c r="E61" s="8"/>
      <c r="F61" s="8"/>
      <c r="G61" s="8"/>
      <c r="H61" s="8"/>
      <c r="I61" s="8"/>
      <c r="J61" s="8"/>
      <c r="K61" s="8"/>
      <c r="L61" s="8"/>
      <c r="M61" s="7"/>
    </row>
    <row r="62" spans="1:19" ht="21.9" customHeight="1" x14ac:dyDescent="0.4">
      <c r="A62" s="61" t="s">
        <v>507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11" t="s">
        <v>508</v>
      </c>
    </row>
    <row r="63" spans="1:19" ht="21.9" customHeight="1" x14ac:dyDescent="0.4">
      <c r="A63" s="5" t="s">
        <v>509</v>
      </c>
      <c r="B63" s="5" t="s">
        <v>142</v>
      </c>
      <c r="C63" s="6" t="s">
        <v>38</v>
      </c>
      <c r="D63" s="8">
        <v>1</v>
      </c>
      <c r="E63" s="8">
        <f>ROUNDDOWN(단가대비표!N60, 0)</f>
        <v>1000</v>
      </c>
      <c r="F63" s="8">
        <f>ROUNDDOWN(D63*E63, 1)</f>
        <v>1000</v>
      </c>
      <c r="G63" s="8">
        <v>0</v>
      </c>
      <c r="H63" s="8">
        <f>ROUNDDOWN(D63*G63, 1)</f>
        <v>0</v>
      </c>
      <c r="I63" s="8">
        <v>0</v>
      </c>
      <c r="J63" s="8">
        <f>ROUNDDOWN(D63*I63, 1)</f>
        <v>0</v>
      </c>
      <c r="K63" s="8">
        <f t="shared" ref="K63:L65" si="4">E63+G63+I63</f>
        <v>1000</v>
      </c>
      <c r="L63" s="8">
        <f t="shared" si="4"/>
        <v>1000</v>
      </c>
      <c r="M63" s="7"/>
      <c r="O63" s="10" t="s">
        <v>364</v>
      </c>
      <c r="P63" s="10" t="s">
        <v>361</v>
      </c>
      <c r="Q63">
        <v>1</v>
      </c>
    </row>
    <row r="64" spans="1:19" ht="21.9" customHeight="1" x14ac:dyDescent="0.4">
      <c r="A64" s="5" t="s">
        <v>316</v>
      </c>
      <c r="B64" s="5" t="s">
        <v>307</v>
      </c>
      <c r="C64" s="6" t="s">
        <v>308</v>
      </c>
      <c r="D64" s="8">
        <v>1.9E-2</v>
      </c>
      <c r="E64" s="8">
        <v>0</v>
      </c>
      <c r="F64" s="8">
        <f>ROUNDDOWN(D64*E64, 1)</f>
        <v>0</v>
      </c>
      <c r="G64" s="8">
        <f>ROUNDDOWN(단가대비표!N149, 0)</f>
        <v>304156</v>
      </c>
      <c r="H64" s="8">
        <f>ROUNDDOWN(D64*G64, 1)</f>
        <v>5778.9</v>
      </c>
      <c r="I64" s="8">
        <v>0</v>
      </c>
      <c r="J64" s="8">
        <f>ROUNDDOWN(D64*I64, 1)</f>
        <v>0</v>
      </c>
      <c r="K64" s="8">
        <f t="shared" si="4"/>
        <v>304156</v>
      </c>
      <c r="L64" s="8">
        <f t="shared" si="4"/>
        <v>5778.9</v>
      </c>
      <c r="M64" s="7"/>
      <c r="O64" s="10" t="s">
        <v>364</v>
      </c>
      <c r="P64" s="10" t="s">
        <v>361</v>
      </c>
      <c r="Q64">
        <v>1</v>
      </c>
    </row>
    <row r="65" spans="1:19" ht="21.9" customHeight="1" x14ac:dyDescent="0.4">
      <c r="A65" s="5" t="s">
        <v>483</v>
      </c>
      <c r="B65" s="7" t="str">
        <f>"인력품의 " &amp; N65*100 &amp; "%"</f>
        <v>인력품의 3%</v>
      </c>
      <c r="C65" s="6" t="s">
        <v>51</v>
      </c>
      <c r="D65" s="8">
        <v>1</v>
      </c>
      <c r="E65" s="8">
        <f>SUMIF(O63:O65, "01", H63:H65)</f>
        <v>5778.9</v>
      </c>
      <c r="F65" s="8">
        <f>ROUNDDOWN((E65)*N65, 1)</f>
        <v>173.3</v>
      </c>
      <c r="G65" s="8">
        <v>0</v>
      </c>
      <c r="H65" s="8">
        <v>0</v>
      </c>
      <c r="I65" s="8">
        <v>0</v>
      </c>
      <c r="J65" s="8">
        <v>0</v>
      </c>
      <c r="K65" s="8">
        <f t="shared" si="4"/>
        <v>5778.9</v>
      </c>
      <c r="L65" s="8">
        <f t="shared" si="4"/>
        <v>173.3</v>
      </c>
      <c r="M65" s="5" t="s">
        <v>369</v>
      </c>
      <c r="N65">
        <v>0.03</v>
      </c>
      <c r="P65" s="10" t="s">
        <v>361</v>
      </c>
      <c r="Q65">
        <v>1</v>
      </c>
      <c r="R65" s="10" t="s">
        <v>484</v>
      </c>
      <c r="S65" s="10" t="s">
        <v>368</v>
      </c>
    </row>
    <row r="66" spans="1:19" ht="21.9" customHeight="1" x14ac:dyDescent="0.4">
      <c r="A66" s="12" t="s">
        <v>372</v>
      </c>
      <c r="B66" s="13"/>
      <c r="C66" s="14"/>
      <c r="D66" s="15"/>
      <c r="E66" s="15"/>
      <c r="F66" s="15">
        <f>ROUNDDOWN(SUMIF(Q63:Q65, "1", F63:F65), 0)</f>
        <v>1173</v>
      </c>
      <c r="G66" s="15"/>
      <c r="H66" s="15">
        <f>ROUNDDOWN(SUMIF(Q63:Q65, "1", H63:H65), 0)</f>
        <v>5778</v>
      </c>
      <c r="I66" s="15"/>
      <c r="J66" s="15">
        <f>ROUNDDOWN(SUMIF(Q63:Q65, "1", J63:J65), 0)</f>
        <v>0</v>
      </c>
      <c r="K66" s="15"/>
      <c r="L66" s="15">
        <f>F66+H66+J66</f>
        <v>6951</v>
      </c>
      <c r="M66" s="13"/>
    </row>
    <row r="67" spans="1:19" ht="21.9" customHeight="1" x14ac:dyDescent="0.4">
      <c r="A67" s="7"/>
      <c r="B67" s="7"/>
      <c r="C67" s="9"/>
      <c r="D67" s="8"/>
      <c r="E67" s="8"/>
      <c r="F67" s="8"/>
      <c r="G67" s="8"/>
      <c r="H67" s="8"/>
      <c r="I67" s="8"/>
      <c r="J67" s="8"/>
      <c r="K67" s="8"/>
      <c r="L67" s="8"/>
      <c r="M67" s="7"/>
    </row>
    <row r="68" spans="1:19" ht="21.9" customHeight="1" x14ac:dyDescent="0.4">
      <c r="A68" s="61" t="s">
        <v>510</v>
      </c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11" t="s">
        <v>508</v>
      </c>
    </row>
    <row r="69" spans="1:19" ht="21.9" customHeight="1" x14ac:dyDescent="0.4">
      <c r="A69" s="5" t="s">
        <v>509</v>
      </c>
      <c r="B69" s="5" t="s">
        <v>141</v>
      </c>
      <c r="C69" s="6" t="s">
        <v>38</v>
      </c>
      <c r="D69" s="8">
        <v>1</v>
      </c>
      <c r="E69" s="8">
        <f>ROUNDDOWN(단가대비표!N59, 0)</f>
        <v>495</v>
      </c>
      <c r="F69" s="8">
        <f>ROUNDDOWN(D69*E69, 1)</f>
        <v>495</v>
      </c>
      <c r="G69" s="8">
        <v>0</v>
      </c>
      <c r="H69" s="8">
        <f>ROUNDDOWN(D69*G69, 1)</f>
        <v>0</v>
      </c>
      <c r="I69" s="8">
        <v>0</v>
      </c>
      <c r="J69" s="8">
        <f>ROUNDDOWN(D69*I69, 1)</f>
        <v>0</v>
      </c>
      <c r="K69" s="8">
        <f t="shared" ref="K69:L71" si="5">E69+G69+I69</f>
        <v>495</v>
      </c>
      <c r="L69" s="8">
        <f t="shared" si="5"/>
        <v>495</v>
      </c>
      <c r="M69" s="7"/>
      <c r="O69" s="10" t="s">
        <v>364</v>
      </c>
      <c r="P69" s="10" t="s">
        <v>361</v>
      </c>
      <c r="Q69">
        <v>1</v>
      </c>
    </row>
    <row r="70" spans="1:19" ht="21.9" customHeight="1" x14ac:dyDescent="0.4">
      <c r="A70" s="5" t="s">
        <v>316</v>
      </c>
      <c r="B70" s="5" t="s">
        <v>307</v>
      </c>
      <c r="C70" s="6" t="s">
        <v>308</v>
      </c>
      <c r="D70" s="8">
        <v>1.9E-2</v>
      </c>
      <c r="E70" s="8">
        <v>0</v>
      </c>
      <c r="F70" s="8">
        <f>ROUNDDOWN(D70*E70, 1)</f>
        <v>0</v>
      </c>
      <c r="G70" s="8">
        <f>ROUNDDOWN(단가대비표!N149, 0)</f>
        <v>304156</v>
      </c>
      <c r="H70" s="8">
        <f>ROUNDDOWN(D70*G70, 1)</f>
        <v>5778.9</v>
      </c>
      <c r="I70" s="8">
        <v>0</v>
      </c>
      <c r="J70" s="8">
        <f>ROUNDDOWN(D70*I70, 1)</f>
        <v>0</v>
      </c>
      <c r="K70" s="8">
        <f t="shared" si="5"/>
        <v>304156</v>
      </c>
      <c r="L70" s="8">
        <f t="shared" si="5"/>
        <v>5778.9</v>
      </c>
      <c r="M70" s="7"/>
      <c r="O70" s="10" t="s">
        <v>364</v>
      </c>
      <c r="P70" s="10" t="s">
        <v>361</v>
      </c>
      <c r="Q70">
        <v>1</v>
      </c>
    </row>
    <row r="71" spans="1:19" ht="21.9" customHeight="1" x14ac:dyDescent="0.4">
      <c r="A71" s="5" t="s">
        <v>483</v>
      </c>
      <c r="B71" s="7" t="str">
        <f>"인력품의 " &amp; N71*100 &amp; "%"</f>
        <v>인력품의 3%</v>
      </c>
      <c r="C71" s="6" t="s">
        <v>51</v>
      </c>
      <c r="D71" s="8">
        <v>1</v>
      </c>
      <c r="E71" s="8">
        <f>SUMIF(O69:O71, "01", H69:H71)</f>
        <v>5778.9</v>
      </c>
      <c r="F71" s="8">
        <f>ROUNDDOWN((E71)*N71, 1)</f>
        <v>173.3</v>
      </c>
      <c r="G71" s="8">
        <v>0</v>
      </c>
      <c r="H71" s="8">
        <v>0</v>
      </c>
      <c r="I71" s="8">
        <v>0</v>
      </c>
      <c r="J71" s="8">
        <v>0</v>
      </c>
      <c r="K71" s="8">
        <f t="shared" si="5"/>
        <v>5778.9</v>
      </c>
      <c r="L71" s="8">
        <f t="shared" si="5"/>
        <v>173.3</v>
      </c>
      <c r="M71" s="5" t="s">
        <v>369</v>
      </c>
      <c r="N71">
        <v>0.03</v>
      </c>
      <c r="P71" s="10" t="s">
        <v>361</v>
      </c>
      <c r="Q71">
        <v>1</v>
      </c>
      <c r="R71" s="10" t="s">
        <v>484</v>
      </c>
      <c r="S71" s="10" t="s">
        <v>368</v>
      </c>
    </row>
    <row r="72" spans="1:19" ht="21.9" customHeight="1" x14ac:dyDescent="0.4">
      <c r="A72" s="12" t="s">
        <v>372</v>
      </c>
      <c r="B72" s="13"/>
      <c r="C72" s="14"/>
      <c r="D72" s="15"/>
      <c r="E72" s="15"/>
      <c r="F72" s="15">
        <f>ROUNDDOWN(SUMIF(Q69:Q71, "1", F69:F71), 0)</f>
        <v>668</v>
      </c>
      <c r="G72" s="15"/>
      <c r="H72" s="15">
        <f>ROUNDDOWN(SUMIF(Q69:Q71, "1", H69:H71), 0)</f>
        <v>5778</v>
      </c>
      <c r="I72" s="15"/>
      <c r="J72" s="15">
        <f>ROUNDDOWN(SUMIF(Q69:Q71, "1", J69:J71), 0)</f>
        <v>0</v>
      </c>
      <c r="K72" s="15"/>
      <c r="L72" s="15">
        <f>F72+H72+J72</f>
        <v>6446</v>
      </c>
      <c r="M72" s="13"/>
    </row>
    <row r="73" spans="1:19" ht="21.9" customHeight="1" x14ac:dyDescent="0.4">
      <c r="A73" s="7"/>
      <c r="B73" s="7"/>
      <c r="C73" s="9"/>
      <c r="D73" s="8"/>
      <c r="E73" s="8"/>
      <c r="F73" s="8"/>
      <c r="G73" s="8"/>
      <c r="H73" s="8"/>
      <c r="I73" s="8"/>
      <c r="J73" s="8"/>
      <c r="K73" s="8"/>
      <c r="L73" s="8"/>
      <c r="M73" s="7"/>
    </row>
    <row r="74" spans="1:19" ht="21.9" customHeight="1" x14ac:dyDescent="0.4">
      <c r="A74" s="61" t="s">
        <v>511</v>
      </c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11" t="s">
        <v>508</v>
      </c>
    </row>
    <row r="75" spans="1:19" ht="21.9" customHeight="1" x14ac:dyDescent="0.4">
      <c r="A75" s="5" t="s">
        <v>509</v>
      </c>
      <c r="B75" s="5" t="s">
        <v>136</v>
      </c>
      <c r="C75" s="6" t="s">
        <v>38</v>
      </c>
      <c r="D75" s="8">
        <v>1</v>
      </c>
      <c r="E75" s="8">
        <f>ROUNDDOWN(단가대비표!N58, 0)</f>
        <v>730</v>
      </c>
      <c r="F75" s="8">
        <f>ROUNDDOWN(D75*E75, 1)</f>
        <v>730</v>
      </c>
      <c r="G75" s="8">
        <v>0</v>
      </c>
      <c r="H75" s="8">
        <f>ROUNDDOWN(D75*G75, 1)</f>
        <v>0</v>
      </c>
      <c r="I75" s="8">
        <v>0</v>
      </c>
      <c r="J75" s="8">
        <f>ROUNDDOWN(D75*I75, 1)</f>
        <v>0</v>
      </c>
      <c r="K75" s="8">
        <f t="shared" ref="K75:L77" si="6">E75+G75+I75</f>
        <v>730</v>
      </c>
      <c r="L75" s="8">
        <f t="shared" si="6"/>
        <v>730</v>
      </c>
      <c r="M75" s="7"/>
      <c r="O75" s="10" t="s">
        <v>364</v>
      </c>
      <c r="P75" s="10" t="s">
        <v>361</v>
      </c>
      <c r="Q75">
        <v>1</v>
      </c>
    </row>
    <row r="76" spans="1:19" ht="21.9" customHeight="1" x14ac:dyDescent="0.4">
      <c r="A76" s="5" t="s">
        <v>316</v>
      </c>
      <c r="B76" s="5" t="s">
        <v>307</v>
      </c>
      <c r="C76" s="6" t="s">
        <v>308</v>
      </c>
      <c r="D76" s="8">
        <v>1.4E-2</v>
      </c>
      <c r="E76" s="8">
        <v>0</v>
      </c>
      <c r="F76" s="8">
        <f>ROUNDDOWN(D76*E76, 1)</f>
        <v>0</v>
      </c>
      <c r="G76" s="8">
        <f>ROUNDDOWN(단가대비표!N149, 0)</f>
        <v>304156</v>
      </c>
      <c r="H76" s="8">
        <f>ROUNDDOWN(D76*G76, 1)</f>
        <v>4258.1000000000004</v>
      </c>
      <c r="I76" s="8">
        <v>0</v>
      </c>
      <c r="J76" s="8">
        <f>ROUNDDOWN(D76*I76, 1)</f>
        <v>0</v>
      </c>
      <c r="K76" s="8">
        <f t="shared" si="6"/>
        <v>304156</v>
      </c>
      <c r="L76" s="8">
        <f t="shared" si="6"/>
        <v>4258.1000000000004</v>
      </c>
      <c r="M76" s="7"/>
      <c r="O76" s="10" t="s">
        <v>364</v>
      </c>
      <c r="P76" s="10" t="s">
        <v>361</v>
      </c>
      <c r="Q76">
        <v>1</v>
      </c>
    </row>
    <row r="77" spans="1:19" ht="21.9" customHeight="1" x14ac:dyDescent="0.4">
      <c r="A77" s="5" t="s">
        <v>483</v>
      </c>
      <c r="B77" s="7" t="str">
        <f>"인력품의 " &amp; N77*100 &amp; "%"</f>
        <v>인력품의 3%</v>
      </c>
      <c r="C77" s="6" t="s">
        <v>51</v>
      </c>
      <c r="D77" s="8">
        <v>1</v>
      </c>
      <c r="E77" s="8">
        <f>SUMIF(O75:O77, "01", H75:H77)</f>
        <v>4258.1000000000004</v>
      </c>
      <c r="F77" s="8">
        <f>ROUNDDOWN((E77)*N77, 1)</f>
        <v>127.7</v>
      </c>
      <c r="G77" s="8">
        <v>0</v>
      </c>
      <c r="H77" s="8">
        <v>0</v>
      </c>
      <c r="I77" s="8">
        <v>0</v>
      </c>
      <c r="J77" s="8">
        <v>0</v>
      </c>
      <c r="K77" s="8">
        <f t="shared" si="6"/>
        <v>4258.1000000000004</v>
      </c>
      <c r="L77" s="8">
        <f t="shared" si="6"/>
        <v>127.7</v>
      </c>
      <c r="M77" s="5" t="s">
        <v>369</v>
      </c>
      <c r="N77">
        <v>0.03</v>
      </c>
      <c r="P77" s="10" t="s">
        <v>361</v>
      </c>
      <c r="Q77">
        <v>1</v>
      </c>
      <c r="R77" s="10" t="s">
        <v>484</v>
      </c>
      <c r="S77" s="10" t="s">
        <v>368</v>
      </c>
    </row>
    <row r="78" spans="1:19" ht="21.9" customHeight="1" x14ac:dyDescent="0.4">
      <c r="A78" s="12" t="s">
        <v>372</v>
      </c>
      <c r="B78" s="13"/>
      <c r="C78" s="14"/>
      <c r="D78" s="15"/>
      <c r="E78" s="15"/>
      <c r="F78" s="15">
        <f>ROUNDDOWN(SUMIF(Q75:Q77, "1", F75:F77), 0)</f>
        <v>857</v>
      </c>
      <c r="G78" s="15"/>
      <c r="H78" s="15">
        <f>ROUNDDOWN(SUMIF(Q75:Q77, "1", H75:H77), 0)</f>
        <v>4258</v>
      </c>
      <c r="I78" s="15"/>
      <c r="J78" s="15">
        <f>ROUNDDOWN(SUMIF(Q75:Q77, "1", J75:J77), 0)</f>
        <v>0</v>
      </c>
      <c r="K78" s="15"/>
      <c r="L78" s="15">
        <f>F78+H78+J78</f>
        <v>5115</v>
      </c>
      <c r="M78" s="13"/>
    </row>
    <row r="79" spans="1:19" ht="21.9" customHeight="1" x14ac:dyDescent="0.4">
      <c r="A79" s="7"/>
      <c r="B79" s="7"/>
      <c r="C79" s="9"/>
      <c r="D79" s="8"/>
      <c r="E79" s="8"/>
      <c r="F79" s="8"/>
      <c r="G79" s="8"/>
      <c r="H79" s="8"/>
      <c r="I79" s="8"/>
      <c r="J79" s="8"/>
      <c r="K79" s="8"/>
      <c r="L79" s="8"/>
      <c r="M79" s="7"/>
    </row>
    <row r="80" spans="1:19" ht="21.9" customHeight="1" x14ac:dyDescent="0.4">
      <c r="A80" s="7"/>
      <c r="B80" s="7"/>
      <c r="C80" s="9"/>
      <c r="D80" s="8"/>
      <c r="E80" s="8"/>
      <c r="F80" s="8"/>
      <c r="G80" s="8"/>
      <c r="H80" s="8"/>
      <c r="I80" s="8"/>
      <c r="J80" s="8"/>
      <c r="K80" s="8"/>
      <c r="L80" s="8"/>
      <c r="M80" s="7"/>
    </row>
    <row r="81" spans="1:20" ht="21.9" customHeight="1" x14ac:dyDescent="0.4">
      <c r="A81" s="61" t="s">
        <v>512</v>
      </c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11" t="s">
        <v>513</v>
      </c>
    </row>
    <row r="82" spans="1:20" ht="21.9" customHeight="1" x14ac:dyDescent="0.4">
      <c r="A82" s="5" t="s">
        <v>217</v>
      </c>
      <c r="B82" s="5" t="s">
        <v>218</v>
      </c>
      <c r="C82" s="6" t="s">
        <v>78</v>
      </c>
      <c r="D82" s="8">
        <v>1</v>
      </c>
      <c r="E82" s="8">
        <f>ROUNDDOWN(단가대비표!N97, 0)</f>
        <v>3620</v>
      </c>
      <c r="F82" s="8">
        <f>ROUNDDOWN(D82*E82, 1)</f>
        <v>3620</v>
      </c>
      <c r="G82" s="8">
        <v>0</v>
      </c>
      <c r="H82" s="8">
        <f>ROUNDDOWN(D82*G82, 1)</f>
        <v>0</v>
      </c>
      <c r="I82" s="8">
        <v>0</v>
      </c>
      <c r="J82" s="8">
        <f>ROUNDDOWN(D82*I82, 1)</f>
        <v>0</v>
      </c>
      <c r="K82" s="8">
        <f t="shared" ref="K82:L86" si="7">E82+G82+I82</f>
        <v>3620</v>
      </c>
      <c r="L82" s="8">
        <f t="shared" si="7"/>
        <v>3620</v>
      </c>
      <c r="M82" s="5" t="s">
        <v>222</v>
      </c>
      <c r="O82" s="10" t="s">
        <v>364</v>
      </c>
      <c r="P82" s="10" t="s">
        <v>361</v>
      </c>
      <c r="Q82">
        <v>1</v>
      </c>
    </row>
    <row r="83" spans="1:20" ht="21.9" customHeight="1" x14ac:dyDescent="0.4">
      <c r="A83" s="5" t="s">
        <v>217</v>
      </c>
      <c r="B83" s="5" t="s">
        <v>218</v>
      </c>
      <c r="C83" s="6" t="s">
        <v>78</v>
      </c>
      <c r="D83" s="8">
        <v>7.4999999999999997E-2</v>
      </c>
      <c r="E83" s="8">
        <f>ROUNDDOWN(단가대비표!N97, 0)</f>
        <v>3620</v>
      </c>
      <c r="F83" s="8">
        <f>ROUNDDOWN(D83*E83, 1)</f>
        <v>271.5</v>
      </c>
      <c r="G83" s="8">
        <v>0</v>
      </c>
      <c r="H83" s="8">
        <f>ROUNDDOWN(D83*G83, 1)</f>
        <v>0</v>
      </c>
      <c r="I83" s="8">
        <v>0</v>
      </c>
      <c r="J83" s="8">
        <f>ROUNDDOWN(D83*I83, 1)</f>
        <v>0</v>
      </c>
      <c r="K83" s="8">
        <f t="shared" si="7"/>
        <v>3620</v>
      </c>
      <c r="L83" s="8">
        <f t="shared" si="7"/>
        <v>271.5</v>
      </c>
      <c r="M83" s="5" t="s">
        <v>222</v>
      </c>
      <c r="O83" s="10" t="s">
        <v>487</v>
      </c>
      <c r="P83" s="10" t="s">
        <v>361</v>
      </c>
      <c r="Q83">
        <v>1</v>
      </c>
    </row>
    <row r="84" spans="1:20" ht="21.9" customHeight="1" x14ac:dyDescent="0.4">
      <c r="A84" s="5" t="s">
        <v>504</v>
      </c>
      <c r="B84" s="7" t="str">
        <f>"배관배선의 " &amp; N84*100 &amp; "%"</f>
        <v>배관배선의 2%</v>
      </c>
      <c r="C84" s="6" t="s">
        <v>51</v>
      </c>
      <c r="D84" s="8">
        <v>1</v>
      </c>
      <c r="E84" s="8">
        <f>SUMIF(O82:O86, "01", F82:F86)</f>
        <v>3620</v>
      </c>
      <c r="F84" s="8">
        <f>ROUNDDOWN((E84)*N84, 1)</f>
        <v>72.400000000000006</v>
      </c>
      <c r="G84" s="8">
        <v>0</v>
      </c>
      <c r="H84" s="8">
        <v>0</v>
      </c>
      <c r="I84" s="8">
        <v>0</v>
      </c>
      <c r="J84" s="8">
        <v>0</v>
      </c>
      <c r="K84" s="8">
        <f t="shared" si="7"/>
        <v>3620</v>
      </c>
      <c r="L84" s="8">
        <f t="shared" si="7"/>
        <v>72.400000000000006</v>
      </c>
      <c r="M84" s="7"/>
      <c r="N84">
        <v>0.02</v>
      </c>
      <c r="P84" s="10" t="s">
        <v>361</v>
      </c>
      <c r="Q84">
        <v>1</v>
      </c>
      <c r="R84" s="10" t="s">
        <v>367</v>
      </c>
      <c r="S84" s="10" t="s">
        <v>368</v>
      </c>
    </row>
    <row r="85" spans="1:20" ht="21.9" customHeight="1" x14ac:dyDescent="0.4">
      <c r="A85" s="5" t="s">
        <v>320</v>
      </c>
      <c r="B85" s="5" t="s">
        <v>307</v>
      </c>
      <c r="C85" s="6" t="s">
        <v>308</v>
      </c>
      <c r="D85" s="8">
        <v>3.4000000000000002E-2</v>
      </c>
      <c r="E85" s="8">
        <v>0</v>
      </c>
      <c r="F85" s="8">
        <f>ROUNDDOWN(D85*E85, 1)</f>
        <v>0</v>
      </c>
      <c r="G85" s="8">
        <f>ROUNDDOWN(단가대비표!N153, 0)</f>
        <v>436224</v>
      </c>
      <c r="H85" s="8">
        <f>ROUNDDOWN(D85*G85, 1)</f>
        <v>14831.6</v>
      </c>
      <c r="I85" s="8">
        <v>0</v>
      </c>
      <c r="J85" s="8">
        <f>ROUNDDOWN(D85*I85, 1)</f>
        <v>0</v>
      </c>
      <c r="K85" s="8">
        <f t="shared" si="7"/>
        <v>436224</v>
      </c>
      <c r="L85" s="8">
        <f t="shared" si="7"/>
        <v>14831.6</v>
      </c>
      <c r="M85" s="7"/>
      <c r="O85" s="10" t="s">
        <v>371</v>
      </c>
      <c r="P85" s="10" t="s">
        <v>361</v>
      </c>
      <c r="Q85">
        <v>1</v>
      </c>
    </row>
    <row r="86" spans="1:20" ht="21.9" customHeight="1" x14ac:dyDescent="0.4">
      <c r="A86" s="5" t="s">
        <v>483</v>
      </c>
      <c r="B86" s="7" t="str">
        <f>"인력품의 " &amp; N86*100 &amp; "%"</f>
        <v>인력품의 3%</v>
      </c>
      <c r="C86" s="6" t="s">
        <v>51</v>
      </c>
      <c r="D86" s="8">
        <v>1</v>
      </c>
      <c r="E86" s="8">
        <f>SUMIF(O82:O86, "02", H82:H86)</f>
        <v>14831.6</v>
      </c>
      <c r="F86" s="8">
        <f>ROUNDDOWN((E86)*N86, 1)</f>
        <v>444.9</v>
      </c>
      <c r="G86" s="8">
        <v>0</v>
      </c>
      <c r="H86" s="8">
        <v>0</v>
      </c>
      <c r="I86" s="8">
        <v>0</v>
      </c>
      <c r="J86" s="8">
        <v>0</v>
      </c>
      <c r="K86" s="8">
        <f t="shared" si="7"/>
        <v>14831.6</v>
      </c>
      <c r="L86" s="8">
        <f t="shared" si="7"/>
        <v>444.9</v>
      </c>
      <c r="M86" s="5" t="s">
        <v>369</v>
      </c>
      <c r="N86">
        <v>0.03</v>
      </c>
      <c r="P86" s="10" t="s">
        <v>361</v>
      </c>
      <c r="Q86">
        <v>1</v>
      </c>
      <c r="R86" s="10" t="s">
        <v>484</v>
      </c>
      <c r="S86" s="10" t="s">
        <v>485</v>
      </c>
    </row>
    <row r="87" spans="1:20" ht="21.9" customHeight="1" x14ac:dyDescent="0.4">
      <c r="A87" s="12" t="s">
        <v>372</v>
      </c>
      <c r="B87" s="13"/>
      <c r="C87" s="14"/>
      <c r="D87" s="15"/>
      <c r="E87" s="15"/>
      <c r="F87" s="15">
        <f>ROUNDDOWN(SUMIF(Q82:Q86, "1", F82:F86), 0)</f>
        <v>4408</v>
      </c>
      <c r="G87" s="15"/>
      <c r="H87" s="15">
        <f>ROUNDDOWN(SUMIF(Q82:Q86, "1", H82:H86), 0)</f>
        <v>14831</v>
      </c>
      <c r="I87" s="15"/>
      <c r="J87" s="15">
        <f>ROUNDDOWN(SUMIF(Q82:Q86, "1", J82:J86), 0)</f>
        <v>0</v>
      </c>
      <c r="K87" s="15"/>
      <c r="L87" s="15">
        <f>F87+H87+J87</f>
        <v>19239</v>
      </c>
      <c r="M87" s="13"/>
    </row>
    <row r="88" spans="1:20" ht="21.9" customHeight="1" x14ac:dyDescent="0.4">
      <c r="A88" s="7"/>
      <c r="B88" s="7"/>
      <c r="C88" s="9"/>
      <c r="D88" s="8"/>
      <c r="E88" s="8"/>
      <c r="F88" s="8"/>
      <c r="G88" s="8"/>
      <c r="H88" s="8"/>
      <c r="I88" s="8"/>
      <c r="J88" s="8"/>
      <c r="K88" s="8"/>
      <c r="L88" s="8"/>
      <c r="M88" s="7"/>
    </row>
    <row r="89" spans="1:20" ht="21.9" customHeight="1" x14ac:dyDescent="0.4">
      <c r="A89" s="61" t="s">
        <v>514</v>
      </c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11" t="s">
        <v>515</v>
      </c>
    </row>
    <row r="90" spans="1:20" ht="21.9" customHeight="1" x14ac:dyDescent="0.4">
      <c r="A90" s="5" t="s">
        <v>322</v>
      </c>
      <c r="B90" s="5" t="s">
        <v>307</v>
      </c>
      <c r="C90" s="6" t="s">
        <v>308</v>
      </c>
      <c r="D90" s="8">
        <v>0.1</v>
      </c>
      <c r="E90" s="8">
        <v>0</v>
      </c>
      <c r="F90" s="8">
        <f>ROUNDDOWN(D90*E90, 1)</f>
        <v>0</v>
      </c>
      <c r="G90" s="8">
        <f>ROUNDDOWN(단가대비표!N155, 0)</f>
        <v>275790</v>
      </c>
      <c r="H90" s="8">
        <f>ROUNDDOWN(D90*G90, 1)</f>
        <v>27579</v>
      </c>
      <c r="I90" s="8">
        <v>0</v>
      </c>
      <c r="J90" s="8">
        <f>ROUNDDOWN(D90*I90, 1)</f>
        <v>0</v>
      </c>
      <c r="K90" s="8">
        <f t="shared" ref="K90:L92" si="8">E90+G90+I90</f>
        <v>275790</v>
      </c>
      <c r="L90" s="8">
        <f t="shared" si="8"/>
        <v>27579</v>
      </c>
      <c r="M90" s="7"/>
      <c r="O90" s="10" t="s">
        <v>364</v>
      </c>
      <c r="P90" s="10" t="s">
        <v>361</v>
      </c>
      <c r="Q90">
        <v>1</v>
      </c>
    </row>
    <row r="91" spans="1:20" ht="21.9" customHeight="1" x14ac:dyDescent="0.4">
      <c r="A91" s="5" t="s">
        <v>311</v>
      </c>
      <c r="B91" s="5" t="s">
        <v>307</v>
      </c>
      <c r="C91" s="6" t="s">
        <v>308</v>
      </c>
      <c r="D91" s="8">
        <v>0.04</v>
      </c>
      <c r="E91" s="8">
        <v>0</v>
      </c>
      <c r="F91" s="8">
        <f>ROUNDDOWN(D91*E91, 1)</f>
        <v>0</v>
      </c>
      <c r="G91" s="8">
        <f>ROUNDDOWN(단가대비표!N146, 0)</f>
        <v>172068</v>
      </c>
      <c r="H91" s="8">
        <f>ROUNDDOWN(D91*G91, 1)</f>
        <v>6882.7</v>
      </c>
      <c r="I91" s="8">
        <v>0</v>
      </c>
      <c r="J91" s="8">
        <f>ROUNDDOWN(D91*I91, 1)</f>
        <v>0</v>
      </c>
      <c r="K91" s="8">
        <f t="shared" si="8"/>
        <v>172068</v>
      </c>
      <c r="L91" s="8">
        <f t="shared" si="8"/>
        <v>6882.7</v>
      </c>
      <c r="M91" s="7"/>
      <c r="O91" s="10" t="s">
        <v>364</v>
      </c>
      <c r="P91" s="10" t="s">
        <v>361</v>
      </c>
      <c r="Q91">
        <v>1</v>
      </c>
    </row>
    <row r="92" spans="1:20" ht="21.9" customHeight="1" x14ac:dyDescent="0.4">
      <c r="A92" s="5" t="s">
        <v>483</v>
      </c>
      <c r="B92" s="7" t="str">
        <f>"노무비의 " &amp; N92*100 &amp; "%"</f>
        <v>노무비의 1%</v>
      </c>
      <c r="C92" s="6" t="s">
        <v>51</v>
      </c>
      <c r="D92" s="8">
        <v>1</v>
      </c>
      <c r="E92" s="8">
        <f>SUMIF(O90:O92, "01", H90:H92)</f>
        <v>34461.699999999997</v>
      </c>
      <c r="F92" s="8">
        <f>ROUNDDOWN((E92)*N92, 1)</f>
        <v>344.6</v>
      </c>
      <c r="G92" s="8">
        <v>0</v>
      </c>
      <c r="H92" s="8">
        <v>0</v>
      </c>
      <c r="I92" s="8">
        <v>0</v>
      </c>
      <c r="J92" s="8">
        <v>0</v>
      </c>
      <c r="K92" s="8">
        <f t="shared" si="8"/>
        <v>34461.699999999997</v>
      </c>
      <c r="L92" s="8">
        <f t="shared" si="8"/>
        <v>344.6</v>
      </c>
      <c r="M92" s="5" t="s">
        <v>369</v>
      </c>
      <c r="N92">
        <v>0.01</v>
      </c>
      <c r="P92" s="10" t="s">
        <v>361</v>
      </c>
      <c r="Q92">
        <v>1</v>
      </c>
      <c r="R92" s="10" t="s">
        <v>484</v>
      </c>
      <c r="S92" s="10" t="s">
        <v>368</v>
      </c>
    </row>
    <row r="93" spans="1:20" ht="21.9" customHeight="1" x14ac:dyDescent="0.4">
      <c r="A93" s="12" t="s">
        <v>372</v>
      </c>
      <c r="B93" s="13"/>
      <c r="C93" s="14"/>
      <c r="D93" s="15"/>
      <c r="E93" s="15"/>
      <c r="F93" s="15">
        <f>ROUNDDOWN(SUMIF(Q90:Q92, "1", F90:F92), 0)</f>
        <v>344</v>
      </c>
      <c r="G93" s="15"/>
      <c r="H93" s="15">
        <f>ROUNDDOWN(SUMIF(Q90:Q92, "1", H90:H92), 0)</f>
        <v>34461</v>
      </c>
      <c r="I93" s="15"/>
      <c r="J93" s="15">
        <f>ROUNDDOWN(SUMIF(Q90:Q92, "1", J90:J92), 0)</f>
        <v>0</v>
      </c>
      <c r="K93" s="15"/>
      <c r="L93" s="15">
        <f>F93+H93+J93</f>
        <v>34805</v>
      </c>
      <c r="M93" s="13"/>
    </row>
    <row r="94" spans="1:20" ht="21.9" customHeight="1" x14ac:dyDescent="0.4">
      <c r="A94" s="7"/>
      <c r="B94" s="7"/>
      <c r="C94" s="9"/>
      <c r="D94" s="8"/>
      <c r="E94" s="8"/>
      <c r="F94" s="8"/>
      <c r="G94" s="8"/>
      <c r="H94" s="8"/>
      <c r="I94" s="8"/>
      <c r="J94" s="8"/>
      <c r="K94" s="8"/>
      <c r="L94" s="8"/>
      <c r="M94" s="7"/>
    </row>
    <row r="95" spans="1:20" ht="21.9" customHeight="1" x14ac:dyDescent="0.4">
      <c r="A95" s="61" t="s">
        <v>516</v>
      </c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11" t="s">
        <v>517</v>
      </c>
    </row>
    <row r="96" spans="1:20" ht="21.9" customHeight="1" x14ac:dyDescent="0.4">
      <c r="A96" s="5" t="s">
        <v>518</v>
      </c>
      <c r="B96" s="5" t="s">
        <v>519</v>
      </c>
      <c r="C96" s="6" t="s">
        <v>472</v>
      </c>
      <c r="D96" s="8">
        <v>1</v>
      </c>
      <c r="E96" s="8">
        <f>ROUNDDOWN(일위대가목록!G18, 0)</f>
        <v>344</v>
      </c>
      <c r="F96" s="8">
        <f>ROUNDDOWN(D96*E96, 1)</f>
        <v>344</v>
      </c>
      <c r="G96" s="8">
        <f>ROUNDDOWN(일위대가목록!I18, 0)</f>
        <v>34461</v>
      </c>
      <c r="H96" s="8">
        <f>ROUNDDOWN(D96*G96, 1)</f>
        <v>34461</v>
      </c>
      <c r="I96" s="8">
        <f>ROUNDDOWN(일위대가목록!K18, 2)</f>
        <v>0</v>
      </c>
      <c r="J96" s="8">
        <f>ROUNDDOWN(D96*I96, 1)</f>
        <v>0</v>
      </c>
      <c r="K96" s="8">
        <f>E96+G96+I96</f>
        <v>34805</v>
      </c>
      <c r="L96" s="8">
        <f>F96+H96+J96</f>
        <v>34805</v>
      </c>
      <c r="M96" s="5" t="s">
        <v>520</v>
      </c>
      <c r="O96" s="10" t="s">
        <v>487</v>
      </c>
      <c r="P96" s="10" t="s">
        <v>361</v>
      </c>
      <c r="Q96">
        <v>1</v>
      </c>
      <c r="T96" s="10" t="s">
        <v>521</v>
      </c>
    </row>
    <row r="97" spans="1:19" ht="21.9" customHeight="1" x14ac:dyDescent="0.4">
      <c r="A97" s="12" t="s">
        <v>372</v>
      </c>
      <c r="B97" s="13"/>
      <c r="C97" s="14"/>
      <c r="D97" s="15"/>
      <c r="E97" s="15"/>
      <c r="F97" s="15">
        <f>ROUNDDOWN(SUMIF(Q96:Q96, "1", F96:F96), 0)</f>
        <v>344</v>
      </c>
      <c r="G97" s="15"/>
      <c r="H97" s="15">
        <f>ROUNDDOWN(SUMIF(Q96:Q96, "1", H96:H96), 0)</f>
        <v>34461</v>
      </c>
      <c r="I97" s="15"/>
      <c r="J97" s="15">
        <f>ROUNDDOWN(SUMIF(Q96:Q96, "1", J96:J96), 0)</f>
        <v>0</v>
      </c>
      <c r="K97" s="15"/>
      <c r="L97" s="15">
        <f>F97+H97+J97</f>
        <v>34805</v>
      </c>
      <c r="M97" s="13"/>
    </row>
    <row r="98" spans="1:19" ht="21.9" customHeight="1" x14ac:dyDescent="0.4">
      <c r="A98" s="7"/>
      <c r="B98" s="7"/>
      <c r="C98" s="9"/>
      <c r="D98" s="8"/>
      <c r="E98" s="8"/>
      <c r="F98" s="8"/>
      <c r="G98" s="8"/>
      <c r="H98" s="8"/>
      <c r="I98" s="8"/>
      <c r="J98" s="8"/>
      <c r="K98" s="8"/>
      <c r="L98" s="8"/>
      <c r="M98" s="7"/>
    </row>
    <row r="99" spans="1:19" ht="21.9" customHeight="1" x14ac:dyDescent="0.4">
      <c r="A99" s="7"/>
      <c r="B99" s="7"/>
      <c r="C99" s="9"/>
      <c r="D99" s="8"/>
      <c r="E99" s="8"/>
      <c r="F99" s="8"/>
      <c r="G99" s="8"/>
      <c r="H99" s="8"/>
      <c r="I99" s="8"/>
      <c r="J99" s="8"/>
      <c r="K99" s="8"/>
      <c r="L99" s="8"/>
      <c r="M99" s="7"/>
    </row>
    <row r="100" spans="1:19" ht="21.9" customHeight="1" x14ac:dyDescent="0.4">
      <c r="A100" s="61" t="s">
        <v>522</v>
      </c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11" t="s">
        <v>523</v>
      </c>
    </row>
    <row r="101" spans="1:19" ht="21.9" customHeight="1" x14ac:dyDescent="0.4">
      <c r="A101" s="5" t="s">
        <v>321</v>
      </c>
      <c r="B101" s="5" t="s">
        <v>307</v>
      </c>
      <c r="C101" s="6" t="s">
        <v>308</v>
      </c>
      <c r="D101" s="8">
        <v>8.3000000000000001E-4</v>
      </c>
      <c r="E101" s="8">
        <v>0</v>
      </c>
      <c r="F101" s="8">
        <f>ROUNDDOWN(D101*E101, 1)</f>
        <v>0</v>
      </c>
      <c r="G101" s="8">
        <f>ROUNDDOWN(단가대비표!N154, 0)</f>
        <v>226122</v>
      </c>
      <c r="H101" s="8">
        <f>ROUNDDOWN(D101*G101, 1)</f>
        <v>187.6</v>
      </c>
      <c r="I101" s="8">
        <v>0</v>
      </c>
      <c r="J101" s="8">
        <f>ROUNDDOWN(D101*I101, 1)</f>
        <v>0</v>
      </c>
      <c r="K101" s="8">
        <f t="shared" ref="K101:L104" si="9">E101+G101+I101</f>
        <v>226122</v>
      </c>
      <c r="L101" s="8">
        <f t="shared" si="9"/>
        <v>187.6</v>
      </c>
      <c r="M101" s="7"/>
      <c r="O101" s="10" t="s">
        <v>364</v>
      </c>
      <c r="P101" s="10" t="s">
        <v>361</v>
      </c>
      <c r="Q101">
        <v>1</v>
      </c>
    </row>
    <row r="102" spans="1:19" ht="21.9" customHeight="1" x14ac:dyDescent="0.4">
      <c r="A102" s="5" t="s">
        <v>311</v>
      </c>
      <c r="B102" s="5" t="s">
        <v>307</v>
      </c>
      <c r="C102" s="6" t="s">
        <v>308</v>
      </c>
      <c r="D102" s="8">
        <v>2.7999999999999998E-4</v>
      </c>
      <c r="E102" s="8">
        <v>0</v>
      </c>
      <c r="F102" s="8">
        <f>ROUNDDOWN(D102*E102, 1)</f>
        <v>0</v>
      </c>
      <c r="G102" s="8">
        <f>ROUNDDOWN(단가대비표!N146, 0)</f>
        <v>172068</v>
      </c>
      <c r="H102" s="8">
        <f>ROUNDDOWN(D102*G102, 1)</f>
        <v>48.1</v>
      </c>
      <c r="I102" s="8">
        <v>0</v>
      </c>
      <c r="J102" s="8">
        <f>ROUNDDOWN(D102*I102, 1)</f>
        <v>0</v>
      </c>
      <c r="K102" s="8">
        <f t="shared" si="9"/>
        <v>172068</v>
      </c>
      <c r="L102" s="8">
        <f t="shared" si="9"/>
        <v>48.1</v>
      </c>
      <c r="M102" s="7"/>
      <c r="O102" s="10" t="s">
        <v>364</v>
      </c>
      <c r="P102" s="10" t="s">
        <v>361</v>
      </c>
      <c r="Q102">
        <v>1</v>
      </c>
    </row>
    <row r="103" spans="1:19" ht="21.9" customHeight="1" x14ac:dyDescent="0.4">
      <c r="A103" s="5" t="s">
        <v>483</v>
      </c>
      <c r="B103" s="7" t="str">
        <f>"노무비의 " &amp; N103*100 &amp; "%"</f>
        <v>노무비의 4%</v>
      </c>
      <c r="C103" s="6" t="s">
        <v>51</v>
      </c>
      <c r="D103" s="8">
        <v>1</v>
      </c>
      <c r="E103" s="8">
        <f>SUMIF(O101:O104, "01", H101:H104)</f>
        <v>235.7</v>
      </c>
      <c r="F103" s="8">
        <f>ROUNDDOWN((E103)*N103, 1)</f>
        <v>9.4</v>
      </c>
      <c r="G103" s="8">
        <v>0</v>
      </c>
      <c r="H103" s="8">
        <v>0</v>
      </c>
      <c r="I103" s="8">
        <v>0</v>
      </c>
      <c r="J103" s="8">
        <v>0</v>
      </c>
      <c r="K103" s="8">
        <f t="shared" si="9"/>
        <v>235.7</v>
      </c>
      <c r="L103" s="8">
        <f t="shared" si="9"/>
        <v>9.4</v>
      </c>
      <c r="M103" s="5" t="s">
        <v>369</v>
      </c>
      <c r="N103">
        <v>0.04</v>
      </c>
      <c r="P103" s="10" t="s">
        <v>361</v>
      </c>
      <c r="Q103">
        <v>1</v>
      </c>
      <c r="R103" s="10" t="s">
        <v>484</v>
      </c>
      <c r="S103" s="10" t="s">
        <v>368</v>
      </c>
    </row>
    <row r="104" spans="1:19" ht="21.9" customHeight="1" x14ac:dyDescent="0.4">
      <c r="A104" s="5" t="s">
        <v>393</v>
      </c>
      <c r="B104" s="5" t="s">
        <v>402</v>
      </c>
      <c r="C104" s="6" t="s">
        <v>391</v>
      </c>
      <c r="D104" s="8">
        <v>2.2200000000000002E-3</v>
      </c>
      <c r="E104" s="8">
        <f>ROUNDDOWN(중기경비목록!G10, 0)</f>
        <v>20013</v>
      </c>
      <c r="F104" s="8">
        <f>ROUNDDOWN(D104*E104, 1)</f>
        <v>44.4</v>
      </c>
      <c r="G104" s="8">
        <f>ROUNDDOWN(중기경비목록!I10, 0)</f>
        <v>59020</v>
      </c>
      <c r="H104" s="8">
        <f>ROUNDDOWN(D104*G104, 1)</f>
        <v>131</v>
      </c>
      <c r="I104" s="8">
        <f>ROUNDDOWN(중기경비목록!K10, 0)</f>
        <v>17514</v>
      </c>
      <c r="J104" s="8">
        <f>ROUNDDOWN(D104*I104, 1)</f>
        <v>38.799999999999997</v>
      </c>
      <c r="K104" s="8">
        <f t="shared" si="9"/>
        <v>96547</v>
      </c>
      <c r="L104" s="8">
        <f t="shared" si="9"/>
        <v>214.2</v>
      </c>
      <c r="M104" s="5" t="s">
        <v>401</v>
      </c>
      <c r="O104" s="10" t="s">
        <v>487</v>
      </c>
      <c r="P104" s="10" t="s">
        <v>361</v>
      </c>
      <c r="Q104">
        <v>1</v>
      </c>
    </row>
    <row r="105" spans="1:19" ht="21.9" customHeight="1" x14ac:dyDescent="0.4">
      <c r="A105" s="12" t="s">
        <v>372</v>
      </c>
      <c r="B105" s="13"/>
      <c r="C105" s="14"/>
      <c r="D105" s="15"/>
      <c r="E105" s="15"/>
      <c r="F105" s="15">
        <f>ROUNDDOWN(SUMIF(Q101:Q104, "1", F101:F104), 0)</f>
        <v>53</v>
      </c>
      <c r="G105" s="15"/>
      <c r="H105" s="15">
        <f>ROUNDDOWN(SUMIF(Q101:Q104, "1", H101:H104), 0)</f>
        <v>366</v>
      </c>
      <c r="I105" s="15"/>
      <c r="J105" s="15">
        <f>ROUNDDOWN(SUMIF(Q101:Q104, "1", J101:J104), 0)</f>
        <v>38</v>
      </c>
      <c r="K105" s="15"/>
      <c r="L105" s="15">
        <f>F105+H105+J105</f>
        <v>457</v>
      </c>
      <c r="M105" s="13"/>
    </row>
    <row r="106" spans="1:19" ht="21.9" customHeight="1" x14ac:dyDescent="0.4">
      <c r="A106" s="7"/>
      <c r="B106" s="7"/>
      <c r="C106" s="9"/>
      <c r="D106" s="8"/>
      <c r="E106" s="8"/>
      <c r="F106" s="8"/>
      <c r="G106" s="8"/>
      <c r="H106" s="8"/>
      <c r="I106" s="8"/>
      <c r="J106" s="8"/>
      <c r="K106" s="8"/>
      <c r="L106" s="8"/>
      <c r="M106" s="7"/>
    </row>
  </sheetData>
  <mergeCells count="27">
    <mergeCell ref="A74:L74"/>
    <mergeCell ref="A81:L81"/>
    <mergeCell ref="A89:L89"/>
    <mergeCell ref="A95:L95"/>
    <mergeCell ref="A100:L100"/>
    <mergeCell ref="A68:L68"/>
    <mergeCell ref="K3:L3"/>
    <mergeCell ref="A5:L5"/>
    <mergeCell ref="A15:L15"/>
    <mergeCell ref="A21:L21"/>
    <mergeCell ref="A28:L28"/>
    <mergeCell ref="A33:L33"/>
    <mergeCell ref="A38:L38"/>
    <mergeCell ref="A43:L43"/>
    <mergeCell ref="A52:L52"/>
    <mergeCell ref="A57:L57"/>
    <mergeCell ref="A62:L62"/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</mergeCells>
  <phoneticPr fontId="1" type="noConversion"/>
  <conditionalFormatting sqref="A5 M5 A6:M106">
    <cfRule type="containsText" dxfId="11" priority="1" stopIfTrue="1" operator="containsText" text=".">
      <formula>NOT(ISERROR(SEARCH(".",A5)))</formula>
    </cfRule>
    <cfRule type="notContainsText" dxfId="10" priority="2" stopIfTrue="1" operator="notContains" text=".">
      <formula>ISERROR(SEARCH(".",A5))</formula>
    </cfRule>
  </conditionalFormatting>
  <printOptions horizontalCentered="1"/>
  <pageMargins left="0.70866141732283472" right="0.19685039370078741" top="0.59055118110236227" bottom="0.35433070866141736" header="0.31496062992125984" footer="0.15748031496062992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19D86"/>
  </sheetPr>
  <dimension ref="A1:R23"/>
  <sheetViews>
    <sheetView view="pageBreakPreview" zoomScaleNormal="100" zoomScaleSheetLayoutView="100" workbookViewId="0">
      <pane xSplit="4" ySplit="4" topLeftCell="E5" activePane="bottomRight" state="frozen"/>
      <selection activeCell="F32" sqref="F32"/>
      <selection pane="topRight" activeCell="F32" sqref="F32"/>
      <selection pane="bottomLeft" activeCell="F32" sqref="F32"/>
      <selection pane="bottomRight" activeCell="F32" sqref="F32"/>
    </sheetView>
  </sheetViews>
  <sheetFormatPr defaultRowHeight="17.399999999999999" x14ac:dyDescent="0.4"/>
  <cols>
    <col min="1" max="1" width="6.59765625" style="1" customWidth="1"/>
    <col min="2" max="2" width="16.59765625" style="1" customWidth="1"/>
    <col min="3" max="3" width="19.59765625" style="1" customWidth="1"/>
    <col min="4" max="5" width="3.59765625" style="2" customWidth="1"/>
    <col min="6" max="6" width="6.59765625" style="3" customWidth="1"/>
    <col min="7" max="7" width="8.59765625" style="3" customWidth="1"/>
    <col min="8" max="8" width="6.59765625" style="3" customWidth="1"/>
    <col min="9" max="9" width="8.59765625" style="3" customWidth="1"/>
    <col min="10" max="10" width="6.59765625" style="3" customWidth="1"/>
    <col min="11" max="11" width="8.59765625" style="3" customWidth="1"/>
    <col min="12" max="12" width="7.59765625" style="3" customWidth="1"/>
    <col min="13" max="13" width="10.59765625" style="3" customWidth="1"/>
    <col min="14" max="14" width="11.59765625" style="1" customWidth="1"/>
    <col min="15" max="18" width="9" hidden="1" customWidth="1"/>
  </cols>
  <sheetData>
    <row r="1" spans="1:15" ht="30" customHeight="1" x14ac:dyDescent="0.4">
      <c r="A1" s="37" t="s">
        <v>456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5" ht="21.9" customHeight="1" x14ac:dyDescent="0.4">
      <c r="A2" s="38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5" ht="21.9" customHeight="1" x14ac:dyDescent="0.4">
      <c r="A3" s="46" t="s">
        <v>383</v>
      </c>
      <c r="B3" s="46" t="s">
        <v>457</v>
      </c>
      <c r="C3" s="46" t="s">
        <v>458</v>
      </c>
      <c r="D3" s="46" t="s">
        <v>4</v>
      </c>
      <c r="E3" s="46" t="s">
        <v>384</v>
      </c>
      <c r="F3" s="46" t="s">
        <v>385</v>
      </c>
      <c r="G3" s="46"/>
      <c r="H3" s="46" t="s">
        <v>386</v>
      </c>
      <c r="I3" s="46"/>
      <c r="J3" s="46" t="s">
        <v>387</v>
      </c>
      <c r="K3" s="46"/>
      <c r="L3" s="46" t="s">
        <v>388</v>
      </c>
      <c r="M3" s="46"/>
      <c r="N3" s="46" t="s">
        <v>347</v>
      </c>
    </row>
    <row r="4" spans="1:15" ht="21.9" customHeight="1" x14ac:dyDescent="0.4">
      <c r="A4" s="46"/>
      <c r="B4" s="46"/>
      <c r="C4" s="46"/>
      <c r="D4" s="46"/>
      <c r="E4" s="46"/>
      <c r="F4" s="4" t="s">
        <v>348</v>
      </c>
      <c r="G4" s="4" t="s">
        <v>349</v>
      </c>
      <c r="H4" s="4" t="s">
        <v>348</v>
      </c>
      <c r="I4" s="4" t="s">
        <v>349</v>
      </c>
      <c r="J4" s="4" t="s">
        <v>348</v>
      </c>
      <c r="K4" s="4" t="s">
        <v>349</v>
      </c>
      <c r="L4" s="4" t="s">
        <v>348</v>
      </c>
      <c r="M4" s="4" t="s">
        <v>349</v>
      </c>
      <c r="N4" s="46"/>
      <c r="O4" t="s">
        <v>15</v>
      </c>
    </row>
    <row r="5" spans="1:15" ht="21.9" customHeight="1" x14ac:dyDescent="0.4">
      <c r="A5" s="5" t="s">
        <v>459</v>
      </c>
      <c r="B5" s="5" t="s">
        <v>460</v>
      </c>
      <c r="C5" s="5" t="s">
        <v>461</v>
      </c>
      <c r="D5" s="6" t="s">
        <v>462</v>
      </c>
      <c r="E5" s="9">
        <v>1</v>
      </c>
      <c r="F5" s="8">
        <f>단가산출서!B21</f>
        <v>391</v>
      </c>
      <c r="G5" s="8">
        <f>E5*F5</f>
        <v>391</v>
      </c>
      <c r="H5" s="8">
        <f>단가산출서!C21</f>
        <v>9931</v>
      </c>
      <c r="I5" s="8">
        <f>E5*H5</f>
        <v>9931</v>
      </c>
      <c r="J5" s="8">
        <f>단가산출서!D21</f>
        <v>409</v>
      </c>
      <c r="K5" s="8">
        <f>E5*J5</f>
        <v>409</v>
      </c>
      <c r="L5" s="8">
        <f t="shared" ref="L5:M8" si="0">F5+H5+J5</f>
        <v>10731</v>
      </c>
      <c r="M5" s="8">
        <f t="shared" si="0"/>
        <v>10731</v>
      </c>
      <c r="N5" s="5" t="s">
        <v>407</v>
      </c>
    </row>
    <row r="6" spans="1:15" ht="21.9" customHeight="1" x14ac:dyDescent="0.4">
      <c r="A6" s="5" t="s">
        <v>463</v>
      </c>
      <c r="B6" s="5" t="s">
        <v>464</v>
      </c>
      <c r="C6" s="5" t="s">
        <v>465</v>
      </c>
      <c r="D6" s="6" t="s">
        <v>462</v>
      </c>
      <c r="E6" s="9">
        <v>1</v>
      </c>
      <c r="F6" s="8">
        <f>단가산출서!B62</f>
        <v>2245</v>
      </c>
      <c r="G6" s="8">
        <f>E6*F6</f>
        <v>2245</v>
      </c>
      <c r="H6" s="8">
        <f>단가산출서!C62</f>
        <v>3950</v>
      </c>
      <c r="I6" s="8">
        <f>E6*H6</f>
        <v>3950</v>
      </c>
      <c r="J6" s="8">
        <f>단가산출서!D62</f>
        <v>1490</v>
      </c>
      <c r="K6" s="8">
        <f>E6*J6</f>
        <v>1490</v>
      </c>
      <c r="L6" s="8">
        <f t="shared" si="0"/>
        <v>7685</v>
      </c>
      <c r="M6" s="8">
        <f t="shared" si="0"/>
        <v>7685</v>
      </c>
      <c r="N6" s="5" t="s">
        <v>419</v>
      </c>
      <c r="O6" s="10" t="s">
        <v>466</v>
      </c>
    </row>
    <row r="7" spans="1:15" ht="21.9" customHeight="1" x14ac:dyDescent="0.4">
      <c r="A7" s="5" t="s">
        <v>467</v>
      </c>
      <c r="B7" s="5" t="s">
        <v>468</v>
      </c>
      <c r="C7" s="5" t="s">
        <v>469</v>
      </c>
      <c r="D7" s="6" t="s">
        <v>462</v>
      </c>
      <c r="E7" s="9">
        <v>1</v>
      </c>
      <c r="F7" s="8">
        <f>단가산출서!B91</f>
        <v>718</v>
      </c>
      <c r="G7" s="8">
        <f>E7*F7</f>
        <v>718</v>
      </c>
      <c r="H7" s="8">
        <f>단가산출서!C91</f>
        <v>9438</v>
      </c>
      <c r="I7" s="8">
        <f>E7*H7</f>
        <v>9438</v>
      </c>
      <c r="J7" s="8">
        <f>단가산출서!D91</f>
        <v>601</v>
      </c>
      <c r="K7" s="8">
        <f>E7*J7</f>
        <v>601</v>
      </c>
      <c r="L7" s="8">
        <f t="shared" si="0"/>
        <v>10757</v>
      </c>
      <c r="M7" s="8">
        <f t="shared" si="0"/>
        <v>10757</v>
      </c>
      <c r="N7" s="5" t="s">
        <v>438</v>
      </c>
    </row>
    <row r="8" spans="1:15" ht="21.9" customHeight="1" x14ac:dyDescent="0.4">
      <c r="A8" s="5" t="s">
        <v>470</v>
      </c>
      <c r="B8" s="5" t="s">
        <v>471</v>
      </c>
      <c r="C8" s="5" t="s">
        <v>359</v>
      </c>
      <c r="D8" s="6" t="s">
        <v>472</v>
      </c>
      <c r="E8" s="9">
        <v>1</v>
      </c>
      <c r="F8" s="8">
        <f>단가산출서!B108</f>
        <v>53</v>
      </c>
      <c r="G8" s="8">
        <f>E8*F8</f>
        <v>53</v>
      </c>
      <c r="H8" s="8">
        <f>단가산출서!C108</f>
        <v>366</v>
      </c>
      <c r="I8" s="8">
        <f>E8*H8</f>
        <v>366</v>
      </c>
      <c r="J8" s="8">
        <f>단가산출서!D108</f>
        <v>38</v>
      </c>
      <c r="K8" s="8">
        <f>E8*J8</f>
        <v>38</v>
      </c>
      <c r="L8" s="8">
        <f t="shared" si="0"/>
        <v>457</v>
      </c>
      <c r="M8" s="8">
        <f t="shared" si="0"/>
        <v>457</v>
      </c>
      <c r="N8" s="7"/>
      <c r="O8" s="10" t="s">
        <v>473</v>
      </c>
    </row>
    <row r="9" spans="1:15" ht="21.9" customHeight="1" x14ac:dyDescent="0.4">
      <c r="A9" s="7"/>
      <c r="B9" s="7"/>
      <c r="C9" s="7"/>
      <c r="D9" s="9"/>
      <c r="E9" s="9"/>
      <c r="F9" s="8"/>
      <c r="G9" s="8"/>
      <c r="H9" s="8"/>
      <c r="I9" s="8"/>
      <c r="J9" s="8"/>
      <c r="K9" s="8"/>
      <c r="L9" s="8"/>
      <c r="M9" s="8"/>
      <c r="N9" s="7"/>
    </row>
    <row r="10" spans="1:15" ht="21.9" customHeight="1" x14ac:dyDescent="0.4">
      <c r="A10" s="7"/>
      <c r="B10" s="7"/>
      <c r="C10" s="7"/>
      <c r="D10" s="9"/>
      <c r="E10" s="9"/>
      <c r="F10" s="8"/>
      <c r="G10" s="8"/>
      <c r="H10" s="8"/>
      <c r="I10" s="8"/>
      <c r="J10" s="8"/>
      <c r="K10" s="8"/>
      <c r="L10" s="8"/>
      <c r="M10" s="8"/>
      <c r="N10" s="7"/>
    </row>
    <row r="11" spans="1:15" ht="21.9" customHeight="1" x14ac:dyDescent="0.4">
      <c r="A11" s="7"/>
      <c r="B11" s="7"/>
      <c r="C11" s="7"/>
      <c r="D11" s="9"/>
      <c r="E11" s="9"/>
      <c r="F11" s="8"/>
      <c r="G11" s="8"/>
      <c r="H11" s="8"/>
      <c r="I11" s="8"/>
      <c r="J11" s="8"/>
      <c r="K11" s="8"/>
      <c r="L11" s="8"/>
      <c r="M11" s="8"/>
      <c r="N11" s="7"/>
    </row>
    <row r="12" spans="1:15" ht="21.9" customHeight="1" x14ac:dyDescent="0.4">
      <c r="A12" s="7"/>
      <c r="B12" s="7"/>
      <c r="C12" s="7"/>
      <c r="D12" s="9"/>
      <c r="E12" s="9"/>
      <c r="F12" s="8"/>
      <c r="G12" s="8"/>
      <c r="H12" s="8"/>
      <c r="I12" s="8"/>
      <c r="J12" s="8"/>
      <c r="K12" s="8"/>
      <c r="L12" s="8"/>
      <c r="M12" s="8"/>
      <c r="N12" s="7"/>
    </row>
    <row r="13" spans="1:15" ht="21.9" customHeight="1" x14ac:dyDescent="0.4">
      <c r="A13" s="7"/>
      <c r="B13" s="7"/>
      <c r="C13" s="7"/>
      <c r="D13" s="9"/>
      <c r="E13" s="9"/>
      <c r="F13" s="8"/>
      <c r="G13" s="8"/>
      <c r="H13" s="8"/>
      <c r="I13" s="8"/>
      <c r="J13" s="8"/>
      <c r="K13" s="8"/>
      <c r="L13" s="8"/>
      <c r="M13" s="8"/>
      <c r="N13" s="7"/>
    </row>
    <row r="14" spans="1:15" ht="21.9" customHeight="1" x14ac:dyDescent="0.4">
      <c r="A14" s="7"/>
      <c r="B14" s="7"/>
      <c r="C14" s="7"/>
      <c r="D14" s="9"/>
      <c r="E14" s="9"/>
      <c r="F14" s="8"/>
      <c r="G14" s="8"/>
      <c r="H14" s="8"/>
      <c r="I14" s="8"/>
      <c r="J14" s="8"/>
      <c r="K14" s="8"/>
      <c r="L14" s="8"/>
      <c r="M14" s="8"/>
      <c r="N14" s="7"/>
    </row>
    <row r="15" spans="1:15" ht="21.9" customHeight="1" x14ac:dyDescent="0.4">
      <c r="A15" s="7"/>
      <c r="B15" s="7"/>
      <c r="C15" s="7"/>
      <c r="D15" s="9"/>
      <c r="E15" s="9"/>
      <c r="F15" s="8"/>
      <c r="G15" s="8"/>
      <c r="H15" s="8"/>
      <c r="I15" s="8"/>
      <c r="J15" s="8"/>
      <c r="K15" s="8"/>
      <c r="L15" s="8"/>
      <c r="M15" s="8"/>
      <c r="N15" s="7"/>
    </row>
    <row r="16" spans="1:15" ht="21.9" customHeight="1" x14ac:dyDescent="0.4">
      <c r="A16" s="7"/>
      <c r="B16" s="7"/>
      <c r="C16" s="7"/>
      <c r="D16" s="9"/>
      <c r="E16" s="9"/>
      <c r="F16" s="8"/>
      <c r="G16" s="8"/>
      <c r="H16" s="8"/>
      <c r="I16" s="8"/>
      <c r="J16" s="8"/>
      <c r="K16" s="8"/>
      <c r="L16" s="8"/>
      <c r="M16" s="8"/>
      <c r="N16" s="7"/>
    </row>
    <row r="17" spans="1:14" ht="21.9" customHeight="1" x14ac:dyDescent="0.4">
      <c r="A17" s="7"/>
      <c r="B17" s="7"/>
      <c r="C17" s="7"/>
      <c r="D17" s="9"/>
      <c r="E17" s="9"/>
      <c r="F17" s="8"/>
      <c r="G17" s="8"/>
      <c r="H17" s="8"/>
      <c r="I17" s="8"/>
      <c r="J17" s="8"/>
      <c r="K17" s="8"/>
      <c r="L17" s="8"/>
      <c r="M17" s="8"/>
      <c r="N17" s="7"/>
    </row>
    <row r="18" spans="1:14" ht="21.9" customHeight="1" x14ac:dyDescent="0.4">
      <c r="A18" s="7"/>
      <c r="B18" s="7"/>
      <c r="C18" s="7"/>
      <c r="D18" s="9"/>
      <c r="E18" s="9"/>
      <c r="F18" s="8"/>
      <c r="G18" s="8"/>
      <c r="H18" s="8"/>
      <c r="I18" s="8"/>
      <c r="J18" s="8"/>
      <c r="K18" s="8"/>
      <c r="L18" s="8"/>
      <c r="M18" s="8"/>
      <c r="N18" s="7"/>
    </row>
    <row r="19" spans="1:14" ht="21.9" customHeight="1" x14ac:dyDescent="0.4">
      <c r="A19" s="7"/>
      <c r="B19" s="7"/>
      <c r="C19" s="7"/>
      <c r="D19" s="9"/>
      <c r="E19" s="9"/>
      <c r="F19" s="8"/>
      <c r="G19" s="8"/>
      <c r="H19" s="8"/>
      <c r="I19" s="8"/>
      <c r="J19" s="8"/>
      <c r="K19" s="8"/>
      <c r="L19" s="8"/>
      <c r="M19" s="8"/>
      <c r="N19" s="7"/>
    </row>
    <row r="20" spans="1:14" ht="21.9" customHeight="1" x14ac:dyDescent="0.4">
      <c r="A20" s="7"/>
      <c r="B20" s="7"/>
      <c r="C20" s="7"/>
      <c r="D20" s="9"/>
      <c r="E20" s="9"/>
      <c r="F20" s="8"/>
      <c r="G20" s="8"/>
      <c r="H20" s="8"/>
      <c r="I20" s="8"/>
      <c r="J20" s="8"/>
      <c r="K20" s="8"/>
      <c r="L20" s="8"/>
      <c r="M20" s="8"/>
      <c r="N20" s="7"/>
    </row>
    <row r="21" spans="1:14" ht="21.9" customHeight="1" x14ac:dyDescent="0.4">
      <c r="A21" s="7"/>
      <c r="B21" s="7"/>
      <c r="C21" s="7"/>
      <c r="D21" s="9"/>
      <c r="E21" s="9"/>
      <c r="F21" s="8"/>
      <c r="G21" s="8"/>
      <c r="H21" s="8"/>
      <c r="I21" s="8"/>
      <c r="J21" s="8"/>
      <c r="K21" s="8"/>
      <c r="L21" s="8"/>
      <c r="M21" s="8"/>
      <c r="N21" s="7"/>
    </row>
    <row r="22" spans="1:14" ht="21.9" customHeight="1" x14ac:dyDescent="0.4">
      <c r="A22" s="7"/>
      <c r="B22" s="7"/>
      <c r="C22" s="7"/>
      <c r="D22" s="9"/>
      <c r="E22" s="9"/>
      <c r="F22" s="8"/>
      <c r="G22" s="8"/>
      <c r="H22" s="8"/>
      <c r="I22" s="8"/>
      <c r="J22" s="8"/>
      <c r="K22" s="8"/>
      <c r="L22" s="8"/>
      <c r="M22" s="8"/>
      <c r="N22" s="7"/>
    </row>
    <row r="23" spans="1:14" ht="21.9" customHeight="1" x14ac:dyDescent="0.4">
      <c r="A23" s="7"/>
      <c r="B23" s="7"/>
      <c r="C23" s="7"/>
      <c r="D23" s="9"/>
      <c r="E23" s="9"/>
      <c r="F23" s="8"/>
      <c r="G23" s="8"/>
      <c r="H23" s="8"/>
      <c r="I23" s="8"/>
      <c r="J23" s="8"/>
      <c r="K23" s="8"/>
      <c r="L23" s="8"/>
      <c r="M23" s="8"/>
      <c r="N23" s="7"/>
    </row>
  </sheetData>
  <mergeCells count="12">
    <mergeCell ref="J3:K3"/>
    <mergeCell ref="L3:M3"/>
    <mergeCell ref="A1:N1"/>
    <mergeCell ref="A2:N2"/>
    <mergeCell ref="A3:A4"/>
    <mergeCell ref="B3:B4"/>
    <mergeCell ref="C3:C4"/>
    <mergeCell ref="D3:D4"/>
    <mergeCell ref="E3:E4"/>
    <mergeCell ref="N3:N4"/>
    <mergeCell ref="F3:G3"/>
    <mergeCell ref="H3:I3"/>
  </mergeCells>
  <phoneticPr fontId="1" type="noConversion"/>
  <conditionalFormatting sqref="A5:N23">
    <cfRule type="containsText" dxfId="9" priority="1" stopIfTrue="1" operator="containsText" text=".">
      <formula>NOT(ISERROR(SEARCH(".",A5)))</formula>
    </cfRule>
    <cfRule type="notContainsText" dxfId="8" priority="2" stopIfTrue="1" operator="notContains" text=".">
      <formula>ISERROR(SEARCH(".",A5))</formula>
    </cfRule>
  </conditionalFormatting>
  <printOptions horizontalCentered="1"/>
  <pageMargins left="0.70866141732283472" right="0.19685039370078741" top="0.59055118110236227" bottom="0.35433070866141736" header="0.31496062992125984" footer="0.15748031496062992"/>
  <pageSetup paperSize="9" orientation="landscape" r:id="rId1"/>
  <rowBreaks count="1" manualBreakCount="1">
    <brk id="2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B7"/>
  </sheetPr>
  <dimension ref="A1:O118"/>
  <sheetViews>
    <sheetView view="pageBreakPreview" zoomScale="115" zoomScaleNormal="100" zoomScaleSheetLayoutView="115" workbookViewId="0">
      <pane xSplit="1" ySplit="4" topLeftCell="B111" activePane="bottomRight" state="frozen"/>
      <selection activeCell="F32" sqref="F32"/>
      <selection pane="topRight" activeCell="F32" sqref="F32"/>
      <selection pane="bottomLeft" activeCell="F32" sqref="F32"/>
      <selection pane="bottomRight" activeCell="A119" sqref="A119:XFD119"/>
    </sheetView>
  </sheetViews>
  <sheetFormatPr defaultRowHeight="17.399999999999999" x14ac:dyDescent="0.4"/>
  <cols>
    <col min="1" max="1" width="47.59765625" style="1" customWidth="1"/>
    <col min="2" max="3" width="12.59765625" style="3" customWidth="1"/>
    <col min="4" max="4" width="13.59765625" style="3" customWidth="1"/>
    <col min="5" max="5" width="14.59765625" style="3" customWidth="1"/>
    <col min="6" max="6" width="12.59765625" style="1" customWidth="1"/>
    <col min="7" max="15" width="9" hidden="1" customWidth="1"/>
  </cols>
  <sheetData>
    <row r="1" spans="1:15" ht="30" customHeight="1" x14ac:dyDescent="0.4">
      <c r="A1" s="37" t="s">
        <v>403</v>
      </c>
      <c r="B1" s="37"/>
      <c r="C1" s="37"/>
      <c r="D1" s="37"/>
      <c r="E1" s="37"/>
      <c r="F1" s="37"/>
    </row>
    <row r="2" spans="1:15" ht="21.9" customHeight="1" x14ac:dyDescent="0.4">
      <c r="A2" s="38" t="s">
        <v>1</v>
      </c>
      <c r="B2" s="39"/>
      <c r="C2" s="39"/>
      <c r="D2" s="39"/>
      <c r="E2" s="39"/>
      <c r="F2" s="39"/>
    </row>
    <row r="3" spans="1:15" ht="21.9" customHeight="1" x14ac:dyDescent="0.4">
      <c r="A3" s="46" t="s">
        <v>404</v>
      </c>
      <c r="B3" s="46" t="s">
        <v>385</v>
      </c>
      <c r="C3" s="46" t="s">
        <v>386</v>
      </c>
      <c r="D3" s="46" t="s">
        <v>387</v>
      </c>
      <c r="E3" s="46" t="s">
        <v>388</v>
      </c>
      <c r="F3" s="46" t="s">
        <v>405</v>
      </c>
    </row>
    <row r="4" spans="1:15" ht="21.9" customHeight="1" x14ac:dyDescent="0.4">
      <c r="A4" s="46"/>
      <c r="B4" s="46"/>
      <c r="C4" s="46"/>
      <c r="D4" s="46"/>
      <c r="E4" s="46"/>
      <c r="F4" s="46"/>
      <c r="G4" t="s">
        <v>350</v>
      </c>
      <c r="H4" t="s">
        <v>351</v>
      </c>
      <c r="I4" t="s">
        <v>352</v>
      </c>
      <c r="J4" t="s">
        <v>353</v>
      </c>
    </row>
    <row r="5" spans="1:15" ht="21.9" customHeight="1" x14ac:dyDescent="0.4">
      <c r="A5" s="63" t="s">
        <v>406</v>
      </c>
      <c r="B5" s="64"/>
      <c r="C5" s="64"/>
      <c r="D5" s="64"/>
      <c r="E5" s="65"/>
      <c r="F5" s="11" t="s">
        <v>407</v>
      </c>
    </row>
    <row r="6" spans="1:15" ht="21.9" customHeight="1" x14ac:dyDescent="0.4">
      <c r="A6" s="7" t="s">
        <v>408</v>
      </c>
      <c r="B6" s="8">
        <v>0</v>
      </c>
      <c r="C6" s="8">
        <v>0</v>
      </c>
      <c r="D6" s="8">
        <v>0</v>
      </c>
      <c r="E6" s="8">
        <v>0</v>
      </c>
      <c r="F6" s="7"/>
      <c r="J6">
        <v>0</v>
      </c>
      <c r="L6">
        <v>0</v>
      </c>
    </row>
    <row r="7" spans="1:15" ht="21.9" customHeight="1" x14ac:dyDescent="0.4">
      <c r="A7" s="7" t="s">
        <v>409</v>
      </c>
      <c r="B7" s="8"/>
      <c r="C7" s="8"/>
      <c r="D7" s="8"/>
      <c r="E7" s="8"/>
      <c r="F7" s="5" t="s">
        <v>392</v>
      </c>
      <c r="J7">
        <v>0</v>
      </c>
      <c r="L7">
        <v>1</v>
      </c>
      <c r="M7">
        <f>ROUNDDOWN(중기경비목록!G6, 0)</f>
        <v>23449</v>
      </c>
      <c r="N7">
        <f>ROUNDDOWN(중기경비목록!I6, 0)</f>
        <v>59020</v>
      </c>
      <c r="O7">
        <f>ROUNDDOWN(중기경비목록!K6, 0)</f>
        <v>24554</v>
      </c>
    </row>
    <row r="8" spans="1:15" ht="21.9" customHeight="1" x14ac:dyDescent="0.4">
      <c r="A8" s="7" t="str">
        <f>" 용량계수 : " &amp;"q9 = " &amp; L8</f>
        <v xml:space="preserve"> 용량계수 : q9 = 0.7</v>
      </c>
      <c r="B8" s="8">
        <v>0</v>
      </c>
      <c r="C8" s="8">
        <v>0</v>
      </c>
      <c r="D8" s="8">
        <v>0</v>
      </c>
      <c r="E8" s="8">
        <v>0</v>
      </c>
      <c r="F8" s="7"/>
      <c r="J8">
        <v>0</v>
      </c>
      <c r="K8" t="s">
        <v>410</v>
      </c>
      <c r="L8">
        <v>0.7</v>
      </c>
    </row>
    <row r="9" spans="1:15" ht="21.9" customHeight="1" x14ac:dyDescent="0.4">
      <c r="A9" s="7" t="str">
        <f>" 버킷계수 : " &amp;"k = " &amp; L9</f>
        <v xml:space="preserve"> 버킷계수 : k = 0.9</v>
      </c>
      <c r="B9" s="8">
        <v>0</v>
      </c>
      <c r="C9" s="8">
        <v>0</v>
      </c>
      <c r="D9" s="8">
        <v>0</v>
      </c>
      <c r="E9" s="8">
        <v>0</v>
      </c>
      <c r="F9" s="7"/>
      <c r="J9">
        <v>0</v>
      </c>
      <c r="K9" t="s">
        <v>411</v>
      </c>
      <c r="L9">
        <v>0.9</v>
      </c>
    </row>
    <row r="10" spans="1:15" ht="21.9" customHeight="1" x14ac:dyDescent="0.4">
      <c r="A10" s="7" t="str">
        <f>" 토량환산계수 : " &amp;"f = 1/((1.25+1.35)/2) = " &amp; L10</f>
        <v xml:space="preserve"> 토량환산계수 : f = 1/((1.25+1.35)/2) = 0.7692307</v>
      </c>
      <c r="B10" s="8">
        <v>0</v>
      </c>
      <c r="C10" s="8">
        <v>0</v>
      </c>
      <c r="D10" s="8">
        <v>0</v>
      </c>
      <c r="E10" s="8">
        <v>0</v>
      </c>
      <c r="F10" s="7"/>
      <c r="J10">
        <v>0</v>
      </c>
      <c r="K10" t="s">
        <v>412</v>
      </c>
      <c r="L10">
        <v>0.76923070000000004</v>
      </c>
    </row>
    <row r="11" spans="1:15" ht="21.9" customHeight="1" x14ac:dyDescent="0.4">
      <c r="A11" s="7" t="str">
        <f>" 작업효율 : " &amp;"E = 0.6-0.05 = " &amp; L11</f>
        <v xml:space="preserve"> 작업효율 : E = 0.6-0.05 = 0.55</v>
      </c>
      <c r="B11" s="8">
        <v>0</v>
      </c>
      <c r="C11" s="8">
        <v>0</v>
      </c>
      <c r="D11" s="8">
        <v>0</v>
      </c>
      <c r="E11" s="8">
        <v>0</v>
      </c>
      <c r="F11" s="7"/>
      <c r="J11">
        <v>0</v>
      </c>
      <c r="K11" t="s">
        <v>413</v>
      </c>
      <c r="L11">
        <v>0.55000000000000004</v>
      </c>
    </row>
    <row r="12" spans="1:15" ht="21.9" customHeight="1" x14ac:dyDescent="0.4">
      <c r="A12" s="7" t="str">
        <f>" 1회 사이클 시간 : " &amp;"Cm = " &amp; L12</f>
        <v xml:space="preserve"> 1회 사이클 시간 : Cm = 20</v>
      </c>
      <c r="B12" s="8">
        <v>0</v>
      </c>
      <c r="C12" s="8">
        <v>0</v>
      </c>
      <c r="D12" s="8">
        <v>0</v>
      </c>
      <c r="E12" s="8">
        <v>0</v>
      </c>
      <c r="F12" s="7"/>
      <c r="J12">
        <v>0</v>
      </c>
      <c r="K12" t="s">
        <v>414</v>
      </c>
      <c r="L12">
        <v>20</v>
      </c>
    </row>
    <row r="13" spans="1:15" ht="21.9" customHeight="1" x14ac:dyDescent="0.4">
      <c r="A13" s="7" t="str">
        <f>" 시간당작업량 : " &amp;"Q = (3600*q9*k*f*E)/Cm = " &amp; L13</f>
        <v xml:space="preserve"> 시간당작업량 : Q = (3600*q9*k*f*E)/Cm = 47.9769187</v>
      </c>
      <c r="B13" s="8">
        <v>0</v>
      </c>
      <c r="C13" s="8">
        <v>0</v>
      </c>
      <c r="D13" s="8">
        <v>0</v>
      </c>
      <c r="E13" s="8">
        <v>0</v>
      </c>
      <c r="F13" s="7"/>
      <c r="J13">
        <v>0</v>
      </c>
      <c r="K13" t="s">
        <v>415</v>
      </c>
      <c r="L13">
        <f>ROUNDDOWN((3600*L8*L9*L10*L11)/L12, 7)</f>
        <v>47.976918699999999</v>
      </c>
    </row>
    <row r="14" spans="1:15" ht="21.9" customHeight="1" x14ac:dyDescent="0.4">
      <c r="A14" s="7" t="str">
        <f>" 재료비 : " &amp; TEXT(TRUNC(M14,0), "#,##0") &amp; " / 47.9769187*0.8"</f>
        <v xml:space="preserve"> 재료비 : 23,449 / 47.9769187*0.8</v>
      </c>
      <c r="B14" s="8">
        <f>ROUNDDOWN(M7/L13*0.8, 1)</f>
        <v>391</v>
      </c>
      <c r="C14" s="8">
        <v>0</v>
      </c>
      <c r="D14" s="8">
        <v>0</v>
      </c>
      <c r="E14" s="8">
        <f>B14+C14+D14</f>
        <v>391</v>
      </c>
      <c r="F14" s="7"/>
      <c r="I14" s="10" t="s">
        <v>361</v>
      </c>
      <c r="J14">
        <v>1</v>
      </c>
      <c r="L14">
        <v>0</v>
      </c>
      <c r="M14">
        <f>M7</f>
        <v>23449</v>
      </c>
    </row>
    <row r="15" spans="1:15" ht="21.9" customHeight="1" x14ac:dyDescent="0.4">
      <c r="A15" s="7" t="str">
        <f>" 노무비 : " &amp; TEXT(TRUNC(N15,0), "#,##0") &amp; " / 47.9769187*0.8"</f>
        <v xml:space="preserve"> 노무비 : 59,020 / 47.9769187*0.8</v>
      </c>
      <c r="B15" s="8">
        <v>0</v>
      </c>
      <c r="C15" s="8">
        <f>ROUNDDOWN(N7/L13*0.8, 1)</f>
        <v>984.1</v>
      </c>
      <c r="D15" s="8">
        <v>0</v>
      </c>
      <c r="E15" s="8">
        <f>B15+C15+D15</f>
        <v>984.1</v>
      </c>
      <c r="F15" s="7"/>
      <c r="I15" s="10" t="s">
        <v>361</v>
      </c>
      <c r="J15">
        <v>1</v>
      </c>
      <c r="L15">
        <v>0</v>
      </c>
      <c r="N15">
        <f>N7</f>
        <v>59020</v>
      </c>
    </row>
    <row r="16" spans="1:15" ht="21.9" customHeight="1" x14ac:dyDescent="0.4">
      <c r="A16" s="7" t="str">
        <f>" 경  비 : " &amp; TEXT(TRUNC(O16,0), "#,##0") &amp; " / 47.9769187*0.8"</f>
        <v xml:space="preserve"> 경  비 : 24,554 / 47.9769187*0.8</v>
      </c>
      <c r="B16" s="8">
        <v>0</v>
      </c>
      <c r="C16" s="8">
        <v>0</v>
      </c>
      <c r="D16" s="8">
        <f>ROUNDDOWN(O7/L13*0.8, 1)</f>
        <v>409.4</v>
      </c>
      <c r="E16" s="8">
        <f>B16+C16+D16</f>
        <v>409.4</v>
      </c>
      <c r="F16" s="7"/>
      <c r="I16" s="10" t="s">
        <v>361</v>
      </c>
      <c r="J16">
        <v>1</v>
      </c>
      <c r="L16">
        <v>0</v>
      </c>
      <c r="O16">
        <f>O7</f>
        <v>24554</v>
      </c>
    </row>
    <row r="17" spans="1:15" ht="21.9" customHeight="1" x14ac:dyDescent="0.4">
      <c r="A17" s="7" t="s">
        <v>416</v>
      </c>
      <c r="B17" s="8">
        <f>SUMIF(J7:J16, "1", B7:B16)</f>
        <v>391</v>
      </c>
      <c r="C17" s="8">
        <f>SUMIF(J7:J16, "1", C7:C16)</f>
        <v>984.1</v>
      </c>
      <c r="D17" s="8">
        <f>SUMIF(J7:J16, "1", D7:D16)</f>
        <v>409.4</v>
      </c>
      <c r="E17" s="8">
        <f>B17+C17+D17</f>
        <v>1784.5</v>
      </c>
      <c r="F17" s="7"/>
      <c r="J17">
        <v>0</v>
      </c>
      <c r="L17">
        <v>0</v>
      </c>
    </row>
    <row r="18" spans="1:15" ht="21.9" customHeight="1" x14ac:dyDescent="0.4">
      <c r="A18" s="7" t="s">
        <v>417</v>
      </c>
      <c r="B18" s="8">
        <v>0</v>
      </c>
      <c r="C18" s="8">
        <v>0</v>
      </c>
      <c r="D18" s="8">
        <v>0</v>
      </c>
      <c r="E18" s="8">
        <v>0</v>
      </c>
      <c r="F18" s="7"/>
      <c r="J18">
        <v>0</v>
      </c>
      <c r="L18">
        <v>0</v>
      </c>
    </row>
    <row r="19" spans="1:15" ht="21.9" customHeight="1" x14ac:dyDescent="0.4">
      <c r="A19" s="7" t="str">
        <f>" 보통인부 일반공사 직종 인  " &amp; TEXT(TRUNC(N19,0), "#,##0") &amp; " * (0.26*0.2)"</f>
        <v xml:space="preserve"> 보통인부 일반공사 직종 인  172,068 * (0.26*0.2)</v>
      </c>
      <c r="B19" s="8">
        <v>0</v>
      </c>
      <c r="C19" s="8">
        <f>ROUNDDOWN(L19*N19, 1)</f>
        <v>8947.5</v>
      </c>
      <c r="D19" s="8">
        <v>0</v>
      </c>
      <c r="E19" s="8">
        <f>B19+C19+D19</f>
        <v>8947.5</v>
      </c>
      <c r="F19" s="7"/>
      <c r="H19" s="10" t="s">
        <v>371</v>
      </c>
      <c r="I19" s="10" t="s">
        <v>361</v>
      </c>
      <c r="J19">
        <v>1</v>
      </c>
      <c r="L19">
        <v>5.1999999999999998E-2</v>
      </c>
      <c r="M19">
        <v>0</v>
      </c>
      <c r="N19">
        <f>ROUNDDOWN(단가대비표!N146, 0)</f>
        <v>172068</v>
      </c>
      <c r="O19">
        <v>0</v>
      </c>
    </row>
    <row r="20" spans="1:15" ht="21.9" customHeight="1" x14ac:dyDescent="0.4">
      <c r="A20" s="7" t="s">
        <v>416</v>
      </c>
      <c r="B20" s="8">
        <v>0</v>
      </c>
      <c r="C20" s="8">
        <f>SUMIF(J19:J19, "1", C19:C19)</f>
        <v>8947.5</v>
      </c>
      <c r="D20" s="8">
        <v>0</v>
      </c>
      <c r="E20" s="8">
        <f>B20+C20+D20</f>
        <v>8947.5</v>
      </c>
      <c r="F20" s="7"/>
      <c r="J20">
        <v>0</v>
      </c>
      <c r="L20">
        <v>0</v>
      </c>
    </row>
    <row r="21" spans="1:15" ht="21.9" customHeight="1" x14ac:dyDescent="0.4">
      <c r="A21" s="12" t="s">
        <v>372</v>
      </c>
      <c r="B21" s="15">
        <f>ROUNDDOWN(SUMIF(J6:J20, "1", B6:B20), 0)</f>
        <v>391</v>
      </c>
      <c r="C21" s="15">
        <f>ROUNDDOWN(SUMIF(J6:J20, "1", C6:C20), 0)</f>
        <v>9931</v>
      </c>
      <c r="D21" s="15">
        <f>ROUNDDOWN(SUMIF(J6:J20, "1", D6:D20), 0)</f>
        <v>409</v>
      </c>
      <c r="E21" s="15">
        <f>B21+C21+D21</f>
        <v>10731</v>
      </c>
      <c r="F21" s="13"/>
    </row>
    <row r="22" spans="1:15" ht="21.9" customHeight="1" x14ac:dyDescent="0.4">
      <c r="A22" s="7"/>
      <c r="B22" s="8"/>
      <c r="C22" s="8"/>
      <c r="D22" s="8"/>
      <c r="E22" s="8"/>
      <c r="F22" s="7"/>
    </row>
    <row r="23" spans="1:15" ht="21.9" customHeight="1" x14ac:dyDescent="0.4">
      <c r="A23" s="7"/>
      <c r="B23" s="8"/>
      <c r="C23" s="8"/>
      <c r="D23" s="8"/>
      <c r="E23" s="8"/>
      <c r="F23" s="7"/>
    </row>
    <row r="24" spans="1:15" ht="21.9" customHeight="1" x14ac:dyDescent="0.4">
      <c r="A24" s="61" t="s">
        <v>418</v>
      </c>
      <c r="B24" s="62"/>
      <c r="C24" s="62"/>
      <c r="D24" s="62"/>
      <c r="E24" s="62"/>
      <c r="F24" s="11" t="s">
        <v>419</v>
      </c>
    </row>
    <row r="25" spans="1:15" ht="21.9" customHeight="1" x14ac:dyDescent="0.4">
      <c r="A25" s="7" t="s">
        <v>420</v>
      </c>
      <c r="B25" s="8">
        <v>0</v>
      </c>
      <c r="C25" s="8">
        <v>0</v>
      </c>
      <c r="D25" s="8">
        <v>0</v>
      </c>
      <c r="E25" s="8">
        <v>0</v>
      </c>
      <c r="F25" s="7"/>
      <c r="J25">
        <v>0</v>
      </c>
      <c r="L25">
        <v>0</v>
      </c>
    </row>
    <row r="26" spans="1:15" ht="21.9" customHeight="1" x14ac:dyDescent="0.4">
      <c r="A26" s="7" t="s">
        <v>421</v>
      </c>
      <c r="B26" s="8"/>
      <c r="C26" s="8"/>
      <c r="D26" s="8"/>
      <c r="E26" s="8"/>
      <c r="F26" s="7"/>
      <c r="J26">
        <v>0</v>
      </c>
      <c r="L26">
        <v>1</v>
      </c>
      <c r="M26">
        <v>16388</v>
      </c>
      <c r="N26">
        <v>44299</v>
      </c>
      <c r="O26">
        <v>21780</v>
      </c>
    </row>
    <row r="27" spans="1:15" ht="21.9" customHeight="1" x14ac:dyDescent="0.4">
      <c r="A27" s="7" t="str">
        <f>" 버킷용량(㎥) : " &amp;"q = " &amp; L27</f>
        <v xml:space="preserve"> 버킷용량(㎥) : q = 0.7</v>
      </c>
      <c r="B27" s="8">
        <v>0</v>
      </c>
      <c r="C27" s="8">
        <v>0</v>
      </c>
      <c r="D27" s="8">
        <v>0</v>
      </c>
      <c r="E27" s="8">
        <v>0</v>
      </c>
      <c r="F27" s="7"/>
      <c r="J27">
        <v>0</v>
      </c>
      <c r="K27" t="s">
        <v>422</v>
      </c>
      <c r="L27">
        <v>0.7</v>
      </c>
    </row>
    <row r="28" spans="1:15" ht="21.9" customHeight="1" x14ac:dyDescent="0.4">
      <c r="A28" s="7" t="str">
        <f>" 버킷계수 : " &amp;"k = " &amp; L28</f>
        <v xml:space="preserve"> 버킷계수 : k = 0.9</v>
      </c>
      <c r="B28" s="8">
        <v>0</v>
      </c>
      <c r="C28" s="8">
        <v>0</v>
      </c>
      <c r="D28" s="8">
        <v>0</v>
      </c>
      <c r="E28" s="8">
        <v>0</v>
      </c>
      <c r="F28" s="7"/>
      <c r="J28">
        <v>0</v>
      </c>
      <c r="K28" t="s">
        <v>411</v>
      </c>
      <c r="L28">
        <v>0.9</v>
      </c>
    </row>
    <row r="29" spans="1:15" ht="21.9" customHeight="1" x14ac:dyDescent="0.4">
      <c r="A29" s="7" t="str">
        <f>" 토량환산계수 : " &amp;"f = " &amp; L29</f>
        <v xml:space="preserve"> 토량환산계수 : f = 0.851</v>
      </c>
      <c r="B29" s="8">
        <v>0</v>
      </c>
      <c r="C29" s="8">
        <v>0</v>
      </c>
      <c r="D29" s="8">
        <v>0</v>
      </c>
      <c r="E29" s="8">
        <v>0</v>
      </c>
      <c r="F29" s="7"/>
      <c r="J29">
        <v>0</v>
      </c>
      <c r="K29" t="s">
        <v>412</v>
      </c>
      <c r="L29">
        <v>0.85099999999999998</v>
      </c>
    </row>
    <row r="30" spans="1:15" ht="21.9" customHeight="1" x14ac:dyDescent="0.4">
      <c r="A30" s="7" t="str">
        <f>" 작업효율 : " &amp;"E = " &amp; L30</f>
        <v xml:space="preserve"> 작업효율 : E = 0.6</v>
      </c>
      <c r="B30" s="8">
        <v>0</v>
      </c>
      <c r="C30" s="8">
        <v>0</v>
      </c>
      <c r="D30" s="8">
        <v>0</v>
      </c>
      <c r="E30" s="8">
        <v>0</v>
      </c>
      <c r="F30" s="7"/>
      <c r="J30">
        <v>0</v>
      </c>
      <c r="K30" t="s">
        <v>413</v>
      </c>
      <c r="L30">
        <v>0.6</v>
      </c>
    </row>
    <row r="31" spans="1:15" ht="21.9" customHeight="1" x14ac:dyDescent="0.4">
      <c r="A31" s="7" t="str">
        <f>" 1회사이클시간(초) : " &amp;"Cm = " &amp; L31</f>
        <v xml:space="preserve"> 1회사이클시간(초) : Cm = 20</v>
      </c>
      <c r="B31" s="8">
        <v>0</v>
      </c>
      <c r="C31" s="8">
        <v>0</v>
      </c>
      <c r="D31" s="8">
        <v>0</v>
      </c>
      <c r="E31" s="8">
        <v>0</v>
      </c>
      <c r="F31" s="7"/>
      <c r="J31">
        <v>0</v>
      </c>
      <c r="K31" t="s">
        <v>414</v>
      </c>
      <c r="L31">
        <v>20</v>
      </c>
    </row>
    <row r="32" spans="1:15" ht="21.9" customHeight="1" x14ac:dyDescent="0.4">
      <c r="A32" s="7" t="str">
        <f>" 시간당작업량(㎥/hr) : " &amp;"Q = (3600*q*k*f*E)/Cm = " &amp; L32</f>
        <v xml:space="preserve"> 시간당작업량(㎥/hr) : Q = (3600*q*k*f*E)/Cm = 57.90204</v>
      </c>
      <c r="B32" s="8">
        <v>0</v>
      </c>
      <c r="C32" s="8">
        <v>0</v>
      </c>
      <c r="D32" s="8">
        <v>0</v>
      </c>
      <c r="E32" s="8">
        <v>0</v>
      </c>
      <c r="F32" s="7"/>
      <c r="J32">
        <v>0</v>
      </c>
      <c r="K32" t="s">
        <v>415</v>
      </c>
      <c r="L32">
        <f>ROUNDDOWN((3600*L27*L28*L29*L30)/L31, 7)</f>
        <v>57.90204</v>
      </c>
    </row>
    <row r="33" spans="1:15" ht="21.9" customHeight="1" x14ac:dyDescent="0.4">
      <c r="A33" s="7" t="str">
        <f>" 재료비 : " &amp; TEXT(TRUNC(M33,0), "#,##0") &amp; " / 57.90204"</f>
        <v xml:space="preserve"> 재료비 : 16,388 / 57.90204</v>
      </c>
      <c r="B33" s="8">
        <f>ROUNDDOWN(M26/L32, 1)</f>
        <v>283</v>
      </c>
      <c r="C33" s="8">
        <v>0</v>
      </c>
      <c r="D33" s="8">
        <v>0</v>
      </c>
      <c r="E33" s="8">
        <f>B33+C33+D33</f>
        <v>283</v>
      </c>
      <c r="F33" s="7"/>
      <c r="I33" s="10" t="s">
        <v>361</v>
      </c>
      <c r="J33">
        <v>1</v>
      </c>
      <c r="L33">
        <v>0</v>
      </c>
      <c r="M33">
        <f>M26</f>
        <v>16388</v>
      </c>
    </row>
    <row r="34" spans="1:15" ht="21.9" customHeight="1" x14ac:dyDescent="0.4">
      <c r="A34" s="7" t="str">
        <f>" 노무비 : " &amp; TEXT(TRUNC(N34,0), "#,##0") &amp; " / 57.90204"</f>
        <v xml:space="preserve"> 노무비 : 44,299 / 57.90204</v>
      </c>
      <c r="B34" s="8">
        <v>0</v>
      </c>
      <c r="C34" s="8">
        <f>ROUNDDOWN(N26/L32, 1)</f>
        <v>765</v>
      </c>
      <c r="D34" s="8">
        <v>0</v>
      </c>
      <c r="E34" s="8">
        <f>B34+C34+D34</f>
        <v>765</v>
      </c>
      <c r="F34" s="7"/>
      <c r="I34" s="10" t="s">
        <v>361</v>
      </c>
      <c r="J34">
        <v>1</v>
      </c>
      <c r="L34">
        <v>0</v>
      </c>
      <c r="N34">
        <f>N26</f>
        <v>44299</v>
      </c>
    </row>
    <row r="35" spans="1:15" ht="21.9" customHeight="1" x14ac:dyDescent="0.4">
      <c r="A35" s="7" t="str">
        <f>" 경  비 : " &amp; TEXT(TRUNC(O35,0), "#,##0") &amp; " / 57.90204"</f>
        <v xml:space="preserve"> 경  비 : 21,780 / 57.90204</v>
      </c>
      <c r="B35" s="8">
        <v>0</v>
      </c>
      <c r="C35" s="8">
        <v>0</v>
      </c>
      <c r="D35" s="8">
        <f>ROUNDDOWN(O26/L32, 1)</f>
        <v>376.1</v>
      </c>
      <c r="E35" s="8">
        <f>B35+C35+D35</f>
        <v>376.1</v>
      </c>
      <c r="F35" s="7"/>
      <c r="I35" s="10" t="s">
        <v>361</v>
      </c>
      <c r="J35">
        <v>1</v>
      </c>
      <c r="L35">
        <v>0</v>
      </c>
      <c r="O35">
        <f>O26</f>
        <v>21780</v>
      </c>
    </row>
    <row r="36" spans="1:15" ht="21.9" customHeight="1" x14ac:dyDescent="0.4">
      <c r="A36" s="7" t="s">
        <v>416</v>
      </c>
      <c r="B36" s="8">
        <f>SUMIF(J26:J35, "1", B26:B35)</f>
        <v>283</v>
      </c>
      <c r="C36" s="8">
        <f>SUMIF(J26:J35, "1", C26:C35)</f>
        <v>765</v>
      </c>
      <c r="D36" s="8">
        <f>SUMIF(J26:J35, "1", D26:D35)</f>
        <v>376.1</v>
      </c>
      <c r="E36" s="8">
        <f>B36+C36+D36</f>
        <v>1424.1</v>
      </c>
      <c r="F36" s="7"/>
      <c r="J36">
        <v>0</v>
      </c>
      <c r="L36">
        <v>0</v>
      </c>
    </row>
    <row r="37" spans="1:15" ht="21.9" customHeight="1" x14ac:dyDescent="0.4">
      <c r="A37" s="7" t="s">
        <v>423</v>
      </c>
      <c r="B37" s="8">
        <v>0</v>
      </c>
      <c r="C37" s="8">
        <v>0</v>
      </c>
      <c r="D37" s="8">
        <v>0</v>
      </c>
      <c r="E37" s="8">
        <v>0</v>
      </c>
      <c r="F37" s="7"/>
      <c r="J37">
        <v>0</v>
      </c>
      <c r="L37">
        <v>0</v>
      </c>
    </row>
    <row r="38" spans="1:15" ht="21.9" customHeight="1" x14ac:dyDescent="0.4">
      <c r="A38" s="7" t="s">
        <v>424</v>
      </c>
      <c r="B38" s="8"/>
      <c r="C38" s="8"/>
      <c r="D38" s="8"/>
      <c r="E38" s="8"/>
      <c r="F38" s="5" t="s">
        <v>395</v>
      </c>
      <c r="J38">
        <v>0</v>
      </c>
      <c r="L38">
        <v>1</v>
      </c>
      <c r="M38">
        <f>ROUNDDOWN(중기경비목록!G7, 0)</f>
        <v>36357</v>
      </c>
      <c r="N38">
        <f>ROUNDDOWN(중기경비목록!I7, 0)</f>
        <v>59020</v>
      </c>
      <c r="O38">
        <f>ROUNDDOWN(중기경비목록!K7, 0)</f>
        <v>20659</v>
      </c>
    </row>
    <row r="39" spans="1:15" ht="21.9" customHeight="1" x14ac:dyDescent="0.4">
      <c r="A39" s="7" t="str">
        <f>" 운반거리(Km) : " &amp;"L = " &amp; L39</f>
        <v xml:space="preserve"> 운반거리(Km) : L = 5</v>
      </c>
      <c r="B39" s="8">
        <v>0</v>
      </c>
      <c r="C39" s="8">
        <v>0</v>
      </c>
      <c r="D39" s="8">
        <v>0</v>
      </c>
      <c r="E39" s="8">
        <v>0</v>
      </c>
      <c r="F39" s="7"/>
      <c r="J39">
        <v>0</v>
      </c>
      <c r="K39" t="s">
        <v>58</v>
      </c>
      <c r="L39">
        <v>5</v>
      </c>
    </row>
    <row r="40" spans="1:15" ht="21.9" customHeight="1" x14ac:dyDescent="0.4">
      <c r="A40" s="7" t="str">
        <f>" 적재용량 : " &amp;"T = " &amp; L40</f>
        <v xml:space="preserve"> 적재용량 : T = 15</v>
      </c>
      <c r="B40" s="8">
        <v>0</v>
      </c>
      <c r="C40" s="8">
        <v>0</v>
      </c>
      <c r="D40" s="8">
        <v>0</v>
      </c>
      <c r="E40" s="8">
        <v>0</v>
      </c>
      <c r="F40" s="7"/>
      <c r="J40">
        <v>0</v>
      </c>
      <c r="K40" t="s">
        <v>425</v>
      </c>
      <c r="L40">
        <v>15</v>
      </c>
    </row>
    <row r="41" spans="1:15" ht="21.9" customHeight="1" x14ac:dyDescent="0.4">
      <c r="A41" s="7" t="str">
        <f>" 단위중량 : " &amp;"r1 = " &amp; L41</f>
        <v xml:space="preserve"> 단위중량 : r1 = 1.7</v>
      </c>
      <c r="B41" s="8">
        <v>0</v>
      </c>
      <c r="C41" s="8">
        <v>0</v>
      </c>
      <c r="D41" s="8">
        <v>0</v>
      </c>
      <c r="E41" s="8">
        <v>0</v>
      </c>
      <c r="F41" s="7"/>
      <c r="J41">
        <v>0</v>
      </c>
      <c r="K41" t="s">
        <v>426</v>
      </c>
      <c r="L41">
        <v>1.7</v>
      </c>
    </row>
    <row r="42" spans="1:15" ht="21.9" customHeight="1" x14ac:dyDescent="0.4">
      <c r="A42" s="7" t="str">
        <f>" 토량변화율 : " &amp;"L1 = " &amp; L42</f>
        <v xml:space="preserve"> 토량변화율 : L1 = 1.175</v>
      </c>
      <c r="B42" s="8">
        <v>0</v>
      </c>
      <c r="C42" s="8">
        <v>0</v>
      </c>
      <c r="D42" s="8">
        <v>0</v>
      </c>
      <c r="E42" s="8">
        <v>0</v>
      </c>
      <c r="F42" s="7"/>
      <c r="J42">
        <v>0</v>
      </c>
      <c r="K42" t="s">
        <v>427</v>
      </c>
      <c r="L42">
        <v>1.175</v>
      </c>
    </row>
    <row r="43" spans="1:15" ht="21.9" customHeight="1" x14ac:dyDescent="0.4">
      <c r="A43" s="7" t="str">
        <f>" 1회적재량 : " &amp;"A = T/r1*L1 = " &amp; L43</f>
        <v xml:space="preserve"> 1회적재량 : A = T/r1*L1 = 10.367647</v>
      </c>
      <c r="B43" s="8">
        <v>0</v>
      </c>
      <c r="C43" s="8">
        <v>0</v>
      </c>
      <c r="D43" s="8">
        <v>0</v>
      </c>
      <c r="E43" s="8">
        <v>0</v>
      </c>
      <c r="F43" s="7"/>
      <c r="J43">
        <v>0</v>
      </c>
      <c r="K43" t="s">
        <v>428</v>
      </c>
      <c r="L43">
        <f>ROUNDDOWN(L40/L41*L42, 7)</f>
        <v>10.367647</v>
      </c>
    </row>
    <row r="44" spans="1:15" ht="21.9" customHeight="1" x14ac:dyDescent="0.4">
      <c r="A44" s="7" t="str">
        <f>" 토량환산계수 : " &amp;"f = " &amp; L44</f>
        <v xml:space="preserve"> 토량환산계수 : f = 1</v>
      </c>
      <c r="B44" s="8">
        <v>0</v>
      </c>
      <c r="C44" s="8">
        <v>0</v>
      </c>
      <c r="D44" s="8">
        <v>0</v>
      </c>
      <c r="E44" s="8">
        <v>0</v>
      </c>
      <c r="F44" s="7"/>
      <c r="J44">
        <v>0</v>
      </c>
      <c r="K44" t="s">
        <v>412</v>
      </c>
      <c r="L44">
        <v>1</v>
      </c>
    </row>
    <row r="45" spans="1:15" ht="21.9" customHeight="1" x14ac:dyDescent="0.4">
      <c r="A45" s="7" t="str">
        <f>" 작업효율 : " &amp;"E = " &amp; L45</f>
        <v xml:space="preserve"> 작업효율 : E = 0.9</v>
      </c>
      <c r="B45" s="8">
        <v>0</v>
      </c>
      <c r="C45" s="8">
        <v>0</v>
      </c>
      <c r="D45" s="8">
        <v>0</v>
      </c>
      <c r="E45" s="8">
        <v>0</v>
      </c>
      <c r="F45" s="7"/>
      <c r="J45">
        <v>0</v>
      </c>
      <c r="K45" t="s">
        <v>413</v>
      </c>
      <c r="L45">
        <v>0.9</v>
      </c>
    </row>
    <row r="46" spans="1:15" ht="21.9" customHeight="1" x14ac:dyDescent="0.4">
      <c r="A46" s="7" t="str">
        <f>" 적재기계1회 싸이클시간 : " &amp;"Cms = " &amp; L46</f>
        <v xml:space="preserve"> 적재기계1회 싸이클시간 : Cms = 21</v>
      </c>
      <c r="B46" s="8">
        <v>0</v>
      </c>
      <c r="C46" s="8">
        <v>0</v>
      </c>
      <c r="D46" s="8">
        <v>0</v>
      </c>
      <c r="E46" s="8">
        <v>0</v>
      </c>
      <c r="F46" s="7"/>
      <c r="J46">
        <v>0</v>
      </c>
      <c r="K46" t="s">
        <v>429</v>
      </c>
      <c r="L46">
        <v>21</v>
      </c>
    </row>
    <row r="47" spans="1:15" ht="21.9" customHeight="1" x14ac:dyDescent="0.4">
      <c r="A47" s="7" t="str">
        <f>" 왕복시간 : " &amp;"t2 = L/35*60*2 = " &amp; L47</f>
        <v xml:space="preserve"> 왕복시간 : t2 = L/35*60*2 = 17.1428571</v>
      </c>
      <c r="B47" s="8">
        <v>0</v>
      </c>
      <c r="C47" s="8">
        <v>0</v>
      </c>
      <c r="D47" s="8">
        <v>0</v>
      </c>
      <c r="E47" s="8">
        <v>0</v>
      </c>
      <c r="F47" s="7"/>
      <c r="J47">
        <v>0</v>
      </c>
      <c r="K47" t="s">
        <v>430</v>
      </c>
      <c r="L47">
        <f>ROUNDDOWN(L39/35*60*2, 7)</f>
        <v>17.142857100000001</v>
      </c>
    </row>
    <row r="48" spans="1:15" ht="21.9" customHeight="1" x14ac:dyDescent="0.4">
      <c r="A48" s="7" t="str">
        <f>" 적하시간 : " &amp;"t3 = " &amp; L48</f>
        <v xml:space="preserve"> 적하시간 : t3 = 1.05</v>
      </c>
      <c r="B48" s="8">
        <v>0</v>
      </c>
      <c r="C48" s="8">
        <v>0</v>
      </c>
      <c r="D48" s="8">
        <v>0</v>
      </c>
      <c r="E48" s="8">
        <v>0</v>
      </c>
      <c r="F48" s="7"/>
      <c r="J48">
        <v>0</v>
      </c>
      <c r="K48" t="s">
        <v>431</v>
      </c>
      <c r="L48">
        <v>1.05</v>
      </c>
    </row>
    <row r="49" spans="1:15" ht="21.9" customHeight="1" x14ac:dyDescent="0.4">
      <c r="A49" s="7" t="str">
        <f>" 적재대기시간 : " &amp;"t4 = " &amp; L49</f>
        <v xml:space="preserve"> 적재대기시간 : t4 = 0.42</v>
      </c>
      <c r="B49" s="8">
        <v>0</v>
      </c>
      <c r="C49" s="8">
        <v>0</v>
      </c>
      <c r="D49" s="8">
        <v>0</v>
      </c>
      <c r="E49" s="8">
        <v>0</v>
      </c>
      <c r="F49" s="7"/>
      <c r="J49">
        <v>0</v>
      </c>
      <c r="K49" t="s">
        <v>432</v>
      </c>
      <c r="L49">
        <v>0.42</v>
      </c>
    </row>
    <row r="50" spans="1:15" ht="21.9" customHeight="1" x14ac:dyDescent="0.4">
      <c r="A50" s="7" t="str">
        <f>" 적재함 덮개 설치 및 해체시간 : " &amp;"t5 = " &amp; L50</f>
        <v xml:space="preserve"> 적재함 덮개 설치 및 해체시간 : t5 = 0.5</v>
      </c>
      <c r="B50" s="8">
        <v>0</v>
      </c>
      <c r="C50" s="8">
        <v>0</v>
      </c>
      <c r="D50" s="8">
        <v>0</v>
      </c>
      <c r="E50" s="8">
        <v>0</v>
      </c>
      <c r="F50" s="7"/>
      <c r="J50">
        <v>0</v>
      </c>
      <c r="K50" t="s">
        <v>433</v>
      </c>
      <c r="L50">
        <v>0.5</v>
      </c>
    </row>
    <row r="51" spans="1:15" ht="21.9" customHeight="1" x14ac:dyDescent="0.4">
      <c r="A51" s="7" t="str">
        <f>" 세륜기통과시간(min) : " &amp;"t6 = " &amp; L51</f>
        <v xml:space="preserve"> 세륜기통과시간(min) : t6 = 1.5</v>
      </c>
      <c r="B51" s="8">
        <v>0</v>
      </c>
      <c r="C51" s="8">
        <v>0</v>
      </c>
      <c r="D51" s="8">
        <v>0</v>
      </c>
      <c r="E51" s="8">
        <v>0</v>
      </c>
      <c r="F51" s="7"/>
      <c r="J51">
        <v>0</v>
      </c>
      <c r="K51" t="s">
        <v>434</v>
      </c>
      <c r="L51">
        <v>1.5</v>
      </c>
    </row>
    <row r="52" spans="1:15" ht="21.9" customHeight="1" x14ac:dyDescent="0.4">
      <c r="A52" s="7" t="str">
        <f>" 버킷계수 : " &amp;"k = " &amp; L52</f>
        <v xml:space="preserve"> 버킷계수 : k = 0.9</v>
      </c>
      <c r="B52" s="8">
        <v>0</v>
      </c>
      <c r="C52" s="8">
        <v>0</v>
      </c>
      <c r="D52" s="8">
        <v>0</v>
      </c>
      <c r="E52" s="8">
        <v>0</v>
      </c>
      <c r="F52" s="7"/>
      <c r="J52">
        <v>0</v>
      </c>
      <c r="K52" t="s">
        <v>411</v>
      </c>
      <c r="L52">
        <v>0.9</v>
      </c>
    </row>
    <row r="53" spans="1:15" ht="21.9" customHeight="1" x14ac:dyDescent="0.4">
      <c r="A53" s="7" t="str">
        <f>" 버킷용량계수 : " &amp;"q = " &amp; L53</f>
        <v xml:space="preserve"> 버킷용량계수 : q = 0.7</v>
      </c>
      <c r="B53" s="8">
        <v>0</v>
      </c>
      <c r="C53" s="8">
        <v>0</v>
      </c>
      <c r="D53" s="8">
        <v>0</v>
      </c>
      <c r="E53" s="8">
        <v>0</v>
      </c>
      <c r="F53" s="7"/>
      <c r="J53">
        <v>0</v>
      </c>
      <c r="K53" t="s">
        <v>422</v>
      </c>
      <c r="L53">
        <v>0.7</v>
      </c>
    </row>
    <row r="54" spans="1:15" ht="21.9" customHeight="1" x14ac:dyDescent="0.4">
      <c r="A54" s="7" t="str">
        <f>" 적재기계의 작업효율 : " &amp;"Es = " &amp; L54</f>
        <v xml:space="preserve"> 적재기계의 작업효율 : Es = 0.6</v>
      </c>
      <c r="B54" s="8">
        <v>0</v>
      </c>
      <c r="C54" s="8">
        <v>0</v>
      </c>
      <c r="D54" s="8">
        <v>0</v>
      </c>
      <c r="E54" s="8">
        <v>0</v>
      </c>
      <c r="F54" s="7"/>
      <c r="J54">
        <v>0</v>
      </c>
      <c r="K54" t="s">
        <v>435</v>
      </c>
      <c r="L54">
        <v>0.6</v>
      </c>
    </row>
    <row r="55" spans="1:15" ht="21.9" customHeight="1" x14ac:dyDescent="0.4">
      <c r="A55" s="7" t="str">
        <f>" 덤프트럭 소요적재회수 : " &amp;"N = A/(q*k) = " &amp; L55</f>
        <v xml:space="preserve"> 덤프트럭 소요적재회수 : N = A/(q*k) = 16.4565825</v>
      </c>
      <c r="B55" s="8">
        <v>0</v>
      </c>
      <c r="C55" s="8">
        <v>0</v>
      </c>
      <c r="D55" s="8">
        <v>0</v>
      </c>
      <c r="E55" s="8">
        <v>0</v>
      </c>
      <c r="F55" s="7"/>
      <c r="J55">
        <v>0</v>
      </c>
      <c r="K55" t="s">
        <v>436</v>
      </c>
      <c r="L55">
        <f>ROUNDDOWN(L43/(L53*L52), 7)</f>
        <v>16.4565825</v>
      </c>
    </row>
    <row r="56" spans="1:15" ht="21.9" customHeight="1" x14ac:dyDescent="0.4">
      <c r="A56" s="7" t="str">
        <f>" 1회 사이클 시간 : " &amp;"Cm = Cms*N/(60*Es)+t2+t3+t4+t5+t6 = " &amp; L56</f>
        <v xml:space="preserve"> 1회 사이클 시간 : Cm = Cms*N/(60*Es)+t2+t3+t4+t5+t6 = 30.2125302</v>
      </c>
      <c r="B56" s="8">
        <v>0</v>
      </c>
      <c r="C56" s="8">
        <v>0</v>
      </c>
      <c r="D56" s="8">
        <v>0</v>
      </c>
      <c r="E56" s="8">
        <v>0</v>
      </c>
      <c r="F56" s="7"/>
      <c r="J56">
        <v>0</v>
      </c>
      <c r="K56" t="s">
        <v>414</v>
      </c>
      <c r="L56">
        <f>ROUNDDOWN(L46*L55/(60*L54)+L47+L48+L49+L50+L51, 7)</f>
        <v>30.2125302</v>
      </c>
    </row>
    <row r="57" spans="1:15" ht="21.9" customHeight="1" x14ac:dyDescent="0.4">
      <c r="A57" s="7" t="str">
        <f>" 시간당작업량 : " &amp;"Q = 60*A*f*E/Cm = " &amp; L57</f>
        <v xml:space="preserve"> 시간당작업량 : Q = 60*A*f*E/Cm = 18.5304883</v>
      </c>
      <c r="B57" s="8">
        <v>0</v>
      </c>
      <c r="C57" s="8">
        <v>0</v>
      </c>
      <c r="D57" s="8">
        <v>0</v>
      </c>
      <c r="E57" s="8">
        <v>0</v>
      </c>
      <c r="F57" s="7"/>
      <c r="J57">
        <v>0</v>
      </c>
      <c r="K57" t="s">
        <v>415</v>
      </c>
      <c r="L57">
        <f>ROUNDDOWN(60*L43*L44*L45/L56, 7)</f>
        <v>18.530488299999998</v>
      </c>
    </row>
    <row r="58" spans="1:15" ht="21.9" customHeight="1" x14ac:dyDescent="0.4">
      <c r="A58" s="7" t="str">
        <f>" 재료비 : " &amp; TEXT(TRUNC(M58,0), "#,##0") &amp; " / 18.5304883"</f>
        <v xml:space="preserve"> 재료비 : 36,357 / 18.5304883</v>
      </c>
      <c r="B58" s="8">
        <f>ROUNDDOWN(M38/L57, 1)</f>
        <v>1962</v>
      </c>
      <c r="C58" s="8">
        <v>0</v>
      </c>
      <c r="D58" s="8">
        <v>0</v>
      </c>
      <c r="E58" s="8">
        <f>B58+C58+D58</f>
        <v>1962</v>
      </c>
      <c r="F58" s="7"/>
      <c r="I58" s="10" t="s">
        <v>361</v>
      </c>
      <c r="J58">
        <v>1</v>
      </c>
      <c r="L58">
        <v>0</v>
      </c>
      <c r="M58">
        <f>M38</f>
        <v>36357</v>
      </c>
    </row>
    <row r="59" spans="1:15" ht="21.9" customHeight="1" x14ac:dyDescent="0.4">
      <c r="A59" s="7" t="str">
        <f>" 노무비 : " &amp; TEXT(TRUNC(N59,0), "#,##0") &amp; " / 18.5304883"</f>
        <v xml:space="preserve"> 노무비 : 59,020 / 18.5304883</v>
      </c>
      <c r="B59" s="8">
        <v>0</v>
      </c>
      <c r="C59" s="8">
        <f>ROUNDDOWN(N38/L57, 1)</f>
        <v>3185</v>
      </c>
      <c r="D59" s="8">
        <v>0</v>
      </c>
      <c r="E59" s="8">
        <f>B59+C59+D59</f>
        <v>3185</v>
      </c>
      <c r="F59" s="7"/>
      <c r="I59" s="10" t="s">
        <v>361</v>
      </c>
      <c r="J59">
        <v>1</v>
      </c>
      <c r="L59">
        <v>0</v>
      </c>
      <c r="N59">
        <f>N38</f>
        <v>59020</v>
      </c>
    </row>
    <row r="60" spans="1:15" ht="21.9" customHeight="1" x14ac:dyDescent="0.4">
      <c r="A60" s="7" t="str">
        <f>" 경  비 : " &amp; TEXT(TRUNC(O60,0), "#,##0") &amp; " / 18.5304883"</f>
        <v xml:space="preserve"> 경  비 : 20,659 / 18.5304883</v>
      </c>
      <c r="B60" s="8">
        <v>0</v>
      </c>
      <c r="C60" s="8">
        <v>0</v>
      </c>
      <c r="D60" s="8">
        <f>ROUNDDOWN(O38/L57, 1)</f>
        <v>1114.8</v>
      </c>
      <c r="E60" s="8">
        <f>B60+C60+D60</f>
        <v>1114.8</v>
      </c>
      <c r="F60" s="7"/>
      <c r="I60" s="10" t="s">
        <v>361</v>
      </c>
      <c r="J60">
        <v>1</v>
      </c>
      <c r="L60">
        <v>0</v>
      </c>
      <c r="O60">
        <f>O38</f>
        <v>20659</v>
      </c>
    </row>
    <row r="61" spans="1:15" ht="21.9" customHeight="1" x14ac:dyDescent="0.4">
      <c r="A61" s="7" t="s">
        <v>416</v>
      </c>
      <c r="B61" s="8">
        <f>SUMIF(J38:J60, "1", B38:B60)</f>
        <v>1962</v>
      </c>
      <c r="C61" s="8">
        <f>SUMIF(J38:J60, "1", C38:C60)</f>
        <v>3185</v>
      </c>
      <c r="D61" s="8">
        <f>SUMIF(J38:J60, "1", D38:D60)</f>
        <v>1114.8</v>
      </c>
      <c r="E61" s="8">
        <f>B61+C61+D61</f>
        <v>6261.8</v>
      </c>
      <c r="F61" s="7"/>
      <c r="J61">
        <v>0</v>
      </c>
      <c r="L61">
        <v>0</v>
      </c>
    </row>
    <row r="62" spans="1:15" ht="21.9" customHeight="1" x14ac:dyDescent="0.4">
      <c r="A62" s="12" t="s">
        <v>372</v>
      </c>
      <c r="B62" s="15">
        <f>ROUNDDOWN(SUMIF(J25:J61, "1", B25:B61), 0)</f>
        <v>2245</v>
      </c>
      <c r="C62" s="15">
        <f>ROUNDDOWN(SUMIF(J25:J61, "1", C25:C61), 0)</f>
        <v>3950</v>
      </c>
      <c r="D62" s="15">
        <f>ROUNDDOWN(SUMIF(J25:J61, "1", D25:D61), 0)</f>
        <v>1490</v>
      </c>
      <c r="E62" s="15">
        <f>B62+C62+D62</f>
        <v>7685</v>
      </c>
      <c r="F62" s="13"/>
    </row>
    <row r="63" spans="1:15" ht="21.9" customHeight="1" x14ac:dyDescent="0.4">
      <c r="A63" s="7"/>
      <c r="B63" s="8"/>
      <c r="C63" s="8"/>
      <c r="D63" s="8"/>
      <c r="E63" s="8"/>
      <c r="F63" s="7"/>
    </row>
    <row r="64" spans="1:15" ht="21.9" customHeight="1" x14ac:dyDescent="0.4">
      <c r="A64" s="61" t="s">
        <v>437</v>
      </c>
      <c r="B64" s="62"/>
      <c r="C64" s="62"/>
      <c r="D64" s="62"/>
      <c r="E64" s="62"/>
      <c r="F64" s="11" t="s">
        <v>438</v>
      </c>
    </row>
    <row r="65" spans="1:15" ht="21.9" customHeight="1" x14ac:dyDescent="0.4">
      <c r="A65" s="7" t="s">
        <v>439</v>
      </c>
      <c r="B65" s="8">
        <v>0</v>
      </c>
      <c r="C65" s="8">
        <v>0</v>
      </c>
      <c r="D65" s="8">
        <v>0</v>
      </c>
      <c r="E65" s="8">
        <v>0</v>
      </c>
      <c r="F65" s="7"/>
      <c r="J65">
        <v>0</v>
      </c>
      <c r="L65">
        <v>0</v>
      </c>
    </row>
    <row r="66" spans="1:15" ht="21.9" customHeight="1" x14ac:dyDescent="0.4">
      <c r="A66" s="7" t="s">
        <v>440</v>
      </c>
      <c r="B66" s="8">
        <v>0</v>
      </c>
      <c r="C66" s="8">
        <v>0</v>
      </c>
      <c r="D66" s="8">
        <v>0</v>
      </c>
      <c r="E66" s="8">
        <v>0</v>
      </c>
      <c r="F66" s="7"/>
      <c r="J66">
        <v>0</v>
      </c>
      <c r="L66">
        <v>0</v>
      </c>
    </row>
    <row r="67" spans="1:15" ht="21.9" customHeight="1" x14ac:dyDescent="0.4">
      <c r="A67" s="7" t="s">
        <v>409</v>
      </c>
      <c r="B67" s="8"/>
      <c r="C67" s="8"/>
      <c r="D67" s="8"/>
      <c r="E67" s="8"/>
      <c r="F67" s="5" t="s">
        <v>392</v>
      </c>
      <c r="J67">
        <v>0</v>
      </c>
      <c r="L67">
        <v>1</v>
      </c>
      <c r="M67">
        <f>ROUNDDOWN(중기경비목록!G6, 0)</f>
        <v>23449</v>
      </c>
      <c r="N67">
        <f>ROUNDDOWN(중기경비목록!I6, 0)</f>
        <v>59020</v>
      </c>
      <c r="O67">
        <f>ROUNDDOWN(중기경비목록!K6, 0)</f>
        <v>24554</v>
      </c>
    </row>
    <row r="68" spans="1:15" ht="21.9" customHeight="1" x14ac:dyDescent="0.4">
      <c r="A68" s="7" t="str">
        <f>" 버킷용량(㎥) : " &amp;"q1 = " &amp; L68</f>
        <v xml:space="preserve"> 버킷용량(㎥) : q1 = 0.7</v>
      </c>
      <c r="B68" s="8">
        <v>0</v>
      </c>
      <c r="C68" s="8">
        <v>0</v>
      </c>
      <c r="D68" s="8">
        <v>0</v>
      </c>
      <c r="E68" s="8">
        <v>0</v>
      </c>
      <c r="F68" s="7"/>
      <c r="J68">
        <v>0</v>
      </c>
      <c r="K68" t="s">
        <v>441</v>
      </c>
      <c r="L68">
        <v>0.7</v>
      </c>
    </row>
    <row r="69" spans="1:15" ht="21.9" customHeight="1" x14ac:dyDescent="0.4">
      <c r="A69" s="7" t="str">
        <f>" 버킷계수 : " &amp;"k = " &amp; L69</f>
        <v xml:space="preserve"> 버킷계수 : k = 0.9</v>
      </c>
      <c r="B69" s="8">
        <v>0</v>
      </c>
      <c r="C69" s="8">
        <v>0</v>
      </c>
      <c r="D69" s="8">
        <v>0</v>
      </c>
      <c r="E69" s="8">
        <v>0</v>
      </c>
      <c r="F69" s="7"/>
      <c r="J69">
        <v>0</v>
      </c>
      <c r="K69" t="s">
        <v>411</v>
      </c>
      <c r="L69">
        <v>0.9</v>
      </c>
    </row>
    <row r="70" spans="1:15" ht="21.9" customHeight="1" x14ac:dyDescent="0.4">
      <c r="A70" s="7" t="str">
        <f>" 토량환산계수 : " &amp;"f = 0.9/1.3 = " &amp; L70</f>
        <v xml:space="preserve"> 토량환산계수 : f = 0.9/1.3 = 0.6923076</v>
      </c>
      <c r="B70" s="8">
        <v>0</v>
      </c>
      <c r="C70" s="8">
        <v>0</v>
      </c>
      <c r="D70" s="8">
        <v>0</v>
      </c>
      <c r="E70" s="8">
        <v>0</v>
      </c>
      <c r="F70" s="7"/>
      <c r="J70">
        <v>0</v>
      </c>
      <c r="K70" t="s">
        <v>412</v>
      </c>
      <c r="L70">
        <v>0.69230760000000002</v>
      </c>
    </row>
    <row r="71" spans="1:15" ht="21.9" customHeight="1" x14ac:dyDescent="0.4">
      <c r="A71" s="7" t="str">
        <f>" 작업효율 : " &amp;"E = " &amp; L71</f>
        <v xml:space="preserve"> 작업효율 : E = 0.65</v>
      </c>
      <c r="B71" s="8">
        <v>0</v>
      </c>
      <c r="C71" s="8">
        <v>0</v>
      </c>
      <c r="D71" s="8">
        <v>0</v>
      </c>
      <c r="E71" s="8">
        <v>0</v>
      </c>
      <c r="F71" s="7"/>
      <c r="J71">
        <v>0</v>
      </c>
      <c r="K71" t="s">
        <v>413</v>
      </c>
      <c r="L71">
        <v>0.65</v>
      </c>
    </row>
    <row r="72" spans="1:15" ht="21.9" customHeight="1" x14ac:dyDescent="0.4">
      <c r="A72" s="7" t="str">
        <f>" 1회사이클시간(초) : " &amp;"Cm = " &amp; L72</f>
        <v xml:space="preserve"> 1회사이클시간(초) : Cm = 20</v>
      </c>
      <c r="B72" s="8">
        <v>0</v>
      </c>
      <c r="C72" s="8">
        <v>0</v>
      </c>
      <c r="D72" s="8">
        <v>0</v>
      </c>
      <c r="E72" s="8">
        <v>0</v>
      </c>
      <c r="F72" s="7"/>
      <c r="J72">
        <v>0</v>
      </c>
      <c r="K72" t="s">
        <v>414</v>
      </c>
      <c r="L72">
        <v>20</v>
      </c>
    </row>
    <row r="73" spans="1:15" ht="21.9" customHeight="1" x14ac:dyDescent="0.4">
      <c r="A73" s="7" t="str">
        <f>" 시간당작업량(㎥/hr) : " &amp;"Q = (3600*q1*k*f*E)/Cm = " &amp; L73</f>
        <v xml:space="preserve"> 시간당작업량(㎥/hr) : Q = (3600*q1*k*f*E)/Cm = 51.0299931</v>
      </c>
      <c r="B73" s="8">
        <v>0</v>
      </c>
      <c r="C73" s="8">
        <v>0</v>
      </c>
      <c r="D73" s="8">
        <v>0</v>
      </c>
      <c r="E73" s="8">
        <v>0</v>
      </c>
      <c r="F73" s="7"/>
      <c r="J73">
        <v>0</v>
      </c>
      <c r="K73" t="s">
        <v>415</v>
      </c>
      <c r="L73">
        <f>ROUNDDOWN((3600*L68*L69*L70*L71)/L72, 7)</f>
        <v>51.029993099999999</v>
      </c>
    </row>
    <row r="74" spans="1:15" ht="21.9" customHeight="1" x14ac:dyDescent="0.4">
      <c r="A74" s="7" t="str">
        <f>" 재료비 : " &amp; TEXT(TRUNC(M74,0), "#,##0") &amp; " / 51.0299931"</f>
        <v xml:space="preserve"> 재료비 : 23,449 / 51.0299931</v>
      </c>
      <c r="B74" s="8">
        <f>ROUNDDOWN(M67/L73, 1)</f>
        <v>459.5</v>
      </c>
      <c r="C74" s="8">
        <v>0</v>
      </c>
      <c r="D74" s="8">
        <v>0</v>
      </c>
      <c r="E74" s="8">
        <f>B74+C74+D74</f>
        <v>459.5</v>
      </c>
      <c r="F74" s="7"/>
      <c r="I74" s="10" t="s">
        <v>361</v>
      </c>
      <c r="J74">
        <v>1</v>
      </c>
      <c r="L74">
        <v>0</v>
      </c>
      <c r="M74">
        <f>M67</f>
        <v>23449</v>
      </c>
    </row>
    <row r="75" spans="1:15" ht="21.9" customHeight="1" x14ac:dyDescent="0.4">
      <c r="A75" s="7" t="str">
        <f>" 노무비 : " &amp; TEXT(TRUNC(N75,0), "#,##0") &amp; " / 51.0299931"</f>
        <v xml:space="preserve"> 노무비 : 59,020 / 51.0299931</v>
      </c>
      <c r="B75" s="8">
        <v>0</v>
      </c>
      <c r="C75" s="8">
        <f>ROUNDDOWN(N67/L73, 1)</f>
        <v>1156.5</v>
      </c>
      <c r="D75" s="8">
        <v>0</v>
      </c>
      <c r="E75" s="8">
        <f>B75+C75+D75</f>
        <v>1156.5</v>
      </c>
      <c r="F75" s="7"/>
      <c r="I75" s="10" t="s">
        <v>361</v>
      </c>
      <c r="J75">
        <v>1</v>
      </c>
      <c r="L75">
        <v>0</v>
      </c>
      <c r="N75">
        <f>N67</f>
        <v>59020</v>
      </c>
    </row>
    <row r="76" spans="1:15" ht="21.9" customHeight="1" x14ac:dyDescent="0.4">
      <c r="A76" s="7" t="str">
        <f>" 경  비 : " &amp; TEXT(TRUNC(O76,0), "#,##0") &amp; " / 51.0299931"</f>
        <v xml:space="preserve"> 경  비 : 24,554 / 51.0299931</v>
      </c>
      <c r="B76" s="8">
        <v>0</v>
      </c>
      <c r="C76" s="8">
        <v>0</v>
      </c>
      <c r="D76" s="8">
        <f>ROUNDDOWN(O67/L73, 1)</f>
        <v>481.1</v>
      </c>
      <c r="E76" s="8">
        <f>B76+C76+D76</f>
        <v>481.1</v>
      </c>
      <c r="F76" s="7"/>
      <c r="I76" s="10" t="s">
        <v>361</v>
      </c>
      <c r="J76">
        <v>1</v>
      </c>
      <c r="L76">
        <v>0</v>
      </c>
      <c r="O76">
        <f>O67</f>
        <v>24554</v>
      </c>
    </row>
    <row r="77" spans="1:15" ht="21.9" customHeight="1" x14ac:dyDescent="0.4">
      <c r="A77" s="7" t="s">
        <v>416</v>
      </c>
      <c r="B77" s="8">
        <f>SUMIF(J67:J76, "1", B67:B76)</f>
        <v>459.5</v>
      </c>
      <c r="C77" s="8">
        <f>SUMIF(J67:J76, "1", C67:C76)</f>
        <v>1156.5</v>
      </c>
      <c r="D77" s="8">
        <f>SUMIF(J67:J76, "1", D67:D76)</f>
        <v>481.1</v>
      </c>
      <c r="E77" s="8">
        <f>B77+C77+D77</f>
        <v>2097.1</v>
      </c>
      <c r="F77" s="7"/>
      <c r="J77">
        <v>0</v>
      </c>
      <c r="L77">
        <v>0</v>
      </c>
    </row>
    <row r="78" spans="1:15" ht="21.9" customHeight="1" x14ac:dyDescent="0.4">
      <c r="A78" s="7" t="s">
        <v>442</v>
      </c>
      <c r="B78" s="8">
        <v>0</v>
      </c>
      <c r="C78" s="8">
        <v>0</v>
      </c>
      <c r="D78" s="8">
        <v>0</v>
      </c>
      <c r="E78" s="8">
        <v>0</v>
      </c>
      <c r="F78" s="7"/>
      <c r="J78">
        <v>0</v>
      </c>
      <c r="L78">
        <v>0</v>
      </c>
    </row>
    <row r="79" spans="1:15" ht="21.9" customHeight="1" x14ac:dyDescent="0.4">
      <c r="A79" s="7" t="s">
        <v>443</v>
      </c>
      <c r="B79" s="8"/>
      <c r="C79" s="8"/>
      <c r="D79" s="8"/>
      <c r="E79" s="8"/>
      <c r="F79" s="5" t="s">
        <v>397</v>
      </c>
      <c r="J79">
        <v>0</v>
      </c>
      <c r="L79">
        <v>1</v>
      </c>
      <c r="M79">
        <f>ROUNDDOWN(중기경비목록!G8, 0)</f>
        <v>1134</v>
      </c>
      <c r="N79">
        <f>ROUNDDOWN(중기경비목록!I8, 0)</f>
        <v>36248</v>
      </c>
      <c r="O79">
        <f>ROUNDDOWN(중기경비목록!K8, 0)</f>
        <v>525</v>
      </c>
    </row>
    <row r="80" spans="1:15" ht="21.9" customHeight="1" x14ac:dyDescent="0.4">
      <c r="A80" s="7" t="str">
        <f>" 1회당유효다짐면적(㎡) : " &amp;"A = (0.28*0.33) = " &amp; L80</f>
        <v xml:space="preserve"> 1회당유효다짐면적(㎡) : A = (0.28*0.33) = 0.0924</v>
      </c>
      <c r="B80" s="8">
        <v>0</v>
      </c>
      <c r="C80" s="8">
        <v>0</v>
      </c>
      <c r="D80" s="8">
        <v>0</v>
      </c>
      <c r="E80" s="8">
        <v>0</v>
      </c>
      <c r="F80" s="7"/>
      <c r="J80">
        <v>0</v>
      </c>
      <c r="K80" t="s">
        <v>428</v>
      </c>
      <c r="L80">
        <v>9.2399999999999996E-2</v>
      </c>
    </row>
    <row r="81" spans="1:15" ht="21.9" customHeight="1" x14ac:dyDescent="0.4">
      <c r="A81" s="7" t="str">
        <f>" 시간당타격횟수(회/hr) : " &amp;"N = " &amp; L81</f>
        <v xml:space="preserve"> 시간당타격횟수(회/hr) : N = 36000</v>
      </c>
      <c r="B81" s="8">
        <v>0</v>
      </c>
      <c r="C81" s="8">
        <v>0</v>
      </c>
      <c r="D81" s="8">
        <v>0</v>
      </c>
      <c r="E81" s="8">
        <v>0</v>
      </c>
      <c r="F81" s="7"/>
      <c r="J81">
        <v>0</v>
      </c>
      <c r="K81" t="s">
        <v>436</v>
      </c>
      <c r="L81">
        <v>36000</v>
      </c>
    </row>
    <row r="82" spans="1:15" ht="21.9" customHeight="1" x14ac:dyDescent="0.4">
      <c r="A82" s="7" t="str">
        <f>" 다짐두께(M) : " &amp;"H = " &amp; L82</f>
        <v xml:space="preserve"> 다짐두께(M) : H = 0.15</v>
      </c>
      <c r="B82" s="8">
        <v>0</v>
      </c>
      <c r="C82" s="8">
        <v>0</v>
      </c>
      <c r="D82" s="8">
        <v>0</v>
      </c>
      <c r="E82" s="8">
        <v>0</v>
      </c>
      <c r="F82" s="7"/>
      <c r="J82">
        <v>0</v>
      </c>
      <c r="K82" t="s">
        <v>444</v>
      </c>
      <c r="L82">
        <v>0.15</v>
      </c>
    </row>
    <row r="83" spans="1:15" ht="21.9" customHeight="1" x14ac:dyDescent="0.4">
      <c r="A83" s="7" t="str">
        <f>" 토량환산계수 : " &amp;"f = " &amp; L83</f>
        <v xml:space="preserve"> 토량환산계수 : f = 1</v>
      </c>
      <c r="B83" s="8">
        <v>0</v>
      </c>
      <c r="C83" s="8">
        <v>0</v>
      </c>
      <c r="D83" s="8">
        <v>0</v>
      </c>
      <c r="E83" s="8">
        <v>0</v>
      </c>
      <c r="F83" s="7"/>
      <c r="J83">
        <v>0</v>
      </c>
      <c r="K83" t="s">
        <v>412</v>
      </c>
      <c r="L83">
        <v>1</v>
      </c>
    </row>
    <row r="84" spans="1:15" ht="21.9" customHeight="1" x14ac:dyDescent="0.4">
      <c r="A84" s="7" t="str">
        <f>" 작업효율 : " &amp;"E = " &amp; L84</f>
        <v xml:space="preserve"> 작업효율 : E = 0.5</v>
      </c>
      <c r="B84" s="8">
        <v>0</v>
      </c>
      <c r="C84" s="8">
        <v>0</v>
      </c>
      <c r="D84" s="8">
        <v>0</v>
      </c>
      <c r="E84" s="8">
        <v>0</v>
      </c>
      <c r="F84" s="7"/>
      <c r="J84">
        <v>0</v>
      </c>
      <c r="K84" t="s">
        <v>413</v>
      </c>
      <c r="L84">
        <v>0.5</v>
      </c>
    </row>
    <row r="85" spans="1:15" ht="21.9" customHeight="1" x14ac:dyDescent="0.4">
      <c r="A85" s="7" t="str">
        <f>" 중복다짐횟수(57회) : " &amp;"P = " &amp; L85</f>
        <v xml:space="preserve"> 중복다짐횟수(57회) : P = 57</v>
      </c>
      <c r="B85" s="8">
        <v>0</v>
      </c>
      <c r="C85" s="8">
        <v>0</v>
      </c>
      <c r="D85" s="8">
        <v>0</v>
      </c>
      <c r="E85" s="8">
        <v>0</v>
      </c>
      <c r="F85" s="7"/>
      <c r="J85">
        <v>0</v>
      </c>
      <c r="K85" t="s">
        <v>445</v>
      </c>
      <c r="L85">
        <v>57</v>
      </c>
    </row>
    <row r="86" spans="1:15" ht="21.9" customHeight="1" x14ac:dyDescent="0.4">
      <c r="A86" s="7" t="str">
        <f>" 시간당작업량(㎥/hr) : " &amp;"Q = (A*N*H*f*E)/P = " &amp; L86</f>
        <v xml:space="preserve"> 시간당작업량(㎥/hr) : Q = (A*N*H*f*E)/P = 4.3768421</v>
      </c>
      <c r="B86" s="8">
        <v>0</v>
      </c>
      <c r="C86" s="8">
        <v>0</v>
      </c>
      <c r="D86" s="8">
        <v>0</v>
      </c>
      <c r="E86" s="8">
        <v>0</v>
      </c>
      <c r="F86" s="7"/>
      <c r="J86">
        <v>0</v>
      </c>
      <c r="K86" t="s">
        <v>415</v>
      </c>
      <c r="L86">
        <f>ROUNDDOWN((L80*L81*L82*L83*L84)/L85, 7)</f>
        <v>4.3768421000000002</v>
      </c>
    </row>
    <row r="87" spans="1:15" ht="21.9" customHeight="1" x14ac:dyDescent="0.4">
      <c r="A87" s="7" t="str">
        <f>" 재료비 : " &amp; TEXT(TRUNC(M87,0), "#,##0") &amp; " / 4.3768421"</f>
        <v xml:space="preserve"> 재료비 : 1,134 / 4.3768421</v>
      </c>
      <c r="B87" s="8">
        <f>ROUNDDOWN(M79/L86, 1)</f>
        <v>259</v>
      </c>
      <c r="C87" s="8">
        <v>0</v>
      </c>
      <c r="D87" s="8">
        <v>0</v>
      </c>
      <c r="E87" s="8">
        <f>B87+C87+D87</f>
        <v>259</v>
      </c>
      <c r="F87" s="7"/>
      <c r="I87" s="10" t="s">
        <v>361</v>
      </c>
      <c r="J87">
        <v>1</v>
      </c>
      <c r="L87">
        <v>0</v>
      </c>
      <c r="M87">
        <f>M79</f>
        <v>1134</v>
      </c>
    </row>
    <row r="88" spans="1:15" ht="21.9" customHeight="1" x14ac:dyDescent="0.4">
      <c r="A88" s="7" t="str">
        <f>" 노무비 : " &amp; TEXT(TRUNC(N88,0), "#,##0") &amp; " / 4.3768421"</f>
        <v xml:space="preserve"> 노무비 : 36,248 / 4.3768421</v>
      </c>
      <c r="B88" s="8">
        <v>0</v>
      </c>
      <c r="C88" s="8">
        <f>ROUNDDOWN(N79/L86, 1)</f>
        <v>8281.7000000000007</v>
      </c>
      <c r="D88" s="8">
        <v>0</v>
      </c>
      <c r="E88" s="8">
        <f>B88+C88+D88</f>
        <v>8281.7000000000007</v>
      </c>
      <c r="F88" s="7"/>
      <c r="I88" s="10" t="s">
        <v>361</v>
      </c>
      <c r="J88">
        <v>1</v>
      </c>
      <c r="L88">
        <v>0</v>
      </c>
      <c r="N88">
        <f>N79</f>
        <v>36248</v>
      </c>
    </row>
    <row r="89" spans="1:15" ht="21.9" customHeight="1" x14ac:dyDescent="0.4">
      <c r="A89" s="7" t="str">
        <f>" 경  비 : " &amp; TEXT(TRUNC(O89,0), "#,##0") &amp; " / 4.3768421"</f>
        <v xml:space="preserve"> 경  비 : 525 / 4.3768421</v>
      </c>
      <c r="B89" s="8">
        <v>0</v>
      </c>
      <c r="C89" s="8">
        <v>0</v>
      </c>
      <c r="D89" s="8">
        <f>ROUNDDOWN(O79/L86, 1)</f>
        <v>119.9</v>
      </c>
      <c r="E89" s="8">
        <f>B89+C89+D89</f>
        <v>119.9</v>
      </c>
      <c r="F89" s="7"/>
      <c r="I89" s="10" t="s">
        <v>361</v>
      </c>
      <c r="J89">
        <v>1</v>
      </c>
      <c r="L89">
        <v>0</v>
      </c>
      <c r="O89">
        <f>O79</f>
        <v>525</v>
      </c>
    </row>
    <row r="90" spans="1:15" ht="21.9" customHeight="1" x14ac:dyDescent="0.4">
      <c r="A90" s="7" t="s">
        <v>416</v>
      </c>
      <c r="B90" s="8">
        <f>SUMIF(J79:J89, "1", B79:B89)</f>
        <v>259</v>
      </c>
      <c r="C90" s="8">
        <f>SUMIF(J79:J89, "1", C79:C89)</f>
        <v>8281.7000000000007</v>
      </c>
      <c r="D90" s="8">
        <f>SUMIF(J79:J89, "1", D79:D89)</f>
        <v>119.9</v>
      </c>
      <c r="E90" s="8">
        <f>B90+C90+D90</f>
        <v>8660.6</v>
      </c>
      <c r="F90" s="7"/>
      <c r="J90">
        <v>0</v>
      </c>
      <c r="L90">
        <v>0</v>
      </c>
    </row>
    <row r="91" spans="1:15" ht="21.9" customHeight="1" x14ac:dyDescent="0.4">
      <c r="A91" s="12" t="s">
        <v>372</v>
      </c>
      <c r="B91" s="15">
        <f>ROUNDDOWN(SUMIF(J65:J90, "1", B65:B90), 0)</f>
        <v>718</v>
      </c>
      <c r="C91" s="15">
        <f>ROUNDDOWN(SUMIF(J65:J90, "1", C65:C90), 0)</f>
        <v>9438</v>
      </c>
      <c r="D91" s="15">
        <f>ROUNDDOWN(SUMIF(J65:J90, "1", D65:D90), 0)</f>
        <v>601</v>
      </c>
      <c r="E91" s="15">
        <f>B91+C91+D91</f>
        <v>10757</v>
      </c>
      <c r="F91" s="13"/>
    </row>
    <row r="92" spans="1:15" ht="21.9" customHeight="1" x14ac:dyDescent="0.4">
      <c r="A92" s="7"/>
      <c r="B92" s="8"/>
      <c r="C92" s="8"/>
      <c r="D92" s="8"/>
      <c r="E92" s="8"/>
      <c r="F92" s="7"/>
    </row>
    <row r="93" spans="1:15" ht="21.9" customHeight="1" x14ac:dyDescent="0.4">
      <c r="A93" s="61" t="s">
        <v>446</v>
      </c>
      <c r="B93" s="62"/>
      <c r="C93" s="62"/>
      <c r="D93" s="62"/>
      <c r="E93" s="62"/>
      <c r="F93" s="16"/>
    </row>
    <row r="94" spans="1:15" ht="21.9" customHeight="1" x14ac:dyDescent="0.4">
      <c r="A94" s="7" t="s">
        <v>447</v>
      </c>
      <c r="B94" s="8">
        <v>0</v>
      </c>
      <c r="C94" s="8">
        <v>0</v>
      </c>
      <c r="D94" s="8">
        <v>0</v>
      </c>
      <c r="E94" s="8">
        <v>0</v>
      </c>
      <c r="F94" s="7"/>
      <c r="J94">
        <v>0</v>
      </c>
      <c r="L94">
        <v>0</v>
      </c>
    </row>
    <row r="95" spans="1:15" ht="21.9" customHeight="1" x14ac:dyDescent="0.4">
      <c r="A95" s="7" t="s">
        <v>448</v>
      </c>
      <c r="B95" s="8">
        <v>0</v>
      </c>
      <c r="C95" s="8">
        <v>0</v>
      </c>
      <c r="D95" s="8">
        <v>0</v>
      </c>
      <c r="E95" s="8">
        <v>0</v>
      </c>
      <c r="F95" s="7"/>
      <c r="I95" s="10" t="s">
        <v>361</v>
      </c>
      <c r="J95">
        <v>1</v>
      </c>
      <c r="L95">
        <v>0</v>
      </c>
    </row>
    <row r="96" spans="1:15" ht="21.9" customHeight="1" x14ac:dyDescent="0.4">
      <c r="A96" s="7" t="s">
        <v>449</v>
      </c>
      <c r="B96" s="8">
        <v>0</v>
      </c>
      <c r="C96" s="8">
        <v>0</v>
      </c>
      <c r="D96" s="8">
        <v>0</v>
      </c>
      <c r="E96" s="8">
        <v>0</v>
      </c>
      <c r="F96" s="7"/>
      <c r="J96">
        <v>0</v>
      </c>
      <c r="L96">
        <v>0</v>
      </c>
    </row>
    <row r="97" spans="1:15" ht="21.9" customHeight="1" x14ac:dyDescent="0.4">
      <c r="A97" s="7"/>
      <c r="B97" s="8">
        <v>0</v>
      </c>
      <c r="C97" s="8">
        <v>0</v>
      </c>
      <c r="D97" s="8">
        <v>0</v>
      </c>
      <c r="E97" s="8">
        <v>0</v>
      </c>
      <c r="F97" s="7"/>
      <c r="J97">
        <v>0</v>
      </c>
      <c r="L97">
        <v>0</v>
      </c>
    </row>
    <row r="98" spans="1:15" ht="21.9" customHeight="1" x14ac:dyDescent="0.4">
      <c r="A98" s="7" t="s">
        <v>450</v>
      </c>
      <c r="B98" s="8">
        <v>0</v>
      </c>
      <c r="C98" s="8">
        <v>0</v>
      </c>
      <c r="D98" s="8">
        <v>0</v>
      </c>
      <c r="E98" s="8">
        <v>0</v>
      </c>
      <c r="F98" s="7"/>
      <c r="I98" s="10" t="s">
        <v>361</v>
      </c>
      <c r="J98">
        <v>1</v>
      </c>
      <c r="L98">
        <v>0</v>
      </c>
    </row>
    <row r="99" spans="1:15" ht="21.9" customHeight="1" x14ac:dyDescent="0.4">
      <c r="A99" s="7" t="s">
        <v>451</v>
      </c>
      <c r="B99" s="8">
        <v>0</v>
      </c>
      <c r="C99" s="8">
        <v>0</v>
      </c>
      <c r="D99" s="8">
        <v>0</v>
      </c>
      <c r="E99" s="8">
        <v>0</v>
      </c>
      <c r="F99" s="7"/>
      <c r="I99" s="10" t="s">
        <v>361</v>
      </c>
      <c r="J99">
        <v>1</v>
      </c>
      <c r="L99">
        <v>0</v>
      </c>
    </row>
    <row r="100" spans="1:15" ht="21.9" customHeight="1" x14ac:dyDescent="0.4">
      <c r="A100" s="7" t="s">
        <v>452</v>
      </c>
      <c r="B100" s="8">
        <v>0</v>
      </c>
      <c r="C100" s="8">
        <v>0</v>
      </c>
      <c r="D100" s="8">
        <v>0</v>
      </c>
      <c r="E100" s="8">
        <v>0</v>
      </c>
      <c r="F100" s="7"/>
      <c r="I100" s="10" t="s">
        <v>361</v>
      </c>
      <c r="J100">
        <v>1</v>
      </c>
      <c r="L100">
        <v>0</v>
      </c>
    </row>
    <row r="101" spans="1:15" ht="21.9" customHeight="1" x14ac:dyDescent="0.4">
      <c r="A101" s="7"/>
      <c r="B101" s="8">
        <v>0</v>
      </c>
      <c r="C101" s="8">
        <v>0</v>
      </c>
      <c r="D101" s="8">
        <v>0</v>
      </c>
      <c r="E101" s="8">
        <v>0</v>
      </c>
      <c r="F101" s="7"/>
      <c r="J101">
        <v>0</v>
      </c>
      <c r="L101">
        <v>0</v>
      </c>
    </row>
    <row r="102" spans="1:15" ht="21.9" customHeight="1" x14ac:dyDescent="0.4">
      <c r="A102" s="7" t="s">
        <v>453</v>
      </c>
      <c r="B102" s="8">
        <v>0</v>
      </c>
      <c r="C102" s="8">
        <v>0</v>
      </c>
      <c r="D102" s="8">
        <v>0</v>
      </c>
      <c r="E102" s="8">
        <v>0</v>
      </c>
      <c r="F102" s="7"/>
      <c r="J102">
        <v>0</v>
      </c>
      <c r="L102">
        <v>0</v>
      </c>
    </row>
    <row r="103" spans="1:15" ht="21.9" customHeight="1" x14ac:dyDescent="0.4">
      <c r="A103" s="7" t="s">
        <v>454</v>
      </c>
      <c r="B103" s="8">
        <v>0</v>
      </c>
      <c r="C103" s="8">
        <v>0</v>
      </c>
      <c r="D103" s="8">
        <v>0</v>
      </c>
      <c r="E103" s="8">
        <v>0</v>
      </c>
      <c r="F103" s="5" t="s">
        <v>455</v>
      </c>
      <c r="J103">
        <v>0</v>
      </c>
      <c r="L103">
        <v>1</v>
      </c>
      <c r="M103">
        <f>ROUNDDOWN(일위대가목록!G20, 0)</f>
        <v>53</v>
      </c>
      <c r="N103">
        <f>ROUNDDOWN(일위대가목록!I20, 0)</f>
        <v>366</v>
      </c>
      <c r="O103">
        <f>ROUNDDOWN(일위대가목록!K20, 0)</f>
        <v>38</v>
      </c>
    </row>
    <row r="104" spans="1:15" ht="21.9" customHeight="1" x14ac:dyDescent="0.4">
      <c r="A104" s="7" t="str">
        <f>"재료비 : " &amp; TEXT(TRUNC(M104,0), "#,##0") &amp; " * 1"</f>
        <v>재료비 : 53 * 1</v>
      </c>
      <c r="B104" s="8">
        <f>ROUNDDOWN(M103*1, 1)</f>
        <v>53</v>
      </c>
      <c r="C104" s="8">
        <v>0</v>
      </c>
      <c r="D104" s="8">
        <v>0</v>
      </c>
      <c r="E104" s="8">
        <f>B104+C104+D104</f>
        <v>53</v>
      </c>
      <c r="F104" s="7"/>
      <c r="I104" s="10" t="s">
        <v>361</v>
      </c>
      <c r="J104">
        <v>1</v>
      </c>
      <c r="L104">
        <v>0</v>
      </c>
      <c r="M104">
        <f>M103</f>
        <v>53</v>
      </c>
    </row>
    <row r="105" spans="1:15" ht="21.9" customHeight="1" x14ac:dyDescent="0.4">
      <c r="A105" s="7" t="str">
        <f>"노무비 : " &amp; TEXT(TRUNC(N105,0), "#,##0") &amp; " * 1"</f>
        <v>노무비 : 366 * 1</v>
      </c>
      <c r="B105" s="8">
        <v>0</v>
      </c>
      <c r="C105" s="8">
        <f>ROUNDDOWN(N103*1, 1)</f>
        <v>366</v>
      </c>
      <c r="D105" s="8">
        <v>0</v>
      </c>
      <c r="E105" s="8">
        <f>B105+C105+D105</f>
        <v>366</v>
      </c>
      <c r="F105" s="7"/>
      <c r="I105" s="10" t="s">
        <v>361</v>
      </c>
      <c r="J105">
        <v>1</v>
      </c>
      <c r="L105">
        <v>0</v>
      </c>
      <c r="N105">
        <f>N103</f>
        <v>366</v>
      </c>
    </row>
    <row r="106" spans="1:15" ht="21.9" customHeight="1" x14ac:dyDescent="0.4">
      <c r="A106" s="7" t="str">
        <f>"경  비 : " &amp; TEXT(TRUNC(O106,0), "#,##0") &amp; " * 1"</f>
        <v>경  비 : 38 * 1</v>
      </c>
      <c r="B106" s="8">
        <v>0</v>
      </c>
      <c r="C106" s="8">
        <v>0</v>
      </c>
      <c r="D106" s="8">
        <f>ROUNDDOWN(O103*1, 1)</f>
        <v>38</v>
      </c>
      <c r="E106" s="8">
        <f>B106+C106+D106</f>
        <v>38</v>
      </c>
      <c r="F106" s="7"/>
      <c r="I106" s="10" t="s">
        <v>361</v>
      </c>
      <c r="J106">
        <v>1</v>
      </c>
      <c r="L106">
        <v>0</v>
      </c>
      <c r="O106">
        <f>O103</f>
        <v>38</v>
      </c>
    </row>
    <row r="107" spans="1:15" ht="21.9" customHeight="1" x14ac:dyDescent="0.4">
      <c r="A107" s="7" t="s">
        <v>362</v>
      </c>
      <c r="B107" s="8">
        <f>SUMIF(J94:J106, "1", B94:B106)</f>
        <v>53</v>
      </c>
      <c r="C107" s="8">
        <f>SUMIF(J94:J106, "1", C94:C106)</f>
        <v>366</v>
      </c>
      <c r="D107" s="8">
        <f>SUMIF(J94:J106, "1", D94:D106)</f>
        <v>38</v>
      </c>
      <c r="E107" s="8">
        <f>B107+C107+D107</f>
        <v>457</v>
      </c>
      <c r="F107" s="7"/>
      <c r="J107">
        <v>0</v>
      </c>
      <c r="L107">
        <v>0</v>
      </c>
    </row>
    <row r="108" spans="1:15" ht="21.9" customHeight="1" x14ac:dyDescent="0.4">
      <c r="A108" s="12" t="s">
        <v>372</v>
      </c>
      <c r="B108" s="15">
        <f>ROUNDDOWN(SUMIF(J94:J107, "1", B94:B107), 0)</f>
        <v>53</v>
      </c>
      <c r="C108" s="15">
        <f>ROUNDDOWN(SUMIF(J94:J107, "1", C94:C107), 0)</f>
        <v>366</v>
      </c>
      <c r="D108" s="15">
        <f>ROUNDDOWN(SUMIF(J94:J107, "1", D94:D107), 0)</f>
        <v>38</v>
      </c>
      <c r="E108" s="15">
        <f>B108+C108+D108</f>
        <v>457</v>
      </c>
      <c r="F108" s="13"/>
    </row>
    <row r="109" spans="1:15" ht="21.9" customHeight="1" x14ac:dyDescent="0.4">
      <c r="A109" s="7"/>
      <c r="B109" s="8"/>
      <c r="C109" s="8"/>
      <c r="D109" s="8"/>
      <c r="E109" s="8"/>
      <c r="F109" s="7"/>
    </row>
    <row r="110" spans="1:15" ht="21.9" customHeight="1" x14ac:dyDescent="0.4">
      <c r="A110" s="7"/>
      <c r="B110" s="8"/>
      <c r="C110" s="8"/>
      <c r="D110" s="8"/>
      <c r="E110" s="8"/>
      <c r="F110" s="7"/>
    </row>
    <row r="111" spans="1:15" ht="21.9" customHeight="1" x14ac:dyDescent="0.4">
      <c r="A111" s="7"/>
      <c r="B111" s="8"/>
      <c r="C111" s="8"/>
      <c r="D111" s="8"/>
      <c r="E111" s="8"/>
      <c r="F111" s="7"/>
    </row>
    <row r="112" spans="1:15" ht="21.9" customHeight="1" x14ac:dyDescent="0.4">
      <c r="A112" s="7"/>
      <c r="B112" s="8"/>
      <c r="C112" s="8"/>
      <c r="D112" s="8"/>
      <c r="E112" s="8"/>
      <c r="F112" s="7"/>
    </row>
    <row r="113" spans="1:6" ht="21.9" customHeight="1" x14ac:dyDescent="0.4">
      <c r="A113" s="7"/>
      <c r="B113" s="8"/>
      <c r="C113" s="8"/>
      <c r="D113" s="8"/>
      <c r="E113" s="8"/>
      <c r="F113" s="7"/>
    </row>
    <row r="114" spans="1:6" ht="21.9" customHeight="1" x14ac:dyDescent="0.4">
      <c r="A114" s="7"/>
      <c r="B114" s="8"/>
      <c r="C114" s="8"/>
      <c r="D114" s="8"/>
      <c r="E114" s="8"/>
      <c r="F114" s="7"/>
    </row>
    <row r="115" spans="1:6" ht="21.9" customHeight="1" x14ac:dyDescent="0.4">
      <c r="A115" s="7"/>
      <c r="B115" s="8"/>
      <c r="C115" s="8"/>
      <c r="D115" s="8"/>
      <c r="E115" s="8"/>
      <c r="F115" s="7"/>
    </row>
    <row r="116" spans="1:6" ht="21.9" customHeight="1" x14ac:dyDescent="0.4">
      <c r="A116" s="7"/>
      <c r="B116" s="8"/>
      <c r="C116" s="8"/>
      <c r="D116" s="8"/>
      <c r="E116" s="8"/>
      <c r="F116" s="7"/>
    </row>
    <row r="117" spans="1:6" ht="21.9" customHeight="1" x14ac:dyDescent="0.4">
      <c r="A117" s="7"/>
      <c r="B117" s="8"/>
      <c r="C117" s="8"/>
      <c r="D117" s="8"/>
      <c r="E117" s="8"/>
      <c r="F117" s="7"/>
    </row>
    <row r="118" spans="1:6" ht="21.9" customHeight="1" x14ac:dyDescent="0.4">
      <c r="A118" s="7"/>
      <c r="B118" s="8"/>
      <c r="C118" s="8"/>
      <c r="D118" s="8"/>
      <c r="E118" s="8"/>
      <c r="F118" s="7"/>
    </row>
  </sheetData>
  <mergeCells count="12">
    <mergeCell ref="A24:E24"/>
    <mergeCell ref="A64:E64"/>
    <mergeCell ref="A93:E93"/>
    <mergeCell ref="A5:E5"/>
    <mergeCell ref="A1:F1"/>
    <mergeCell ref="A2:F2"/>
    <mergeCell ref="A3:A4"/>
    <mergeCell ref="F3:F4"/>
    <mergeCell ref="B3:B4"/>
    <mergeCell ref="C3:C4"/>
    <mergeCell ref="D3:D4"/>
    <mergeCell ref="E3:E4"/>
  </mergeCells>
  <phoneticPr fontId="1" type="noConversion"/>
  <conditionalFormatting sqref="A5 F5 A6:F118">
    <cfRule type="containsText" dxfId="7" priority="1" stopIfTrue="1" operator="containsText" text=".">
      <formula>NOT(ISERROR(SEARCH(".",A5)))</formula>
    </cfRule>
    <cfRule type="notContainsText" dxfId="6" priority="2" stopIfTrue="1" operator="notContains" text=".">
      <formula>ISERROR(SEARCH(".",A5))</formula>
    </cfRule>
  </conditionalFormatting>
  <printOptions horizontalCentered="1"/>
  <pageMargins left="0.70866141732283472" right="0.19685039370078741" top="0.59055118110236227" bottom="0.35433070866141736" header="0.31496062992125984" footer="0.15748031496062992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19D86"/>
  </sheetPr>
  <dimension ref="A1:R23"/>
  <sheetViews>
    <sheetView view="pageBreakPreview" zoomScaleNormal="100" zoomScaleSheetLayoutView="100" workbookViewId="0">
      <pane xSplit="4" ySplit="4" topLeftCell="E5" activePane="bottomRight" state="frozen"/>
      <selection activeCell="F32" sqref="F32"/>
      <selection pane="topRight" activeCell="F32" sqref="F32"/>
      <selection pane="bottomLeft" activeCell="F32" sqref="F32"/>
      <selection pane="bottomRight" activeCell="F32" sqref="F32"/>
    </sheetView>
  </sheetViews>
  <sheetFormatPr defaultRowHeight="17.399999999999999" x14ac:dyDescent="0.4"/>
  <cols>
    <col min="1" max="1" width="7.59765625" style="1" customWidth="1"/>
    <col min="2" max="2" width="15.59765625" style="1" customWidth="1"/>
    <col min="3" max="3" width="16.59765625" style="1" customWidth="1"/>
    <col min="4" max="5" width="3.59765625" style="2" customWidth="1"/>
    <col min="6" max="6" width="6.59765625" style="3" customWidth="1"/>
    <col min="7" max="7" width="8.59765625" style="3" customWidth="1"/>
    <col min="8" max="8" width="6.59765625" style="3" customWidth="1"/>
    <col min="9" max="9" width="8.59765625" style="3" customWidth="1"/>
    <col min="10" max="10" width="6.59765625" style="3" customWidth="1"/>
    <col min="11" max="11" width="8.59765625" style="3" customWidth="1"/>
    <col min="12" max="12" width="6.59765625" style="3" customWidth="1"/>
    <col min="13" max="13" width="10.59765625" style="3" customWidth="1"/>
    <col min="14" max="14" width="13.59765625" style="1" customWidth="1"/>
    <col min="15" max="18" width="9" hidden="1" customWidth="1"/>
  </cols>
  <sheetData>
    <row r="1" spans="1:15" ht="30" customHeight="1" x14ac:dyDescent="0.4">
      <c r="A1" s="37" t="s">
        <v>382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5" ht="21.9" customHeight="1" x14ac:dyDescent="0.4">
      <c r="A2" s="38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5" ht="21.9" customHeight="1" x14ac:dyDescent="0.4">
      <c r="A3" s="46" t="s">
        <v>383</v>
      </c>
      <c r="B3" s="46" t="s">
        <v>2</v>
      </c>
      <c r="C3" s="46" t="s">
        <v>3</v>
      </c>
      <c r="D3" s="46" t="s">
        <v>4</v>
      </c>
      <c r="E3" s="46" t="s">
        <v>384</v>
      </c>
      <c r="F3" s="46" t="s">
        <v>385</v>
      </c>
      <c r="G3" s="46"/>
      <c r="H3" s="46" t="s">
        <v>386</v>
      </c>
      <c r="I3" s="46"/>
      <c r="J3" s="46" t="s">
        <v>387</v>
      </c>
      <c r="K3" s="46"/>
      <c r="L3" s="46" t="s">
        <v>388</v>
      </c>
      <c r="M3" s="46"/>
      <c r="N3" s="46" t="s">
        <v>347</v>
      </c>
    </row>
    <row r="4" spans="1:15" ht="21.9" customHeight="1" x14ac:dyDescent="0.4">
      <c r="A4" s="46"/>
      <c r="B4" s="46"/>
      <c r="C4" s="46"/>
      <c r="D4" s="46"/>
      <c r="E4" s="46"/>
      <c r="F4" s="4" t="s">
        <v>348</v>
      </c>
      <c r="G4" s="4" t="s">
        <v>349</v>
      </c>
      <c r="H4" s="4" t="s">
        <v>348</v>
      </c>
      <c r="I4" s="4" t="s">
        <v>349</v>
      </c>
      <c r="J4" s="4" t="s">
        <v>348</v>
      </c>
      <c r="K4" s="4" t="s">
        <v>349</v>
      </c>
      <c r="L4" s="4" t="s">
        <v>348</v>
      </c>
      <c r="M4" s="4" t="s">
        <v>349</v>
      </c>
      <c r="N4" s="46"/>
      <c r="O4" t="s">
        <v>15</v>
      </c>
    </row>
    <row r="5" spans="1:15" ht="21.9" customHeight="1" x14ac:dyDescent="0.4">
      <c r="A5" s="5" t="s">
        <v>389</v>
      </c>
      <c r="B5" s="5" t="s">
        <v>327</v>
      </c>
      <c r="C5" s="5" t="s">
        <v>390</v>
      </c>
      <c r="D5" s="6" t="s">
        <v>391</v>
      </c>
      <c r="E5" s="9">
        <v>1</v>
      </c>
      <c r="F5" s="8">
        <f>중기경비!F16</f>
        <v>23834</v>
      </c>
      <c r="G5" s="8">
        <f t="shared" ref="G5:G10" si="0">E5*F5</f>
        <v>23834</v>
      </c>
      <c r="H5" s="8">
        <f>중기경비!H16</f>
        <v>59020</v>
      </c>
      <c r="I5" s="8">
        <f t="shared" ref="I5:I10" si="1">E5*H5</f>
        <v>59020</v>
      </c>
      <c r="J5" s="8">
        <f>중기경비!J16</f>
        <v>27120</v>
      </c>
      <c r="K5" s="8">
        <f t="shared" ref="K5:K10" si="2">E5*J5</f>
        <v>27120</v>
      </c>
      <c r="L5" s="8">
        <f t="shared" ref="L5:M10" si="3">F5+H5+J5</f>
        <v>109974</v>
      </c>
      <c r="M5" s="8">
        <f t="shared" si="3"/>
        <v>109974</v>
      </c>
      <c r="N5" s="5" t="s">
        <v>357</v>
      </c>
    </row>
    <row r="6" spans="1:15" ht="21.9" customHeight="1" x14ac:dyDescent="0.4">
      <c r="A6" s="5" t="s">
        <v>392</v>
      </c>
      <c r="B6" s="5" t="s">
        <v>393</v>
      </c>
      <c r="C6" s="5" t="s">
        <v>394</v>
      </c>
      <c r="D6" s="6" t="s">
        <v>391</v>
      </c>
      <c r="E6" s="9">
        <v>1</v>
      </c>
      <c r="F6" s="8">
        <f>중기경비!F29</f>
        <v>23449</v>
      </c>
      <c r="G6" s="8">
        <f t="shared" si="0"/>
        <v>23449</v>
      </c>
      <c r="H6" s="8">
        <f>중기경비!H29</f>
        <v>59020</v>
      </c>
      <c r="I6" s="8">
        <f t="shared" si="1"/>
        <v>59020</v>
      </c>
      <c r="J6" s="8">
        <f>중기경비!J29</f>
        <v>24554</v>
      </c>
      <c r="K6" s="8">
        <f t="shared" si="2"/>
        <v>24554</v>
      </c>
      <c r="L6" s="8">
        <f t="shared" si="3"/>
        <v>107023</v>
      </c>
      <c r="M6" s="8">
        <f t="shared" si="3"/>
        <v>107023</v>
      </c>
      <c r="N6" s="5" t="s">
        <v>374</v>
      </c>
    </row>
    <row r="7" spans="1:15" ht="21.9" customHeight="1" x14ac:dyDescent="0.4">
      <c r="A7" s="5" t="s">
        <v>395</v>
      </c>
      <c r="B7" s="5" t="s">
        <v>330</v>
      </c>
      <c r="C7" s="5" t="s">
        <v>396</v>
      </c>
      <c r="D7" s="6" t="s">
        <v>391</v>
      </c>
      <c r="E7" s="9">
        <v>1</v>
      </c>
      <c r="F7" s="8">
        <f>중기경비!F42</f>
        <v>36357</v>
      </c>
      <c r="G7" s="8">
        <f t="shared" si="0"/>
        <v>36357</v>
      </c>
      <c r="H7" s="8">
        <f>중기경비!H42</f>
        <v>59020</v>
      </c>
      <c r="I7" s="8">
        <f t="shared" si="1"/>
        <v>59020</v>
      </c>
      <c r="J7" s="8">
        <f>중기경비!J42</f>
        <v>20659</v>
      </c>
      <c r="K7" s="8">
        <f t="shared" si="2"/>
        <v>20659</v>
      </c>
      <c r="L7" s="8">
        <f t="shared" si="3"/>
        <v>116036</v>
      </c>
      <c r="M7" s="8">
        <f t="shared" si="3"/>
        <v>116036</v>
      </c>
      <c r="N7" s="5" t="s">
        <v>376</v>
      </c>
    </row>
    <row r="8" spans="1:15" ht="21.9" customHeight="1" x14ac:dyDescent="0.4">
      <c r="A8" s="5" t="s">
        <v>397</v>
      </c>
      <c r="B8" s="5" t="s">
        <v>333</v>
      </c>
      <c r="C8" s="5" t="s">
        <v>398</v>
      </c>
      <c r="D8" s="6" t="s">
        <v>391</v>
      </c>
      <c r="E8" s="9">
        <v>1</v>
      </c>
      <c r="F8" s="8">
        <f>중기경비!F56</f>
        <v>1134</v>
      </c>
      <c r="G8" s="8">
        <f t="shared" si="0"/>
        <v>1134</v>
      </c>
      <c r="H8" s="8">
        <f>중기경비!H56</f>
        <v>36248</v>
      </c>
      <c r="I8" s="8">
        <f t="shared" si="1"/>
        <v>36248</v>
      </c>
      <c r="J8" s="8">
        <f>중기경비!J56</f>
        <v>525</v>
      </c>
      <c r="K8" s="8">
        <f t="shared" si="2"/>
        <v>525</v>
      </c>
      <c r="L8" s="8">
        <f t="shared" si="3"/>
        <v>37907</v>
      </c>
      <c r="M8" s="8">
        <f t="shared" si="3"/>
        <v>37907</v>
      </c>
      <c r="N8" s="5" t="s">
        <v>378</v>
      </c>
    </row>
    <row r="9" spans="1:15" ht="21.9" customHeight="1" x14ac:dyDescent="0.4">
      <c r="A9" s="5" t="s">
        <v>399</v>
      </c>
      <c r="B9" s="5" t="s">
        <v>336</v>
      </c>
      <c r="C9" s="5" t="s">
        <v>400</v>
      </c>
      <c r="D9" s="6" t="s">
        <v>391</v>
      </c>
      <c r="E9" s="9">
        <v>1</v>
      </c>
      <c r="F9" s="8">
        <f>중기경비!F69</f>
        <v>38699</v>
      </c>
      <c r="G9" s="8">
        <f t="shared" si="0"/>
        <v>38699</v>
      </c>
      <c r="H9" s="8">
        <f>중기경비!H69</f>
        <v>59020</v>
      </c>
      <c r="I9" s="8">
        <f t="shared" si="1"/>
        <v>59020</v>
      </c>
      <c r="J9" s="8">
        <f>중기경비!J69</f>
        <v>72600</v>
      </c>
      <c r="K9" s="8">
        <f t="shared" si="2"/>
        <v>72600</v>
      </c>
      <c r="L9" s="8">
        <f t="shared" si="3"/>
        <v>170319</v>
      </c>
      <c r="M9" s="8">
        <f t="shared" si="3"/>
        <v>170319</v>
      </c>
      <c r="N9" s="5" t="s">
        <v>380</v>
      </c>
    </row>
    <row r="10" spans="1:15" ht="21.9" customHeight="1" x14ac:dyDescent="0.4">
      <c r="A10" s="5" t="s">
        <v>401</v>
      </c>
      <c r="B10" s="5" t="s">
        <v>393</v>
      </c>
      <c r="C10" s="5" t="s">
        <v>402</v>
      </c>
      <c r="D10" s="6" t="s">
        <v>391</v>
      </c>
      <c r="E10" s="9">
        <v>1</v>
      </c>
      <c r="F10" s="8">
        <f>중기경비!F82</f>
        <v>20013</v>
      </c>
      <c r="G10" s="8">
        <f t="shared" si="0"/>
        <v>20013</v>
      </c>
      <c r="H10" s="8">
        <f>중기경비!H82</f>
        <v>59020</v>
      </c>
      <c r="I10" s="8">
        <f t="shared" si="1"/>
        <v>59020</v>
      </c>
      <c r="J10" s="8">
        <f>중기경비!J82</f>
        <v>17514</v>
      </c>
      <c r="K10" s="8">
        <f t="shared" si="2"/>
        <v>17514</v>
      </c>
      <c r="L10" s="8">
        <f t="shared" si="3"/>
        <v>96547</v>
      </c>
      <c r="M10" s="8">
        <f t="shared" si="3"/>
        <v>96547</v>
      </c>
      <c r="N10" s="5" t="s">
        <v>374</v>
      </c>
    </row>
    <row r="11" spans="1:15" ht="21.9" customHeight="1" x14ac:dyDescent="0.4">
      <c r="A11" s="7"/>
      <c r="B11" s="7"/>
      <c r="C11" s="7"/>
      <c r="D11" s="9"/>
      <c r="E11" s="9"/>
      <c r="F11" s="8"/>
      <c r="G11" s="8"/>
      <c r="H11" s="8"/>
      <c r="I11" s="8"/>
      <c r="J11" s="8"/>
      <c r="K11" s="8"/>
      <c r="L11" s="8"/>
      <c r="M11" s="8"/>
      <c r="N11" s="7"/>
    </row>
    <row r="12" spans="1:15" ht="21.9" customHeight="1" x14ac:dyDescent="0.4">
      <c r="A12" s="7"/>
      <c r="B12" s="7"/>
      <c r="C12" s="7"/>
      <c r="D12" s="9"/>
      <c r="E12" s="9"/>
      <c r="F12" s="8"/>
      <c r="G12" s="8"/>
      <c r="H12" s="8"/>
      <c r="I12" s="8"/>
      <c r="J12" s="8"/>
      <c r="K12" s="8"/>
      <c r="L12" s="8"/>
      <c r="M12" s="8"/>
      <c r="N12" s="7"/>
    </row>
    <row r="13" spans="1:15" ht="21.9" customHeight="1" x14ac:dyDescent="0.4">
      <c r="A13" s="7"/>
      <c r="B13" s="7"/>
      <c r="C13" s="7"/>
      <c r="D13" s="9"/>
      <c r="E13" s="9"/>
      <c r="F13" s="8"/>
      <c r="G13" s="8"/>
      <c r="H13" s="8"/>
      <c r="I13" s="8"/>
      <c r="J13" s="8"/>
      <c r="K13" s="8"/>
      <c r="L13" s="8"/>
      <c r="M13" s="8"/>
      <c r="N13" s="7"/>
    </row>
    <row r="14" spans="1:15" ht="21.9" customHeight="1" x14ac:dyDescent="0.4">
      <c r="A14" s="7"/>
      <c r="B14" s="7"/>
      <c r="C14" s="7"/>
      <c r="D14" s="9"/>
      <c r="E14" s="9"/>
      <c r="F14" s="8"/>
      <c r="G14" s="8"/>
      <c r="H14" s="8"/>
      <c r="I14" s="8"/>
      <c r="J14" s="8"/>
      <c r="K14" s="8"/>
      <c r="L14" s="8"/>
      <c r="M14" s="8"/>
      <c r="N14" s="7"/>
    </row>
    <row r="15" spans="1:15" ht="21.9" customHeight="1" x14ac:dyDescent="0.4">
      <c r="A15" s="7"/>
      <c r="B15" s="7"/>
      <c r="C15" s="7"/>
      <c r="D15" s="9"/>
      <c r="E15" s="9"/>
      <c r="F15" s="8"/>
      <c r="G15" s="8"/>
      <c r="H15" s="8"/>
      <c r="I15" s="8"/>
      <c r="J15" s="8"/>
      <c r="K15" s="8"/>
      <c r="L15" s="8"/>
      <c r="M15" s="8"/>
      <c r="N15" s="7"/>
    </row>
    <row r="16" spans="1:15" ht="21.9" customHeight="1" x14ac:dyDescent="0.4">
      <c r="A16" s="7"/>
      <c r="B16" s="7"/>
      <c r="C16" s="7"/>
      <c r="D16" s="9"/>
      <c r="E16" s="9"/>
      <c r="F16" s="8"/>
      <c r="G16" s="8"/>
      <c r="H16" s="8"/>
      <c r="I16" s="8"/>
      <c r="J16" s="8"/>
      <c r="K16" s="8"/>
      <c r="L16" s="8"/>
      <c r="M16" s="8"/>
      <c r="N16" s="7"/>
    </row>
    <row r="17" spans="1:14" ht="21.9" customHeight="1" x14ac:dyDescent="0.4">
      <c r="A17" s="7"/>
      <c r="B17" s="7"/>
      <c r="C17" s="7"/>
      <c r="D17" s="9"/>
      <c r="E17" s="9"/>
      <c r="F17" s="8"/>
      <c r="G17" s="8"/>
      <c r="H17" s="8"/>
      <c r="I17" s="8"/>
      <c r="J17" s="8"/>
      <c r="K17" s="8"/>
      <c r="L17" s="8"/>
      <c r="M17" s="8"/>
      <c r="N17" s="7"/>
    </row>
    <row r="18" spans="1:14" ht="21.9" customHeight="1" x14ac:dyDescent="0.4">
      <c r="A18" s="7"/>
      <c r="B18" s="7"/>
      <c r="C18" s="7"/>
      <c r="D18" s="9"/>
      <c r="E18" s="9"/>
      <c r="F18" s="8"/>
      <c r="G18" s="8"/>
      <c r="H18" s="8"/>
      <c r="I18" s="8"/>
      <c r="J18" s="8"/>
      <c r="K18" s="8"/>
      <c r="L18" s="8"/>
      <c r="M18" s="8"/>
      <c r="N18" s="7"/>
    </row>
    <row r="19" spans="1:14" ht="21.9" customHeight="1" x14ac:dyDescent="0.4">
      <c r="A19" s="7"/>
      <c r="B19" s="7"/>
      <c r="C19" s="7"/>
      <c r="D19" s="9"/>
      <c r="E19" s="9"/>
      <c r="F19" s="8"/>
      <c r="G19" s="8"/>
      <c r="H19" s="8"/>
      <c r="I19" s="8"/>
      <c r="J19" s="8"/>
      <c r="K19" s="8"/>
      <c r="L19" s="8"/>
      <c r="M19" s="8"/>
      <c r="N19" s="7"/>
    </row>
    <row r="20" spans="1:14" ht="21.9" customHeight="1" x14ac:dyDescent="0.4">
      <c r="A20" s="7"/>
      <c r="B20" s="7"/>
      <c r="C20" s="7"/>
      <c r="D20" s="9"/>
      <c r="E20" s="9"/>
      <c r="F20" s="8"/>
      <c r="G20" s="8"/>
      <c r="H20" s="8"/>
      <c r="I20" s="8"/>
      <c r="J20" s="8"/>
      <c r="K20" s="8"/>
      <c r="L20" s="8"/>
      <c r="M20" s="8"/>
      <c r="N20" s="7"/>
    </row>
    <row r="21" spans="1:14" ht="21.9" customHeight="1" x14ac:dyDescent="0.4">
      <c r="A21" s="7"/>
      <c r="B21" s="7"/>
      <c r="C21" s="7"/>
      <c r="D21" s="9"/>
      <c r="E21" s="9"/>
      <c r="F21" s="8"/>
      <c r="G21" s="8"/>
      <c r="H21" s="8"/>
      <c r="I21" s="8"/>
      <c r="J21" s="8"/>
      <c r="K21" s="8"/>
      <c r="L21" s="8"/>
      <c r="M21" s="8"/>
      <c r="N21" s="7"/>
    </row>
    <row r="22" spans="1:14" ht="21.9" customHeight="1" x14ac:dyDescent="0.4">
      <c r="A22" s="7"/>
      <c r="B22" s="7"/>
      <c r="C22" s="7"/>
      <c r="D22" s="9"/>
      <c r="E22" s="9"/>
      <c r="F22" s="8"/>
      <c r="G22" s="8"/>
      <c r="H22" s="8"/>
      <c r="I22" s="8"/>
      <c r="J22" s="8"/>
      <c r="K22" s="8"/>
      <c r="L22" s="8"/>
      <c r="M22" s="8"/>
      <c r="N22" s="7"/>
    </row>
    <row r="23" spans="1:14" ht="21.9" customHeight="1" x14ac:dyDescent="0.4">
      <c r="A23" s="7"/>
      <c r="B23" s="7"/>
      <c r="C23" s="7"/>
      <c r="D23" s="9"/>
      <c r="E23" s="9"/>
      <c r="F23" s="8"/>
      <c r="G23" s="8"/>
      <c r="H23" s="8"/>
      <c r="I23" s="8"/>
      <c r="J23" s="8"/>
      <c r="K23" s="8"/>
      <c r="L23" s="8"/>
      <c r="M23" s="8"/>
      <c r="N23" s="7"/>
    </row>
  </sheetData>
  <mergeCells count="12">
    <mergeCell ref="J3:K3"/>
    <mergeCell ref="L3:M3"/>
    <mergeCell ref="A1:N1"/>
    <mergeCell ref="A2:N2"/>
    <mergeCell ref="A3:A4"/>
    <mergeCell ref="B3:B4"/>
    <mergeCell ref="C3:C4"/>
    <mergeCell ref="D3:D4"/>
    <mergeCell ref="E3:E4"/>
    <mergeCell ref="N3:N4"/>
    <mergeCell ref="F3:G3"/>
    <mergeCell ref="H3:I3"/>
  </mergeCells>
  <phoneticPr fontId="1" type="noConversion"/>
  <conditionalFormatting sqref="A5:N23">
    <cfRule type="containsText" dxfId="5" priority="1" stopIfTrue="1" operator="containsText" text=".">
      <formula>NOT(ISERROR(SEARCH(".",A5)))</formula>
    </cfRule>
    <cfRule type="notContainsText" dxfId="4" priority="2" stopIfTrue="1" operator="notContains" text=".">
      <formula>ISERROR(SEARCH(".",A5))</formula>
    </cfRule>
  </conditionalFormatting>
  <printOptions horizontalCentered="1"/>
  <pageMargins left="0.70866141732283472" right="0.19685039370078741" top="0.59055118110236227" bottom="0.35433070866141736" header="0.31496062992125984" footer="0.15748031496062992"/>
  <pageSetup paperSize="9" orientation="landscape" r:id="rId1"/>
  <rowBreaks count="1" manualBreakCount="1">
    <brk id="2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B7"/>
  </sheetPr>
  <dimension ref="A1:T84"/>
  <sheetViews>
    <sheetView view="pageBreakPreview" zoomScaleNormal="100" zoomScaleSheetLayoutView="100" workbookViewId="0">
      <pane xSplit="4" ySplit="4" topLeftCell="E5" activePane="bottomRight" state="frozen"/>
      <selection activeCell="F32" sqref="F32"/>
      <selection pane="topRight" activeCell="F32" sqref="F32"/>
      <selection pane="bottomLeft" activeCell="F32" sqref="F32"/>
      <selection pane="bottomRight" activeCell="A44" sqref="A44:XFD44"/>
    </sheetView>
  </sheetViews>
  <sheetFormatPr defaultRowHeight="17.399999999999999" x14ac:dyDescent="0.4"/>
  <cols>
    <col min="1" max="2" width="16.59765625" style="1" customWidth="1"/>
    <col min="3" max="3" width="3.59765625" style="2" customWidth="1"/>
    <col min="4" max="5" width="6.59765625" style="3" customWidth="1"/>
    <col min="6" max="6" width="8.59765625" style="3" customWidth="1"/>
    <col min="7" max="7" width="6.59765625" style="3" customWidth="1"/>
    <col min="8" max="8" width="8.59765625" style="3" customWidth="1"/>
    <col min="9" max="9" width="7.59765625" style="3" customWidth="1"/>
    <col min="10" max="10" width="8.59765625" style="3" customWidth="1"/>
    <col min="11" max="11" width="7.59765625" style="3" customWidth="1"/>
    <col min="12" max="12" width="10.59765625" style="3" customWidth="1"/>
    <col min="13" max="13" width="13.59765625" style="1" customWidth="1"/>
    <col min="14" max="20" width="9" hidden="1" customWidth="1"/>
  </cols>
  <sheetData>
    <row r="1" spans="1:20" ht="30" customHeight="1" x14ac:dyDescent="0.4">
      <c r="A1" s="37" t="s">
        <v>339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20" ht="21.9" customHeight="1" x14ac:dyDescent="0.4">
      <c r="A2" s="38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20" ht="21.9" customHeight="1" x14ac:dyDescent="0.4">
      <c r="A3" s="46" t="s">
        <v>340</v>
      </c>
      <c r="B3" s="46" t="s">
        <v>341</v>
      </c>
      <c r="C3" s="46" t="s">
        <v>4</v>
      </c>
      <c r="D3" s="46" t="s">
        <v>342</v>
      </c>
      <c r="E3" s="46" t="s">
        <v>343</v>
      </c>
      <c r="F3" s="46"/>
      <c r="G3" s="46" t="s">
        <v>344</v>
      </c>
      <c r="H3" s="46"/>
      <c r="I3" s="46" t="s">
        <v>345</v>
      </c>
      <c r="J3" s="46"/>
      <c r="K3" s="46" t="s">
        <v>346</v>
      </c>
      <c r="L3" s="46"/>
      <c r="M3" s="46" t="s">
        <v>347</v>
      </c>
    </row>
    <row r="4" spans="1:20" ht="21.9" customHeight="1" x14ac:dyDescent="0.4">
      <c r="A4" s="46"/>
      <c r="B4" s="46"/>
      <c r="C4" s="46"/>
      <c r="D4" s="46"/>
      <c r="E4" s="4" t="s">
        <v>348</v>
      </c>
      <c r="F4" s="4" t="s">
        <v>349</v>
      </c>
      <c r="G4" s="4" t="s">
        <v>348</v>
      </c>
      <c r="H4" s="4" t="s">
        <v>349</v>
      </c>
      <c r="I4" s="4" t="s">
        <v>348</v>
      </c>
      <c r="J4" s="4" t="s">
        <v>349</v>
      </c>
      <c r="K4" s="4" t="s">
        <v>348</v>
      </c>
      <c r="L4" s="4" t="s">
        <v>349</v>
      </c>
      <c r="M4" s="46"/>
      <c r="N4" t="s">
        <v>350</v>
      </c>
      <c r="O4" t="s">
        <v>351</v>
      </c>
      <c r="P4" t="s">
        <v>352</v>
      </c>
      <c r="Q4" t="s">
        <v>353</v>
      </c>
      <c r="R4" t="s">
        <v>354</v>
      </c>
      <c r="S4" t="s">
        <v>355</v>
      </c>
      <c r="T4" t="s">
        <v>15</v>
      </c>
    </row>
    <row r="5" spans="1:20" ht="21.15" customHeight="1" x14ac:dyDescent="0.4">
      <c r="A5" s="63" t="s">
        <v>356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5"/>
      <c r="M5" s="11" t="s">
        <v>357</v>
      </c>
    </row>
    <row r="6" spans="1:20" ht="21.15" customHeight="1" x14ac:dyDescent="0.4">
      <c r="A6" s="5" t="s">
        <v>358</v>
      </c>
      <c r="B6" s="7"/>
      <c r="C6" s="6" t="s">
        <v>359</v>
      </c>
      <c r="D6" s="8"/>
      <c r="E6" s="8"/>
      <c r="F6" s="8">
        <f>ROUNDDOWN(D6*E6, 1)</f>
        <v>0</v>
      </c>
      <c r="G6" s="8"/>
      <c r="H6" s="8">
        <f>ROUNDDOWN(D6*G6, 1)</f>
        <v>0</v>
      </c>
      <c r="I6" s="8"/>
      <c r="J6" s="8">
        <f>ROUNDDOWN(D6*I6, 1)</f>
        <v>0</v>
      </c>
      <c r="K6" s="8">
        <f t="shared" ref="K6:K15" si="0">E6+G6+I6</f>
        <v>0</v>
      </c>
      <c r="L6" s="8">
        <f t="shared" ref="L6:L15" si="1">F6+H6+J6</f>
        <v>0</v>
      </c>
      <c r="M6" s="7"/>
    </row>
    <row r="7" spans="1:20" ht="21.15" customHeight="1" x14ac:dyDescent="0.4">
      <c r="A7" s="5" t="s">
        <v>327</v>
      </c>
      <c r="B7" s="5" t="s">
        <v>328</v>
      </c>
      <c r="C7" s="6" t="s">
        <v>70</v>
      </c>
      <c r="D7" s="8">
        <v>2.2790000000000001E-4</v>
      </c>
      <c r="E7" s="8">
        <v>0</v>
      </c>
      <c r="F7" s="8">
        <f>ROUNDDOWN(D7*E7, 1)</f>
        <v>0</v>
      </c>
      <c r="G7" s="8">
        <v>0</v>
      </c>
      <c r="H7" s="8">
        <f>ROUNDDOWN(D7*G7, 1)</f>
        <v>0</v>
      </c>
      <c r="I7" s="8">
        <f>ROUNDDOWN(단가대비표!N158, 0)</f>
        <v>119000000</v>
      </c>
      <c r="J7" s="8">
        <f>ROUNDDOWN(D7*I7, 1)</f>
        <v>27120.1</v>
      </c>
      <c r="K7" s="8">
        <f t="shared" si="0"/>
        <v>119000000</v>
      </c>
      <c r="L7" s="8">
        <f t="shared" si="1"/>
        <v>27120.1</v>
      </c>
      <c r="M7" s="5" t="s">
        <v>329</v>
      </c>
      <c r="O7" s="10" t="s">
        <v>360</v>
      </c>
      <c r="P7" s="10" t="s">
        <v>361</v>
      </c>
      <c r="Q7">
        <v>1</v>
      </c>
    </row>
    <row r="8" spans="1:20" ht="21.15" customHeight="1" x14ac:dyDescent="0.4">
      <c r="A8" s="6" t="s">
        <v>362</v>
      </c>
      <c r="B8" s="7"/>
      <c r="C8" s="6" t="s">
        <v>359</v>
      </c>
      <c r="D8" s="8"/>
      <c r="E8" s="8"/>
      <c r="F8" s="8">
        <f>SUMIF(Q6:Q7, "1", F6:F7)</f>
        <v>0</v>
      </c>
      <c r="G8" s="8"/>
      <c r="H8" s="8">
        <f>SUMIF(Q6:Q7, "1", H6:H7)</f>
        <v>0</v>
      </c>
      <c r="I8" s="8"/>
      <c r="J8" s="8">
        <f>SUMIF(Q6:Q7, "1", J6:J7)</f>
        <v>27120.1</v>
      </c>
      <c r="K8" s="8">
        <f t="shared" si="0"/>
        <v>0</v>
      </c>
      <c r="L8" s="8">
        <f t="shared" si="1"/>
        <v>27120.1</v>
      </c>
      <c r="M8" s="7"/>
    </row>
    <row r="9" spans="1:20" ht="21.15" customHeight="1" x14ac:dyDescent="0.4">
      <c r="A9" s="5" t="s">
        <v>363</v>
      </c>
      <c r="B9" s="7"/>
      <c r="C9" s="6" t="s">
        <v>359</v>
      </c>
      <c r="D9" s="8"/>
      <c r="E9" s="8"/>
      <c r="F9" s="8">
        <f>ROUNDDOWN(D9*E9, 1)</f>
        <v>0</v>
      </c>
      <c r="G9" s="8"/>
      <c r="H9" s="8">
        <f>ROUNDDOWN(D9*G9, 1)</f>
        <v>0</v>
      </c>
      <c r="I9" s="8"/>
      <c r="J9" s="8">
        <f>ROUNDDOWN(D9*I9, 1)</f>
        <v>0</v>
      </c>
      <c r="K9" s="8">
        <f t="shared" si="0"/>
        <v>0</v>
      </c>
      <c r="L9" s="8">
        <f t="shared" si="1"/>
        <v>0</v>
      </c>
      <c r="M9" s="7"/>
    </row>
    <row r="10" spans="1:20" ht="21.15" customHeight="1" x14ac:dyDescent="0.4">
      <c r="A10" s="5" t="s">
        <v>56</v>
      </c>
      <c r="B10" s="5" t="s">
        <v>57</v>
      </c>
      <c r="C10" s="6" t="s">
        <v>58</v>
      </c>
      <c r="D10" s="8">
        <v>11.6</v>
      </c>
      <c r="E10" s="8">
        <f>ROUNDDOWN(단가대비표!N24, 0)</f>
        <v>1657</v>
      </c>
      <c r="F10" s="8">
        <f>ROUNDDOWN(D10*E10, 1)</f>
        <v>19221.2</v>
      </c>
      <c r="G10" s="8">
        <v>0</v>
      </c>
      <c r="H10" s="8">
        <f>ROUNDDOWN(D10*G10, 1)</f>
        <v>0</v>
      </c>
      <c r="I10" s="8">
        <v>0</v>
      </c>
      <c r="J10" s="8">
        <f>ROUNDDOWN(D10*I10, 1)</f>
        <v>0</v>
      </c>
      <c r="K10" s="8">
        <f t="shared" si="0"/>
        <v>1657</v>
      </c>
      <c r="L10" s="8">
        <f t="shared" si="1"/>
        <v>19221.2</v>
      </c>
      <c r="M10" s="7"/>
      <c r="O10" s="10" t="s">
        <v>364</v>
      </c>
      <c r="P10" s="10" t="s">
        <v>361</v>
      </c>
      <c r="Q10">
        <v>1</v>
      </c>
    </row>
    <row r="11" spans="1:20" ht="21.15" customHeight="1" x14ac:dyDescent="0.4">
      <c r="A11" s="5" t="s">
        <v>365</v>
      </c>
      <c r="B11" s="7" t="str">
        <f>"주연료비의 " &amp; N11*100 &amp; "%"</f>
        <v>주연료비의 24%</v>
      </c>
      <c r="C11" s="6" t="s">
        <v>51</v>
      </c>
      <c r="D11" s="8">
        <v>1</v>
      </c>
      <c r="E11" s="8">
        <f>SUMIF(O6:O15, "01", F6:F15)</f>
        <v>19221.2</v>
      </c>
      <c r="F11" s="8">
        <f>ROUNDDOWN((E11)*N11, 1)</f>
        <v>4613</v>
      </c>
      <c r="G11" s="8">
        <v>0</v>
      </c>
      <c r="H11" s="8">
        <v>0</v>
      </c>
      <c r="I11" s="8">
        <v>0</v>
      </c>
      <c r="J11" s="8">
        <v>0</v>
      </c>
      <c r="K11" s="8">
        <f t="shared" si="0"/>
        <v>19221.2</v>
      </c>
      <c r="L11" s="8">
        <f t="shared" si="1"/>
        <v>4613</v>
      </c>
      <c r="M11" s="5" t="s">
        <v>366</v>
      </c>
      <c r="N11">
        <v>0.24</v>
      </c>
      <c r="P11" s="10" t="s">
        <v>361</v>
      </c>
      <c r="Q11">
        <v>1</v>
      </c>
      <c r="R11" s="10" t="s">
        <v>367</v>
      </c>
      <c r="S11" s="10" t="s">
        <v>368</v>
      </c>
      <c r="T11" s="10" t="s">
        <v>369</v>
      </c>
    </row>
    <row r="12" spans="1:20" ht="21.15" customHeight="1" x14ac:dyDescent="0.4">
      <c r="A12" s="6" t="s">
        <v>362</v>
      </c>
      <c r="B12" s="7"/>
      <c r="C12" s="6" t="s">
        <v>359</v>
      </c>
      <c r="D12" s="8"/>
      <c r="E12" s="8"/>
      <c r="F12" s="8">
        <f>SUMIF(Q9:Q11, "1", F9:F11)</f>
        <v>23834.2</v>
      </c>
      <c r="G12" s="8"/>
      <c r="H12" s="8">
        <f>SUMIF(Q9:Q11, "1", H9:H11)</f>
        <v>0</v>
      </c>
      <c r="I12" s="8"/>
      <c r="J12" s="8">
        <f>SUMIF(Q9:Q11, "1", J9:J11)</f>
        <v>0</v>
      </c>
      <c r="K12" s="8">
        <f t="shared" si="0"/>
        <v>0</v>
      </c>
      <c r="L12" s="8">
        <f t="shared" si="1"/>
        <v>23834.2</v>
      </c>
      <c r="M12" s="7"/>
    </row>
    <row r="13" spans="1:20" ht="21.15" customHeight="1" x14ac:dyDescent="0.4">
      <c r="A13" s="5" t="s">
        <v>370</v>
      </c>
      <c r="B13" s="7"/>
      <c r="C13" s="6" t="s">
        <v>359</v>
      </c>
      <c r="D13" s="8"/>
      <c r="E13" s="8"/>
      <c r="F13" s="8">
        <f>ROUNDDOWN(D13*E13, 1)</f>
        <v>0</v>
      </c>
      <c r="G13" s="8"/>
      <c r="H13" s="8">
        <f>ROUNDDOWN(D13*G13, 1)</f>
        <v>0</v>
      </c>
      <c r="I13" s="8"/>
      <c r="J13" s="8">
        <f>ROUNDDOWN(D13*I13, 1)</f>
        <v>0</v>
      </c>
      <c r="K13" s="8">
        <f t="shared" si="0"/>
        <v>0</v>
      </c>
      <c r="L13" s="8">
        <f t="shared" si="1"/>
        <v>0</v>
      </c>
      <c r="M13" s="7"/>
    </row>
    <row r="14" spans="1:20" ht="21.15" customHeight="1" x14ac:dyDescent="0.4">
      <c r="A14" s="5" t="s">
        <v>306</v>
      </c>
      <c r="B14" s="5" t="s">
        <v>307</v>
      </c>
      <c r="C14" s="6" t="s">
        <v>308</v>
      </c>
      <c r="D14" s="8">
        <v>0.2083333</v>
      </c>
      <c r="E14" s="8">
        <v>0</v>
      </c>
      <c r="F14" s="8">
        <f>ROUNDDOWN(D14*E14, 1)</f>
        <v>0</v>
      </c>
      <c r="G14" s="8">
        <f>ROUNDDOWN(단가대비표!N144, 0)</f>
        <v>283297</v>
      </c>
      <c r="H14" s="8">
        <f>ROUNDDOWN(D14*G14, 1)</f>
        <v>59020.1</v>
      </c>
      <c r="I14" s="8">
        <v>0</v>
      </c>
      <c r="J14" s="8">
        <f>ROUNDDOWN(D14*I14, 1)</f>
        <v>0</v>
      </c>
      <c r="K14" s="8">
        <f t="shared" si="0"/>
        <v>283297</v>
      </c>
      <c r="L14" s="8">
        <f t="shared" si="1"/>
        <v>59020.1</v>
      </c>
      <c r="M14" s="5" t="s">
        <v>309</v>
      </c>
      <c r="O14" s="10" t="s">
        <v>371</v>
      </c>
      <c r="P14" s="10" t="s">
        <v>361</v>
      </c>
      <c r="Q14">
        <v>1</v>
      </c>
    </row>
    <row r="15" spans="1:20" ht="21.15" customHeight="1" x14ac:dyDescent="0.4">
      <c r="A15" s="6" t="s">
        <v>362</v>
      </c>
      <c r="B15" s="7"/>
      <c r="C15" s="6" t="s">
        <v>359</v>
      </c>
      <c r="D15" s="8"/>
      <c r="E15" s="8"/>
      <c r="F15" s="8">
        <f>SUMIF(Q13:Q14, "1", F13:F14)</f>
        <v>0</v>
      </c>
      <c r="G15" s="8"/>
      <c r="H15" s="8">
        <f>SUMIF(Q13:Q14, "1", H13:H14)</f>
        <v>59020.1</v>
      </c>
      <c r="I15" s="8"/>
      <c r="J15" s="8">
        <f>SUMIF(Q13:Q14, "1", J13:J14)</f>
        <v>0</v>
      </c>
      <c r="K15" s="8">
        <f t="shared" si="0"/>
        <v>0</v>
      </c>
      <c r="L15" s="8">
        <f t="shared" si="1"/>
        <v>59020.1</v>
      </c>
      <c r="M15" s="7"/>
    </row>
    <row r="16" spans="1:20" ht="21.15" customHeight="1" x14ac:dyDescent="0.4">
      <c r="A16" s="12" t="s">
        <v>372</v>
      </c>
      <c r="B16" s="13"/>
      <c r="C16" s="14"/>
      <c r="D16" s="15"/>
      <c r="E16" s="15"/>
      <c r="F16" s="15">
        <f>ROUNDDOWN(SUMIF(Q6:Q15, "1", F6:F15), 0)</f>
        <v>23834</v>
      </c>
      <c r="G16" s="15"/>
      <c r="H16" s="15">
        <f>ROUNDDOWN(SUMIF(Q6:Q15, "1", H6:H15), 0)</f>
        <v>59020</v>
      </c>
      <c r="I16" s="15"/>
      <c r="J16" s="15">
        <f>ROUNDDOWN(SUMIF(Q6:Q15, "1", J6:J15), 0)</f>
        <v>27120</v>
      </c>
      <c r="K16" s="15"/>
      <c r="L16" s="15">
        <f>F16+H16+J16</f>
        <v>109974</v>
      </c>
      <c r="M16" s="13"/>
    </row>
    <row r="17" spans="1:20" ht="21.15" customHeight="1" x14ac:dyDescent="0.4">
      <c r="A17" s="7"/>
      <c r="B17" s="7"/>
      <c r="C17" s="9"/>
      <c r="D17" s="8"/>
      <c r="E17" s="8"/>
      <c r="F17" s="8"/>
      <c r="G17" s="8"/>
      <c r="H17" s="8"/>
      <c r="I17" s="8"/>
      <c r="J17" s="8"/>
      <c r="K17" s="8"/>
      <c r="L17" s="8"/>
      <c r="M17" s="7"/>
    </row>
    <row r="18" spans="1:20" ht="21.15" customHeight="1" x14ac:dyDescent="0.4">
      <c r="A18" s="61" t="s">
        <v>373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11" t="s">
        <v>374</v>
      </c>
    </row>
    <row r="19" spans="1:20" ht="21.15" customHeight="1" x14ac:dyDescent="0.4">
      <c r="A19" s="5" t="s">
        <v>358</v>
      </c>
      <c r="B19" s="7"/>
      <c r="C19" s="6" t="s">
        <v>359</v>
      </c>
      <c r="D19" s="8"/>
      <c r="E19" s="8"/>
      <c r="F19" s="8">
        <f>ROUNDDOWN(D19*E19, 1)</f>
        <v>0</v>
      </c>
      <c r="G19" s="8"/>
      <c r="H19" s="8">
        <f>ROUNDDOWN(D19*G19, 1)</f>
        <v>0</v>
      </c>
      <c r="I19" s="8"/>
      <c r="J19" s="8">
        <f>ROUNDDOWN(D19*I19, 1)</f>
        <v>0</v>
      </c>
      <c r="K19" s="8">
        <f t="shared" ref="K19:K28" si="2">E19+G19+I19</f>
        <v>0</v>
      </c>
      <c r="L19" s="8">
        <f t="shared" ref="L19:L28" si="3">F19+H19+J19</f>
        <v>0</v>
      </c>
      <c r="M19" s="7"/>
    </row>
    <row r="20" spans="1:20" ht="21.15" customHeight="1" x14ac:dyDescent="0.4">
      <c r="A20" s="5" t="s">
        <v>323</v>
      </c>
      <c r="B20" s="5" t="s">
        <v>326</v>
      </c>
      <c r="C20" s="6" t="s">
        <v>70</v>
      </c>
      <c r="D20" s="8">
        <v>2.085E-4</v>
      </c>
      <c r="E20" s="8">
        <v>0</v>
      </c>
      <c r="F20" s="8">
        <f>ROUNDDOWN(D20*E20, 1)</f>
        <v>0</v>
      </c>
      <c r="G20" s="8">
        <v>0</v>
      </c>
      <c r="H20" s="8">
        <f>ROUNDDOWN(D20*G20, 1)</f>
        <v>0</v>
      </c>
      <c r="I20" s="8">
        <f>ROUNDDOWN(단가대비표!N157, 0)</f>
        <v>117766000</v>
      </c>
      <c r="J20" s="8">
        <f>ROUNDDOWN(D20*I20, 1)</f>
        <v>24554.2</v>
      </c>
      <c r="K20" s="8">
        <f t="shared" si="2"/>
        <v>117766000</v>
      </c>
      <c r="L20" s="8">
        <f t="shared" si="3"/>
        <v>24554.2</v>
      </c>
      <c r="M20" s="5" t="s">
        <v>325</v>
      </c>
      <c r="O20" s="10" t="s">
        <v>360</v>
      </c>
      <c r="P20" s="10" t="s">
        <v>361</v>
      </c>
      <c r="Q20">
        <v>1</v>
      </c>
    </row>
    <row r="21" spans="1:20" ht="21.15" customHeight="1" x14ac:dyDescent="0.4">
      <c r="A21" s="6" t="s">
        <v>362</v>
      </c>
      <c r="B21" s="7"/>
      <c r="C21" s="6" t="s">
        <v>359</v>
      </c>
      <c r="D21" s="8"/>
      <c r="E21" s="8"/>
      <c r="F21" s="8">
        <f>SUMIF(Q19:Q20, "1", F19:F20)</f>
        <v>0</v>
      </c>
      <c r="G21" s="8"/>
      <c r="H21" s="8">
        <f>SUMIF(Q19:Q20, "1", H19:H20)</f>
        <v>0</v>
      </c>
      <c r="I21" s="8"/>
      <c r="J21" s="8">
        <f>SUMIF(Q19:Q20, "1", J19:J20)</f>
        <v>24554.2</v>
      </c>
      <c r="K21" s="8">
        <f t="shared" si="2"/>
        <v>0</v>
      </c>
      <c r="L21" s="8">
        <f t="shared" si="3"/>
        <v>24554.2</v>
      </c>
      <c r="M21" s="7"/>
    </row>
    <row r="22" spans="1:20" ht="21.15" customHeight="1" x14ac:dyDescent="0.4">
      <c r="A22" s="5" t="s">
        <v>363</v>
      </c>
      <c r="B22" s="7"/>
      <c r="C22" s="6" t="s">
        <v>359</v>
      </c>
      <c r="D22" s="8"/>
      <c r="E22" s="8"/>
      <c r="F22" s="8">
        <f>ROUNDDOWN(D22*E22, 1)</f>
        <v>0</v>
      </c>
      <c r="G22" s="8"/>
      <c r="H22" s="8">
        <f>ROUNDDOWN(D22*G22, 1)</f>
        <v>0</v>
      </c>
      <c r="I22" s="8"/>
      <c r="J22" s="8">
        <f>ROUNDDOWN(D22*I22, 1)</f>
        <v>0</v>
      </c>
      <c r="K22" s="8">
        <f t="shared" si="2"/>
        <v>0</v>
      </c>
      <c r="L22" s="8">
        <f t="shared" si="3"/>
        <v>0</v>
      </c>
      <c r="M22" s="7"/>
    </row>
    <row r="23" spans="1:20" ht="21.15" customHeight="1" x14ac:dyDescent="0.4">
      <c r="A23" s="5" t="s">
        <v>56</v>
      </c>
      <c r="B23" s="5" t="s">
        <v>57</v>
      </c>
      <c r="C23" s="6" t="s">
        <v>58</v>
      </c>
      <c r="D23" s="8">
        <v>11.6</v>
      </c>
      <c r="E23" s="8">
        <f>ROUNDDOWN(단가대비표!N24, 0)</f>
        <v>1657</v>
      </c>
      <c r="F23" s="8">
        <f>ROUNDDOWN(D23*E23, 1)</f>
        <v>19221.2</v>
      </c>
      <c r="G23" s="8">
        <v>0</v>
      </c>
      <c r="H23" s="8">
        <f>ROUNDDOWN(D23*G23, 1)</f>
        <v>0</v>
      </c>
      <c r="I23" s="8">
        <v>0</v>
      </c>
      <c r="J23" s="8">
        <f>ROUNDDOWN(D23*I23, 1)</f>
        <v>0</v>
      </c>
      <c r="K23" s="8">
        <f t="shared" si="2"/>
        <v>1657</v>
      </c>
      <c r="L23" s="8">
        <f t="shared" si="3"/>
        <v>19221.2</v>
      </c>
      <c r="M23" s="7"/>
      <c r="O23" s="10" t="s">
        <v>364</v>
      </c>
      <c r="P23" s="10" t="s">
        <v>361</v>
      </c>
      <c r="Q23">
        <v>1</v>
      </c>
    </row>
    <row r="24" spans="1:20" ht="21.15" customHeight="1" x14ac:dyDescent="0.4">
      <c r="A24" s="5" t="s">
        <v>365</v>
      </c>
      <c r="B24" s="7" t="str">
        <f>"주연료비의 " &amp; N24*100 &amp; "%"</f>
        <v>주연료비의 22%</v>
      </c>
      <c r="C24" s="6" t="s">
        <v>51</v>
      </c>
      <c r="D24" s="8">
        <v>1</v>
      </c>
      <c r="E24" s="8">
        <f>SUMIF(O19:O28, "01", F19:F28)</f>
        <v>19221.2</v>
      </c>
      <c r="F24" s="8">
        <f>ROUNDDOWN((E24)*N24, 1)</f>
        <v>4228.6000000000004</v>
      </c>
      <c r="G24" s="8">
        <v>0</v>
      </c>
      <c r="H24" s="8">
        <v>0</v>
      </c>
      <c r="I24" s="8">
        <v>0</v>
      </c>
      <c r="J24" s="8">
        <v>0</v>
      </c>
      <c r="K24" s="8">
        <f t="shared" si="2"/>
        <v>19221.2</v>
      </c>
      <c r="L24" s="8">
        <f t="shared" si="3"/>
        <v>4228.6000000000004</v>
      </c>
      <c r="M24" s="5" t="s">
        <v>366</v>
      </c>
      <c r="N24">
        <v>0.22</v>
      </c>
      <c r="P24" s="10" t="s">
        <v>361</v>
      </c>
      <c r="Q24">
        <v>1</v>
      </c>
      <c r="R24" s="10" t="s">
        <v>367</v>
      </c>
      <c r="S24" s="10" t="s">
        <v>368</v>
      </c>
      <c r="T24" s="10" t="s">
        <v>369</v>
      </c>
    </row>
    <row r="25" spans="1:20" ht="21.15" customHeight="1" x14ac:dyDescent="0.4">
      <c r="A25" s="6" t="s">
        <v>362</v>
      </c>
      <c r="B25" s="7"/>
      <c r="C25" s="6" t="s">
        <v>359</v>
      </c>
      <c r="D25" s="8"/>
      <c r="E25" s="8"/>
      <c r="F25" s="8">
        <f>SUMIF(Q22:Q24, "1", F22:F24)</f>
        <v>23449.800000000003</v>
      </c>
      <c r="G25" s="8"/>
      <c r="H25" s="8">
        <f>SUMIF(Q22:Q24, "1", H22:H24)</f>
        <v>0</v>
      </c>
      <c r="I25" s="8"/>
      <c r="J25" s="8">
        <f>SUMIF(Q22:Q24, "1", J22:J24)</f>
        <v>0</v>
      </c>
      <c r="K25" s="8">
        <f t="shared" si="2"/>
        <v>0</v>
      </c>
      <c r="L25" s="8">
        <f t="shared" si="3"/>
        <v>23449.800000000003</v>
      </c>
      <c r="M25" s="7"/>
    </row>
    <row r="26" spans="1:20" ht="21.15" customHeight="1" x14ac:dyDescent="0.4">
      <c r="A26" s="5" t="s">
        <v>370</v>
      </c>
      <c r="B26" s="7"/>
      <c r="C26" s="6" t="s">
        <v>359</v>
      </c>
      <c r="D26" s="8"/>
      <c r="E26" s="8"/>
      <c r="F26" s="8">
        <f>ROUNDDOWN(D26*E26, 1)</f>
        <v>0</v>
      </c>
      <c r="G26" s="8"/>
      <c r="H26" s="8">
        <f>ROUNDDOWN(D26*G26, 1)</f>
        <v>0</v>
      </c>
      <c r="I26" s="8"/>
      <c r="J26" s="8">
        <f>ROUNDDOWN(D26*I26, 1)</f>
        <v>0</v>
      </c>
      <c r="K26" s="8">
        <f t="shared" si="2"/>
        <v>0</v>
      </c>
      <c r="L26" s="8">
        <f t="shared" si="3"/>
        <v>0</v>
      </c>
      <c r="M26" s="7"/>
    </row>
    <row r="27" spans="1:20" ht="21.15" customHeight="1" x14ac:dyDescent="0.4">
      <c r="A27" s="5" t="s">
        <v>306</v>
      </c>
      <c r="B27" s="5" t="s">
        <v>307</v>
      </c>
      <c r="C27" s="6" t="s">
        <v>308</v>
      </c>
      <c r="D27" s="8">
        <v>0.2083333</v>
      </c>
      <c r="E27" s="8">
        <v>0</v>
      </c>
      <c r="F27" s="8">
        <f>ROUNDDOWN(D27*E27, 1)</f>
        <v>0</v>
      </c>
      <c r="G27" s="8">
        <f>ROUNDDOWN(단가대비표!N144, 0)</f>
        <v>283297</v>
      </c>
      <c r="H27" s="8">
        <f>ROUNDDOWN(D27*G27, 1)</f>
        <v>59020.1</v>
      </c>
      <c r="I27" s="8">
        <v>0</v>
      </c>
      <c r="J27" s="8">
        <f>ROUNDDOWN(D27*I27, 1)</f>
        <v>0</v>
      </c>
      <c r="K27" s="8">
        <f t="shared" si="2"/>
        <v>283297</v>
      </c>
      <c r="L27" s="8">
        <f t="shared" si="3"/>
        <v>59020.1</v>
      </c>
      <c r="M27" s="5" t="s">
        <v>309</v>
      </c>
      <c r="O27" s="10" t="s">
        <v>371</v>
      </c>
      <c r="P27" s="10" t="s">
        <v>361</v>
      </c>
      <c r="Q27">
        <v>1</v>
      </c>
    </row>
    <row r="28" spans="1:20" ht="21.15" customHeight="1" x14ac:dyDescent="0.4">
      <c r="A28" s="6" t="s">
        <v>362</v>
      </c>
      <c r="B28" s="7"/>
      <c r="C28" s="6" t="s">
        <v>359</v>
      </c>
      <c r="D28" s="8"/>
      <c r="E28" s="8"/>
      <c r="F28" s="8">
        <f>SUMIF(Q26:Q27, "1", F26:F27)</f>
        <v>0</v>
      </c>
      <c r="G28" s="8"/>
      <c r="H28" s="8">
        <f>SUMIF(Q26:Q27, "1", H26:H27)</f>
        <v>59020.1</v>
      </c>
      <c r="I28" s="8"/>
      <c r="J28" s="8">
        <f>SUMIF(Q26:Q27, "1", J26:J27)</f>
        <v>0</v>
      </c>
      <c r="K28" s="8">
        <f t="shared" si="2"/>
        <v>0</v>
      </c>
      <c r="L28" s="8">
        <f t="shared" si="3"/>
        <v>59020.1</v>
      </c>
      <c r="M28" s="7"/>
    </row>
    <row r="29" spans="1:20" ht="21.15" customHeight="1" x14ac:dyDescent="0.4">
      <c r="A29" s="12" t="s">
        <v>372</v>
      </c>
      <c r="B29" s="13"/>
      <c r="C29" s="14"/>
      <c r="D29" s="15"/>
      <c r="E29" s="15"/>
      <c r="F29" s="15">
        <f>ROUNDDOWN(SUMIF(Q19:Q28, "1", F19:F28), 0)</f>
        <v>23449</v>
      </c>
      <c r="G29" s="15"/>
      <c r="H29" s="15">
        <f>ROUNDDOWN(SUMIF(Q19:Q28, "1", H19:H28), 0)</f>
        <v>59020</v>
      </c>
      <c r="I29" s="15"/>
      <c r="J29" s="15">
        <f>ROUNDDOWN(SUMIF(Q19:Q28, "1", J19:J28), 0)</f>
        <v>24554</v>
      </c>
      <c r="K29" s="15"/>
      <c r="L29" s="15">
        <f>F29+H29+J29</f>
        <v>107023</v>
      </c>
      <c r="M29" s="13"/>
    </row>
    <row r="30" spans="1:20" ht="21.15" customHeight="1" x14ac:dyDescent="0.4">
      <c r="A30" s="7"/>
      <c r="B30" s="7"/>
      <c r="C30" s="9"/>
      <c r="D30" s="8"/>
      <c r="E30" s="8"/>
      <c r="F30" s="8"/>
      <c r="G30" s="8"/>
      <c r="H30" s="8"/>
      <c r="I30" s="8"/>
      <c r="J30" s="8"/>
      <c r="K30" s="8"/>
      <c r="L30" s="8"/>
      <c r="M30" s="7"/>
    </row>
    <row r="31" spans="1:20" ht="21.15" customHeight="1" x14ac:dyDescent="0.4">
      <c r="A31" s="61" t="s">
        <v>375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11" t="s">
        <v>376</v>
      </c>
    </row>
    <row r="32" spans="1:20" ht="21.15" customHeight="1" x14ac:dyDescent="0.4">
      <c r="A32" s="5" t="s">
        <v>358</v>
      </c>
      <c r="B32" s="7"/>
      <c r="C32" s="6" t="s">
        <v>359</v>
      </c>
      <c r="D32" s="8"/>
      <c r="E32" s="8"/>
      <c r="F32" s="8">
        <f>ROUNDDOWN(D32*E32, 1)</f>
        <v>0</v>
      </c>
      <c r="G32" s="8"/>
      <c r="H32" s="8">
        <f>ROUNDDOWN(D32*G32, 1)</f>
        <v>0</v>
      </c>
      <c r="I32" s="8"/>
      <c r="J32" s="8">
        <f>ROUNDDOWN(D32*I32, 1)</f>
        <v>0</v>
      </c>
      <c r="K32" s="8">
        <f t="shared" ref="K32:K41" si="4">E32+G32+I32</f>
        <v>0</v>
      </c>
      <c r="L32" s="8">
        <f t="shared" ref="L32:L41" si="5">F32+H32+J32</f>
        <v>0</v>
      </c>
      <c r="M32" s="7"/>
    </row>
    <row r="33" spans="1:20" ht="21.15" customHeight="1" x14ac:dyDescent="0.4">
      <c r="A33" s="5" t="s">
        <v>330</v>
      </c>
      <c r="B33" s="5" t="s">
        <v>331</v>
      </c>
      <c r="C33" s="6" t="s">
        <v>70</v>
      </c>
      <c r="D33" s="8">
        <v>2.2790000000000001E-4</v>
      </c>
      <c r="E33" s="8">
        <v>0</v>
      </c>
      <c r="F33" s="8">
        <f>ROUNDDOWN(D33*E33, 1)</f>
        <v>0</v>
      </c>
      <c r="G33" s="8">
        <v>0</v>
      </c>
      <c r="H33" s="8">
        <f>ROUNDDOWN(D33*G33, 1)</f>
        <v>0</v>
      </c>
      <c r="I33" s="8">
        <f>ROUNDDOWN(단가대비표!N159, 0)</f>
        <v>90653000</v>
      </c>
      <c r="J33" s="8">
        <f>ROUNDDOWN(D33*I33, 1)</f>
        <v>20659.8</v>
      </c>
      <c r="K33" s="8">
        <f t="shared" si="4"/>
        <v>90653000</v>
      </c>
      <c r="L33" s="8">
        <f t="shared" si="5"/>
        <v>20659.8</v>
      </c>
      <c r="M33" s="5" t="s">
        <v>332</v>
      </c>
      <c r="O33" s="10" t="s">
        <v>360</v>
      </c>
      <c r="P33" s="10" t="s">
        <v>361</v>
      </c>
      <c r="Q33">
        <v>1</v>
      </c>
    </row>
    <row r="34" spans="1:20" ht="21.15" customHeight="1" x14ac:dyDescent="0.4">
      <c r="A34" s="6" t="s">
        <v>362</v>
      </c>
      <c r="B34" s="7"/>
      <c r="C34" s="6" t="s">
        <v>359</v>
      </c>
      <c r="D34" s="8"/>
      <c r="E34" s="8"/>
      <c r="F34" s="8">
        <f>SUMIF(Q32:Q33, "1", F32:F33)</f>
        <v>0</v>
      </c>
      <c r="G34" s="8"/>
      <c r="H34" s="8">
        <f>SUMIF(Q32:Q33, "1", H32:H33)</f>
        <v>0</v>
      </c>
      <c r="I34" s="8"/>
      <c r="J34" s="8">
        <f>SUMIF(Q32:Q33, "1", J32:J33)</f>
        <v>20659.8</v>
      </c>
      <c r="K34" s="8">
        <f t="shared" si="4"/>
        <v>0</v>
      </c>
      <c r="L34" s="8">
        <f t="shared" si="5"/>
        <v>20659.8</v>
      </c>
      <c r="M34" s="7"/>
    </row>
    <row r="35" spans="1:20" ht="21.15" customHeight="1" x14ac:dyDescent="0.4">
      <c r="A35" s="5" t="s">
        <v>363</v>
      </c>
      <c r="B35" s="7"/>
      <c r="C35" s="6" t="s">
        <v>359</v>
      </c>
      <c r="D35" s="8"/>
      <c r="E35" s="8"/>
      <c r="F35" s="8">
        <f>ROUNDDOWN(D35*E35, 1)</f>
        <v>0</v>
      </c>
      <c r="G35" s="8"/>
      <c r="H35" s="8">
        <f>ROUNDDOWN(D35*G35, 1)</f>
        <v>0</v>
      </c>
      <c r="I35" s="8"/>
      <c r="J35" s="8">
        <f>ROUNDDOWN(D35*I35, 1)</f>
        <v>0</v>
      </c>
      <c r="K35" s="8">
        <f t="shared" si="4"/>
        <v>0</v>
      </c>
      <c r="L35" s="8">
        <f t="shared" si="5"/>
        <v>0</v>
      </c>
      <c r="M35" s="7"/>
    </row>
    <row r="36" spans="1:20" ht="21.15" customHeight="1" x14ac:dyDescent="0.4">
      <c r="A36" s="5" t="s">
        <v>56</v>
      </c>
      <c r="B36" s="5" t="s">
        <v>57</v>
      </c>
      <c r="C36" s="6" t="s">
        <v>58</v>
      </c>
      <c r="D36" s="8">
        <v>15.9</v>
      </c>
      <c r="E36" s="8">
        <f>ROUNDDOWN(단가대비표!N24, 0)</f>
        <v>1657</v>
      </c>
      <c r="F36" s="8">
        <f>ROUNDDOWN(D36*E36, 1)</f>
        <v>26346.3</v>
      </c>
      <c r="G36" s="8">
        <v>0</v>
      </c>
      <c r="H36" s="8">
        <f>ROUNDDOWN(D36*G36, 1)</f>
        <v>0</v>
      </c>
      <c r="I36" s="8">
        <v>0</v>
      </c>
      <c r="J36" s="8">
        <f>ROUNDDOWN(D36*I36, 1)</f>
        <v>0</v>
      </c>
      <c r="K36" s="8">
        <f t="shared" si="4"/>
        <v>1657</v>
      </c>
      <c r="L36" s="8">
        <f t="shared" si="5"/>
        <v>26346.3</v>
      </c>
      <c r="M36" s="7"/>
      <c r="O36" s="10" t="s">
        <v>364</v>
      </c>
      <c r="P36" s="10" t="s">
        <v>361</v>
      </c>
      <c r="Q36">
        <v>1</v>
      </c>
    </row>
    <row r="37" spans="1:20" ht="21.15" customHeight="1" x14ac:dyDescent="0.4">
      <c r="A37" s="5" t="s">
        <v>365</v>
      </c>
      <c r="B37" s="7" t="str">
        <f>"주연료비의 " &amp; N37*100 &amp; "%"</f>
        <v>주연료비의 38%</v>
      </c>
      <c r="C37" s="6" t="s">
        <v>51</v>
      </c>
      <c r="D37" s="8">
        <v>1</v>
      </c>
      <c r="E37" s="8">
        <f>SUMIF(O32:O41, "01", F32:F41)</f>
        <v>26346.3</v>
      </c>
      <c r="F37" s="8">
        <f>ROUNDDOWN((E37)*N37, 1)</f>
        <v>10011.5</v>
      </c>
      <c r="G37" s="8">
        <v>0</v>
      </c>
      <c r="H37" s="8">
        <v>0</v>
      </c>
      <c r="I37" s="8">
        <v>0</v>
      </c>
      <c r="J37" s="8">
        <v>0</v>
      </c>
      <c r="K37" s="8">
        <f t="shared" si="4"/>
        <v>26346.3</v>
      </c>
      <c r="L37" s="8">
        <f t="shared" si="5"/>
        <v>10011.5</v>
      </c>
      <c r="M37" s="5" t="s">
        <v>366</v>
      </c>
      <c r="N37">
        <v>0.38</v>
      </c>
      <c r="P37" s="10" t="s">
        <v>361</v>
      </c>
      <c r="Q37">
        <v>1</v>
      </c>
      <c r="R37" s="10" t="s">
        <v>367</v>
      </c>
      <c r="S37" s="10" t="s">
        <v>368</v>
      </c>
      <c r="T37" s="10" t="s">
        <v>369</v>
      </c>
    </row>
    <row r="38" spans="1:20" ht="21.15" customHeight="1" x14ac:dyDescent="0.4">
      <c r="A38" s="6" t="s">
        <v>362</v>
      </c>
      <c r="B38" s="7"/>
      <c r="C38" s="6" t="s">
        <v>359</v>
      </c>
      <c r="D38" s="8"/>
      <c r="E38" s="8"/>
      <c r="F38" s="8">
        <f>SUMIF(Q35:Q37, "1", F35:F37)</f>
        <v>36357.800000000003</v>
      </c>
      <c r="G38" s="8"/>
      <c r="H38" s="8">
        <f>SUMIF(Q35:Q37, "1", H35:H37)</f>
        <v>0</v>
      </c>
      <c r="I38" s="8"/>
      <c r="J38" s="8">
        <f>SUMIF(Q35:Q37, "1", J35:J37)</f>
        <v>0</v>
      </c>
      <c r="K38" s="8">
        <f t="shared" si="4"/>
        <v>0</v>
      </c>
      <c r="L38" s="8">
        <f t="shared" si="5"/>
        <v>36357.800000000003</v>
      </c>
      <c r="M38" s="7"/>
    </row>
    <row r="39" spans="1:20" ht="21.15" customHeight="1" x14ac:dyDescent="0.4">
      <c r="A39" s="5" t="s">
        <v>370</v>
      </c>
      <c r="B39" s="7"/>
      <c r="C39" s="6" t="s">
        <v>359</v>
      </c>
      <c r="D39" s="8"/>
      <c r="E39" s="8"/>
      <c r="F39" s="8">
        <f>ROUNDDOWN(D39*E39, 1)</f>
        <v>0</v>
      </c>
      <c r="G39" s="8"/>
      <c r="H39" s="8">
        <f>ROUNDDOWN(D39*G39, 1)</f>
        <v>0</v>
      </c>
      <c r="I39" s="8"/>
      <c r="J39" s="8">
        <f>ROUNDDOWN(D39*I39, 1)</f>
        <v>0</v>
      </c>
      <c r="K39" s="8">
        <f t="shared" si="4"/>
        <v>0</v>
      </c>
      <c r="L39" s="8">
        <f t="shared" si="5"/>
        <v>0</v>
      </c>
      <c r="M39" s="7"/>
    </row>
    <row r="40" spans="1:20" ht="21.15" customHeight="1" x14ac:dyDescent="0.4">
      <c r="A40" s="5" t="s">
        <v>306</v>
      </c>
      <c r="B40" s="5" t="s">
        <v>307</v>
      </c>
      <c r="C40" s="6" t="s">
        <v>308</v>
      </c>
      <c r="D40" s="8">
        <v>0.2083333</v>
      </c>
      <c r="E40" s="8">
        <v>0</v>
      </c>
      <c r="F40" s="8">
        <f>ROUNDDOWN(D40*E40, 1)</f>
        <v>0</v>
      </c>
      <c r="G40" s="8">
        <f>ROUNDDOWN(단가대비표!N144, 0)</f>
        <v>283297</v>
      </c>
      <c r="H40" s="8">
        <f>ROUNDDOWN(D40*G40, 1)</f>
        <v>59020.1</v>
      </c>
      <c r="I40" s="8">
        <v>0</v>
      </c>
      <c r="J40" s="8">
        <f>ROUNDDOWN(D40*I40, 1)</f>
        <v>0</v>
      </c>
      <c r="K40" s="8">
        <f t="shared" si="4"/>
        <v>283297</v>
      </c>
      <c r="L40" s="8">
        <f t="shared" si="5"/>
        <v>59020.1</v>
      </c>
      <c r="M40" s="5" t="s">
        <v>309</v>
      </c>
      <c r="O40" s="10" t="s">
        <v>371</v>
      </c>
      <c r="P40" s="10" t="s">
        <v>361</v>
      </c>
      <c r="Q40">
        <v>1</v>
      </c>
    </row>
    <row r="41" spans="1:20" ht="21.15" customHeight="1" x14ac:dyDescent="0.4">
      <c r="A41" s="6" t="s">
        <v>362</v>
      </c>
      <c r="B41" s="7"/>
      <c r="C41" s="6" t="s">
        <v>359</v>
      </c>
      <c r="D41" s="8"/>
      <c r="E41" s="8"/>
      <c r="F41" s="8">
        <f>SUMIF(Q39:Q40, "1", F39:F40)</f>
        <v>0</v>
      </c>
      <c r="G41" s="8"/>
      <c r="H41" s="8">
        <f>SUMIF(Q39:Q40, "1", H39:H40)</f>
        <v>59020.1</v>
      </c>
      <c r="I41" s="8"/>
      <c r="J41" s="8">
        <f>SUMIF(Q39:Q40, "1", J39:J40)</f>
        <v>0</v>
      </c>
      <c r="K41" s="8">
        <f t="shared" si="4"/>
        <v>0</v>
      </c>
      <c r="L41" s="8">
        <f t="shared" si="5"/>
        <v>59020.1</v>
      </c>
      <c r="M41" s="7"/>
    </row>
    <row r="42" spans="1:20" ht="21.15" customHeight="1" x14ac:dyDescent="0.4">
      <c r="A42" s="12" t="s">
        <v>372</v>
      </c>
      <c r="B42" s="13"/>
      <c r="C42" s="14"/>
      <c r="D42" s="15"/>
      <c r="E42" s="15"/>
      <c r="F42" s="15">
        <f>ROUNDDOWN(SUMIF(Q32:Q41, "1", F32:F41), 0)</f>
        <v>36357</v>
      </c>
      <c r="G42" s="15"/>
      <c r="H42" s="15">
        <f>ROUNDDOWN(SUMIF(Q32:Q41, "1", H32:H41), 0)</f>
        <v>59020</v>
      </c>
      <c r="I42" s="15"/>
      <c r="J42" s="15">
        <f>ROUNDDOWN(SUMIF(Q32:Q41, "1", J32:J41), 0)</f>
        <v>20659</v>
      </c>
      <c r="K42" s="15"/>
      <c r="L42" s="15">
        <f>F42+H42+J42</f>
        <v>116036</v>
      </c>
      <c r="M42" s="13"/>
    </row>
    <row r="43" spans="1:20" ht="21.15" customHeight="1" x14ac:dyDescent="0.4">
      <c r="A43" s="7"/>
      <c r="B43" s="7"/>
      <c r="C43" s="9"/>
      <c r="D43" s="8"/>
      <c r="E43" s="8"/>
      <c r="F43" s="8"/>
      <c r="G43" s="8"/>
      <c r="H43" s="8"/>
      <c r="I43" s="8"/>
      <c r="J43" s="8"/>
      <c r="K43" s="8"/>
      <c r="L43" s="8"/>
      <c r="M43" s="7"/>
    </row>
    <row r="44" spans="1:20" ht="21.15" customHeight="1" x14ac:dyDescent="0.4">
      <c r="A44" s="7"/>
      <c r="B44" s="7"/>
      <c r="C44" s="9"/>
      <c r="D44" s="8"/>
      <c r="E44" s="8"/>
      <c r="F44" s="8"/>
      <c r="G44" s="8"/>
      <c r="H44" s="8"/>
      <c r="I44" s="8"/>
      <c r="J44" s="8"/>
      <c r="K44" s="8"/>
      <c r="L44" s="8"/>
      <c r="M44" s="7"/>
    </row>
    <row r="45" spans="1:20" ht="21.15" customHeight="1" x14ac:dyDescent="0.4">
      <c r="A45" s="61" t="s">
        <v>377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11" t="s">
        <v>378</v>
      </c>
    </row>
    <row r="46" spans="1:20" ht="21.15" customHeight="1" x14ac:dyDescent="0.4">
      <c r="A46" s="5" t="s">
        <v>358</v>
      </c>
      <c r="B46" s="7"/>
      <c r="C46" s="6" t="s">
        <v>359</v>
      </c>
      <c r="D46" s="8"/>
      <c r="E46" s="8"/>
      <c r="F46" s="8">
        <f>ROUNDDOWN(D46*E46, 1)</f>
        <v>0</v>
      </c>
      <c r="G46" s="8"/>
      <c r="H46" s="8">
        <f>ROUNDDOWN(D46*G46, 1)</f>
        <v>0</v>
      </c>
      <c r="I46" s="8"/>
      <c r="J46" s="8">
        <f>ROUNDDOWN(D46*I46, 1)</f>
        <v>0</v>
      </c>
      <c r="K46" s="8">
        <f t="shared" ref="K46:K55" si="6">E46+G46+I46</f>
        <v>0</v>
      </c>
      <c r="L46" s="8">
        <f t="shared" ref="L46:L55" si="7">F46+H46+J46</f>
        <v>0</v>
      </c>
      <c r="M46" s="7"/>
    </row>
    <row r="47" spans="1:20" ht="21.15" customHeight="1" x14ac:dyDescent="0.4">
      <c r="A47" s="5" t="s">
        <v>333</v>
      </c>
      <c r="B47" s="5" t="s">
        <v>334</v>
      </c>
      <c r="C47" s="6" t="s">
        <v>70</v>
      </c>
      <c r="D47" s="8">
        <v>3.7080000000000001E-4</v>
      </c>
      <c r="E47" s="8">
        <v>0</v>
      </c>
      <c r="F47" s="8">
        <f>ROUNDDOWN(D47*E47, 1)</f>
        <v>0</v>
      </c>
      <c r="G47" s="8">
        <v>0</v>
      </c>
      <c r="H47" s="8">
        <f>ROUNDDOWN(D47*G47, 1)</f>
        <v>0</v>
      </c>
      <c r="I47" s="8">
        <f>ROUNDDOWN(단가대비표!N160, 0)</f>
        <v>1418000</v>
      </c>
      <c r="J47" s="8">
        <f>ROUNDDOWN(D47*I47, 1)</f>
        <v>525.70000000000005</v>
      </c>
      <c r="K47" s="8">
        <f t="shared" si="6"/>
        <v>1418000</v>
      </c>
      <c r="L47" s="8">
        <f t="shared" si="7"/>
        <v>525.70000000000005</v>
      </c>
      <c r="M47" s="5" t="s">
        <v>335</v>
      </c>
      <c r="O47" s="10" t="s">
        <v>360</v>
      </c>
      <c r="P47" s="10" t="s">
        <v>361</v>
      </c>
      <c r="Q47">
        <v>1</v>
      </c>
    </row>
    <row r="48" spans="1:20" ht="21.15" customHeight="1" x14ac:dyDescent="0.4">
      <c r="A48" s="6" t="s">
        <v>362</v>
      </c>
      <c r="B48" s="7"/>
      <c r="C48" s="6" t="s">
        <v>359</v>
      </c>
      <c r="D48" s="8"/>
      <c r="E48" s="8"/>
      <c r="F48" s="8">
        <f>SUMIF(Q46:Q47, "1", F46:F47)</f>
        <v>0</v>
      </c>
      <c r="G48" s="8"/>
      <c r="H48" s="8">
        <f>SUMIF(Q46:Q47, "1", H46:H47)</f>
        <v>0</v>
      </c>
      <c r="I48" s="8"/>
      <c r="J48" s="8">
        <f>SUMIF(Q46:Q47, "1", J46:J47)</f>
        <v>525.70000000000005</v>
      </c>
      <c r="K48" s="8">
        <f t="shared" si="6"/>
        <v>0</v>
      </c>
      <c r="L48" s="8">
        <f t="shared" si="7"/>
        <v>525.70000000000005</v>
      </c>
      <c r="M48" s="7"/>
    </row>
    <row r="49" spans="1:20" ht="21.15" customHeight="1" x14ac:dyDescent="0.4">
      <c r="A49" s="5" t="s">
        <v>363</v>
      </c>
      <c r="B49" s="7"/>
      <c r="C49" s="6" t="s">
        <v>359</v>
      </c>
      <c r="D49" s="8"/>
      <c r="E49" s="8"/>
      <c r="F49" s="8">
        <f>ROUNDDOWN(D49*E49, 1)</f>
        <v>0</v>
      </c>
      <c r="G49" s="8"/>
      <c r="H49" s="8">
        <f>ROUNDDOWN(D49*G49, 1)</f>
        <v>0</v>
      </c>
      <c r="I49" s="8"/>
      <c r="J49" s="8">
        <f>ROUNDDOWN(D49*I49, 1)</f>
        <v>0</v>
      </c>
      <c r="K49" s="8">
        <f t="shared" si="6"/>
        <v>0</v>
      </c>
      <c r="L49" s="8">
        <f t="shared" si="7"/>
        <v>0</v>
      </c>
      <c r="M49" s="7"/>
    </row>
    <row r="50" spans="1:20" ht="21.15" customHeight="1" x14ac:dyDescent="0.4">
      <c r="A50" s="5" t="s">
        <v>71</v>
      </c>
      <c r="B50" s="5" t="s">
        <v>72</v>
      </c>
      <c r="C50" s="6" t="s">
        <v>58</v>
      </c>
      <c r="D50" s="8">
        <v>0.7</v>
      </c>
      <c r="E50" s="8">
        <f>ROUNDDOWN(단가대비표!N28, 0)</f>
        <v>1473</v>
      </c>
      <c r="F50" s="8">
        <f>ROUNDDOWN(D50*E50, 1)</f>
        <v>1031.0999999999999</v>
      </c>
      <c r="G50" s="8">
        <v>0</v>
      </c>
      <c r="H50" s="8">
        <f>ROUNDDOWN(D50*G50, 1)</f>
        <v>0</v>
      </c>
      <c r="I50" s="8">
        <v>0</v>
      </c>
      <c r="J50" s="8">
        <f>ROUNDDOWN(D50*I50, 1)</f>
        <v>0</v>
      </c>
      <c r="K50" s="8">
        <f t="shared" si="6"/>
        <v>1473</v>
      </c>
      <c r="L50" s="8">
        <f t="shared" si="7"/>
        <v>1031.0999999999999</v>
      </c>
      <c r="M50" s="7"/>
      <c r="O50" s="10" t="s">
        <v>364</v>
      </c>
      <c r="P50" s="10" t="s">
        <v>361</v>
      </c>
      <c r="Q50">
        <v>1</v>
      </c>
    </row>
    <row r="51" spans="1:20" ht="21.15" customHeight="1" x14ac:dyDescent="0.4">
      <c r="A51" s="5" t="s">
        <v>365</v>
      </c>
      <c r="B51" s="7" t="str">
        <f>"주연료비의 " &amp; N51*100 &amp; "%"</f>
        <v>주연료비의 10%</v>
      </c>
      <c r="C51" s="6" t="s">
        <v>51</v>
      </c>
      <c r="D51" s="8">
        <v>1</v>
      </c>
      <c r="E51" s="8">
        <f>SUMIF(O46:O55, "01", F46:F55)</f>
        <v>1031.0999999999999</v>
      </c>
      <c r="F51" s="8">
        <f>ROUNDDOWN((E51)*N51, 1)</f>
        <v>103.1</v>
      </c>
      <c r="G51" s="8">
        <v>0</v>
      </c>
      <c r="H51" s="8">
        <v>0</v>
      </c>
      <c r="I51" s="8">
        <v>0</v>
      </c>
      <c r="J51" s="8">
        <v>0</v>
      </c>
      <c r="K51" s="8">
        <f t="shared" si="6"/>
        <v>1031.0999999999999</v>
      </c>
      <c r="L51" s="8">
        <f t="shared" si="7"/>
        <v>103.1</v>
      </c>
      <c r="M51" s="5" t="s">
        <v>366</v>
      </c>
      <c r="N51">
        <v>0.1</v>
      </c>
      <c r="P51" s="10" t="s">
        <v>361</v>
      </c>
      <c r="Q51">
        <v>1</v>
      </c>
      <c r="R51" s="10" t="s">
        <v>367</v>
      </c>
      <c r="S51" s="10" t="s">
        <v>368</v>
      </c>
      <c r="T51" s="10" t="s">
        <v>369</v>
      </c>
    </row>
    <row r="52" spans="1:20" ht="21.15" customHeight="1" x14ac:dyDescent="0.4">
      <c r="A52" s="6" t="s">
        <v>362</v>
      </c>
      <c r="B52" s="7"/>
      <c r="C52" s="6" t="s">
        <v>359</v>
      </c>
      <c r="D52" s="8"/>
      <c r="E52" s="8"/>
      <c r="F52" s="8">
        <f>SUMIF(Q49:Q51, "1", F49:F51)</f>
        <v>1134.1999999999998</v>
      </c>
      <c r="G52" s="8"/>
      <c r="H52" s="8">
        <f>SUMIF(Q49:Q51, "1", H49:H51)</f>
        <v>0</v>
      </c>
      <c r="I52" s="8"/>
      <c r="J52" s="8">
        <f>SUMIF(Q49:Q51, "1", J49:J51)</f>
        <v>0</v>
      </c>
      <c r="K52" s="8">
        <f t="shared" si="6"/>
        <v>0</v>
      </c>
      <c r="L52" s="8">
        <f t="shared" si="7"/>
        <v>1134.1999999999998</v>
      </c>
      <c r="M52" s="7"/>
    </row>
    <row r="53" spans="1:20" ht="21.15" customHeight="1" x14ac:dyDescent="0.4">
      <c r="A53" s="5" t="s">
        <v>370</v>
      </c>
      <c r="B53" s="7"/>
      <c r="C53" s="6" t="s">
        <v>359</v>
      </c>
      <c r="D53" s="8"/>
      <c r="E53" s="8"/>
      <c r="F53" s="8">
        <f>ROUNDDOWN(D53*E53, 1)</f>
        <v>0</v>
      </c>
      <c r="G53" s="8"/>
      <c r="H53" s="8">
        <f>ROUNDDOWN(D53*G53, 1)</f>
        <v>0</v>
      </c>
      <c r="I53" s="8"/>
      <c r="J53" s="8">
        <f>ROUNDDOWN(D53*I53, 1)</f>
        <v>0</v>
      </c>
      <c r="K53" s="8">
        <f t="shared" si="6"/>
        <v>0</v>
      </c>
      <c r="L53" s="8">
        <f t="shared" si="7"/>
        <v>0</v>
      </c>
      <c r="M53" s="7"/>
    </row>
    <row r="54" spans="1:20" ht="21.15" customHeight="1" x14ac:dyDescent="0.4">
      <c r="A54" s="5" t="s">
        <v>314</v>
      </c>
      <c r="B54" s="5" t="s">
        <v>307</v>
      </c>
      <c r="C54" s="6" t="s">
        <v>308</v>
      </c>
      <c r="D54" s="8">
        <v>0.2083333</v>
      </c>
      <c r="E54" s="8">
        <v>0</v>
      </c>
      <c r="F54" s="8">
        <f>ROUNDDOWN(D54*E54, 1)</f>
        <v>0</v>
      </c>
      <c r="G54" s="8">
        <f>ROUNDDOWN(단가대비표!N148, 0)</f>
        <v>173995</v>
      </c>
      <c r="H54" s="8">
        <f>ROUNDDOWN(D54*G54, 1)</f>
        <v>36248.9</v>
      </c>
      <c r="I54" s="8">
        <v>0</v>
      </c>
      <c r="J54" s="8">
        <f>ROUNDDOWN(D54*I54, 1)</f>
        <v>0</v>
      </c>
      <c r="K54" s="8">
        <f t="shared" si="6"/>
        <v>173995</v>
      </c>
      <c r="L54" s="8">
        <f t="shared" si="7"/>
        <v>36248.9</v>
      </c>
      <c r="M54" s="5" t="s">
        <v>315</v>
      </c>
      <c r="O54" s="10" t="s">
        <v>371</v>
      </c>
      <c r="P54" s="10" t="s">
        <v>361</v>
      </c>
      <c r="Q54">
        <v>1</v>
      </c>
    </row>
    <row r="55" spans="1:20" ht="21.15" customHeight="1" x14ac:dyDescent="0.4">
      <c r="A55" s="6" t="s">
        <v>362</v>
      </c>
      <c r="B55" s="7"/>
      <c r="C55" s="6" t="s">
        <v>359</v>
      </c>
      <c r="D55" s="8"/>
      <c r="E55" s="8"/>
      <c r="F55" s="8">
        <f>SUMIF(Q53:Q54, "1", F53:F54)</f>
        <v>0</v>
      </c>
      <c r="G55" s="8"/>
      <c r="H55" s="8">
        <f>SUMIF(Q53:Q54, "1", H53:H54)</f>
        <v>36248.9</v>
      </c>
      <c r="I55" s="8"/>
      <c r="J55" s="8">
        <f>SUMIF(Q53:Q54, "1", J53:J54)</f>
        <v>0</v>
      </c>
      <c r="K55" s="8">
        <f t="shared" si="6"/>
        <v>0</v>
      </c>
      <c r="L55" s="8">
        <f t="shared" si="7"/>
        <v>36248.9</v>
      </c>
      <c r="M55" s="7"/>
    </row>
    <row r="56" spans="1:20" ht="21.15" customHeight="1" x14ac:dyDescent="0.4">
      <c r="A56" s="12" t="s">
        <v>372</v>
      </c>
      <c r="B56" s="13"/>
      <c r="C56" s="14"/>
      <c r="D56" s="15"/>
      <c r="E56" s="15"/>
      <c r="F56" s="15">
        <f>ROUNDDOWN(SUMIF(Q46:Q55, "1", F46:F55), 0)</f>
        <v>1134</v>
      </c>
      <c r="G56" s="15"/>
      <c r="H56" s="15">
        <f>ROUNDDOWN(SUMIF(Q46:Q55, "1", H46:H55), 0)</f>
        <v>36248</v>
      </c>
      <c r="I56" s="15"/>
      <c r="J56" s="15">
        <f>ROUNDDOWN(SUMIF(Q46:Q55, "1", J46:J55), 0)</f>
        <v>525</v>
      </c>
      <c r="K56" s="15"/>
      <c r="L56" s="15">
        <f>F56+H56+J56</f>
        <v>37907</v>
      </c>
      <c r="M56" s="13"/>
    </row>
    <row r="57" spans="1:20" ht="21.15" customHeight="1" x14ac:dyDescent="0.4">
      <c r="A57" s="7"/>
      <c r="B57" s="7"/>
      <c r="C57" s="9"/>
      <c r="D57" s="8"/>
      <c r="E57" s="8"/>
      <c r="F57" s="8"/>
      <c r="G57" s="8"/>
      <c r="H57" s="8"/>
      <c r="I57" s="8"/>
      <c r="J57" s="8"/>
      <c r="K57" s="8"/>
      <c r="L57" s="8"/>
      <c r="M57" s="7"/>
    </row>
    <row r="58" spans="1:20" ht="21.15" customHeight="1" x14ac:dyDescent="0.4">
      <c r="A58" s="61" t="s">
        <v>379</v>
      </c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11" t="s">
        <v>380</v>
      </c>
    </row>
    <row r="59" spans="1:20" ht="21.15" customHeight="1" x14ac:dyDescent="0.4">
      <c r="A59" s="5" t="s">
        <v>358</v>
      </c>
      <c r="B59" s="7"/>
      <c r="C59" s="6" t="s">
        <v>359</v>
      </c>
      <c r="D59" s="8"/>
      <c r="E59" s="8"/>
      <c r="F59" s="8">
        <f>ROUNDDOWN(D59*E59, 1)</f>
        <v>0</v>
      </c>
      <c r="G59" s="8"/>
      <c r="H59" s="8">
        <f>ROUNDDOWN(D59*G59, 1)</f>
        <v>0</v>
      </c>
      <c r="I59" s="8"/>
      <c r="J59" s="8">
        <f>ROUNDDOWN(D59*I59, 1)</f>
        <v>0</v>
      </c>
      <c r="K59" s="8">
        <f t="shared" ref="K59:K68" si="8">E59+G59+I59</f>
        <v>0</v>
      </c>
      <c r="L59" s="8">
        <f t="shared" ref="L59:L68" si="9">F59+H59+J59</f>
        <v>0</v>
      </c>
      <c r="M59" s="7"/>
    </row>
    <row r="60" spans="1:20" ht="21.15" customHeight="1" x14ac:dyDescent="0.4">
      <c r="A60" s="5" t="s">
        <v>336</v>
      </c>
      <c r="B60" s="5" t="s">
        <v>337</v>
      </c>
      <c r="C60" s="6" t="s">
        <v>70</v>
      </c>
      <c r="D60" s="8">
        <v>2.6400000000000002E-4</v>
      </c>
      <c r="E60" s="8">
        <v>0</v>
      </c>
      <c r="F60" s="8">
        <f>ROUNDDOWN(D60*E60, 1)</f>
        <v>0</v>
      </c>
      <c r="G60" s="8">
        <v>0</v>
      </c>
      <c r="H60" s="8">
        <f>ROUNDDOWN(D60*G60, 1)</f>
        <v>0</v>
      </c>
      <c r="I60" s="8">
        <f>ROUNDDOWN(단가대비표!N161, 0)</f>
        <v>275000000</v>
      </c>
      <c r="J60" s="8">
        <f>ROUNDDOWN(D60*I60, 1)</f>
        <v>72600</v>
      </c>
      <c r="K60" s="8">
        <f t="shared" si="8"/>
        <v>275000000</v>
      </c>
      <c r="L60" s="8">
        <f t="shared" si="9"/>
        <v>72600</v>
      </c>
      <c r="M60" s="5" t="s">
        <v>338</v>
      </c>
      <c r="O60" s="10" t="s">
        <v>360</v>
      </c>
      <c r="P60" s="10" t="s">
        <v>361</v>
      </c>
      <c r="Q60">
        <v>1</v>
      </c>
    </row>
    <row r="61" spans="1:20" ht="21.15" customHeight="1" x14ac:dyDescent="0.4">
      <c r="A61" s="6" t="s">
        <v>362</v>
      </c>
      <c r="B61" s="7"/>
      <c r="C61" s="6" t="s">
        <v>359</v>
      </c>
      <c r="D61" s="8"/>
      <c r="E61" s="8"/>
      <c r="F61" s="8">
        <f>SUMIF(Q59:Q60, "1", F59:F60)</f>
        <v>0</v>
      </c>
      <c r="G61" s="8"/>
      <c r="H61" s="8">
        <f>SUMIF(Q59:Q60, "1", H59:H60)</f>
        <v>0</v>
      </c>
      <c r="I61" s="8"/>
      <c r="J61" s="8">
        <f>SUMIF(Q59:Q60, "1", J59:J60)</f>
        <v>72600</v>
      </c>
      <c r="K61" s="8">
        <f t="shared" si="8"/>
        <v>0</v>
      </c>
      <c r="L61" s="8">
        <f t="shared" si="9"/>
        <v>72600</v>
      </c>
      <c r="M61" s="7"/>
    </row>
    <row r="62" spans="1:20" ht="21.15" customHeight="1" x14ac:dyDescent="0.4">
      <c r="A62" s="5" t="s">
        <v>363</v>
      </c>
      <c r="B62" s="7"/>
      <c r="C62" s="6" t="s">
        <v>359</v>
      </c>
      <c r="D62" s="8"/>
      <c r="E62" s="8"/>
      <c r="F62" s="8">
        <f>ROUNDDOWN(D62*E62, 1)</f>
        <v>0</v>
      </c>
      <c r="G62" s="8"/>
      <c r="H62" s="8">
        <f>ROUNDDOWN(D62*G62, 1)</f>
        <v>0</v>
      </c>
      <c r="I62" s="8"/>
      <c r="J62" s="8">
        <f>ROUNDDOWN(D62*I62, 1)</f>
        <v>0</v>
      </c>
      <c r="K62" s="8">
        <f t="shared" si="8"/>
        <v>0</v>
      </c>
      <c r="L62" s="8">
        <f t="shared" si="9"/>
        <v>0</v>
      </c>
      <c r="M62" s="7"/>
    </row>
    <row r="63" spans="1:20" ht="21.15" customHeight="1" x14ac:dyDescent="0.4">
      <c r="A63" s="5" t="s">
        <v>56</v>
      </c>
      <c r="B63" s="5" t="s">
        <v>57</v>
      </c>
      <c r="C63" s="6" t="s">
        <v>58</v>
      </c>
      <c r="D63" s="8">
        <v>17.3</v>
      </c>
      <c r="E63" s="8">
        <f>ROUNDDOWN(단가대비표!N24, 0)</f>
        <v>1657</v>
      </c>
      <c r="F63" s="8">
        <f>ROUNDDOWN(D63*E63, 1)</f>
        <v>28666.1</v>
      </c>
      <c r="G63" s="8">
        <v>0</v>
      </c>
      <c r="H63" s="8">
        <f>ROUNDDOWN(D63*G63, 1)</f>
        <v>0</v>
      </c>
      <c r="I63" s="8">
        <v>0</v>
      </c>
      <c r="J63" s="8">
        <f>ROUNDDOWN(D63*I63, 1)</f>
        <v>0</v>
      </c>
      <c r="K63" s="8">
        <f t="shared" si="8"/>
        <v>1657</v>
      </c>
      <c r="L63" s="8">
        <f t="shared" si="9"/>
        <v>28666.1</v>
      </c>
      <c r="M63" s="7"/>
      <c r="O63" s="10" t="s">
        <v>364</v>
      </c>
      <c r="P63" s="10" t="s">
        <v>361</v>
      </c>
      <c r="Q63">
        <v>1</v>
      </c>
    </row>
    <row r="64" spans="1:20" ht="21.15" customHeight="1" x14ac:dyDescent="0.4">
      <c r="A64" s="5" t="s">
        <v>365</v>
      </c>
      <c r="B64" s="7" t="str">
        <f>"주연료비의 " &amp; N64*100 &amp; "%"</f>
        <v>주연료비의 35%</v>
      </c>
      <c r="C64" s="6" t="s">
        <v>51</v>
      </c>
      <c r="D64" s="8">
        <v>1</v>
      </c>
      <c r="E64" s="8">
        <f>SUMIF(O59:O68, "01", F59:F68)</f>
        <v>28666.1</v>
      </c>
      <c r="F64" s="8">
        <f>ROUNDDOWN((E64)*N64, 1)</f>
        <v>10033.1</v>
      </c>
      <c r="G64" s="8">
        <v>0</v>
      </c>
      <c r="H64" s="8">
        <v>0</v>
      </c>
      <c r="I64" s="8">
        <v>0</v>
      </c>
      <c r="J64" s="8">
        <v>0</v>
      </c>
      <c r="K64" s="8">
        <f t="shared" si="8"/>
        <v>28666.1</v>
      </c>
      <c r="L64" s="8">
        <f t="shared" si="9"/>
        <v>10033.1</v>
      </c>
      <c r="M64" s="5" t="s">
        <v>366</v>
      </c>
      <c r="N64">
        <v>0.35</v>
      </c>
      <c r="P64" s="10" t="s">
        <v>361</v>
      </c>
      <c r="Q64">
        <v>1</v>
      </c>
      <c r="R64" s="10" t="s">
        <v>367</v>
      </c>
      <c r="S64" s="10" t="s">
        <v>368</v>
      </c>
      <c r="T64" s="10" t="s">
        <v>369</v>
      </c>
    </row>
    <row r="65" spans="1:20" ht="21.15" customHeight="1" x14ac:dyDescent="0.4">
      <c r="A65" s="6" t="s">
        <v>362</v>
      </c>
      <c r="B65" s="7"/>
      <c r="C65" s="6" t="s">
        <v>359</v>
      </c>
      <c r="D65" s="8"/>
      <c r="E65" s="8"/>
      <c r="F65" s="8">
        <f>SUMIF(Q62:Q64, "1", F62:F64)</f>
        <v>38699.199999999997</v>
      </c>
      <c r="G65" s="8"/>
      <c r="H65" s="8">
        <f>SUMIF(Q62:Q64, "1", H62:H64)</f>
        <v>0</v>
      </c>
      <c r="I65" s="8"/>
      <c r="J65" s="8">
        <f>SUMIF(Q62:Q64, "1", J62:J64)</f>
        <v>0</v>
      </c>
      <c r="K65" s="8">
        <f t="shared" si="8"/>
        <v>0</v>
      </c>
      <c r="L65" s="8">
        <f t="shared" si="9"/>
        <v>38699.199999999997</v>
      </c>
      <c r="M65" s="7"/>
    </row>
    <row r="66" spans="1:20" ht="21.15" customHeight="1" x14ac:dyDescent="0.4">
      <c r="A66" s="5" t="s">
        <v>370</v>
      </c>
      <c r="B66" s="7"/>
      <c r="C66" s="6" t="s">
        <v>359</v>
      </c>
      <c r="D66" s="8"/>
      <c r="E66" s="8"/>
      <c r="F66" s="8">
        <f>ROUNDDOWN(D66*E66, 1)</f>
        <v>0</v>
      </c>
      <c r="G66" s="8"/>
      <c r="H66" s="8">
        <f>ROUNDDOWN(D66*G66, 1)</f>
        <v>0</v>
      </c>
      <c r="I66" s="8"/>
      <c r="J66" s="8">
        <f>ROUNDDOWN(D66*I66, 1)</f>
        <v>0</v>
      </c>
      <c r="K66" s="8">
        <f t="shared" si="8"/>
        <v>0</v>
      </c>
      <c r="L66" s="8">
        <f t="shared" si="9"/>
        <v>0</v>
      </c>
      <c r="M66" s="7"/>
    </row>
    <row r="67" spans="1:20" ht="21.15" customHeight="1" x14ac:dyDescent="0.4">
      <c r="A67" s="5" t="s">
        <v>306</v>
      </c>
      <c r="B67" s="5" t="s">
        <v>307</v>
      </c>
      <c r="C67" s="6" t="s">
        <v>308</v>
      </c>
      <c r="D67" s="8">
        <v>0.2083333</v>
      </c>
      <c r="E67" s="8">
        <v>0</v>
      </c>
      <c r="F67" s="8">
        <f>ROUNDDOWN(D67*E67, 1)</f>
        <v>0</v>
      </c>
      <c r="G67" s="8">
        <f>ROUNDDOWN(단가대비표!N144, 0)</f>
        <v>283297</v>
      </c>
      <c r="H67" s="8">
        <f>ROUNDDOWN(D67*G67, 1)</f>
        <v>59020.1</v>
      </c>
      <c r="I67" s="8">
        <v>0</v>
      </c>
      <c r="J67" s="8">
        <f>ROUNDDOWN(D67*I67, 1)</f>
        <v>0</v>
      </c>
      <c r="K67" s="8">
        <f t="shared" si="8"/>
        <v>283297</v>
      </c>
      <c r="L67" s="8">
        <f t="shared" si="9"/>
        <v>59020.1</v>
      </c>
      <c r="M67" s="5" t="s">
        <v>309</v>
      </c>
      <c r="O67" s="10" t="s">
        <v>371</v>
      </c>
      <c r="P67" s="10" t="s">
        <v>361</v>
      </c>
      <c r="Q67">
        <v>1</v>
      </c>
    </row>
    <row r="68" spans="1:20" ht="21.15" customHeight="1" x14ac:dyDescent="0.4">
      <c r="A68" s="6" t="s">
        <v>362</v>
      </c>
      <c r="B68" s="7"/>
      <c r="C68" s="6" t="s">
        <v>359</v>
      </c>
      <c r="D68" s="8"/>
      <c r="E68" s="8"/>
      <c r="F68" s="8">
        <f>SUMIF(Q66:Q67, "1", F66:F67)</f>
        <v>0</v>
      </c>
      <c r="G68" s="8"/>
      <c r="H68" s="8">
        <f>SUMIF(Q66:Q67, "1", H66:H67)</f>
        <v>59020.1</v>
      </c>
      <c r="I68" s="8"/>
      <c r="J68" s="8">
        <f>SUMIF(Q66:Q67, "1", J66:J67)</f>
        <v>0</v>
      </c>
      <c r="K68" s="8">
        <f t="shared" si="8"/>
        <v>0</v>
      </c>
      <c r="L68" s="8">
        <f t="shared" si="9"/>
        <v>59020.1</v>
      </c>
      <c r="M68" s="7"/>
    </row>
    <row r="69" spans="1:20" ht="21.15" customHeight="1" x14ac:dyDescent="0.4">
      <c r="A69" s="12" t="s">
        <v>372</v>
      </c>
      <c r="B69" s="13"/>
      <c r="C69" s="14"/>
      <c r="D69" s="15"/>
      <c r="E69" s="15"/>
      <c r="F69" s="15">
        <f>ROUNDDOWN(SUMIF(Q59:Q68, "1", F59:F68), 0)</f>
        <v>38699</v>
      </c>
      <c r="G69" s="15"/>
      <c r="H69" s="15">
        <f>ROUNDDOWN(SUMIF(Q59:Q68, "1", H59:H68), 0)</f>
        <v>59020</v>
      </c>
      <c r="I69" s="15"/>
      <c r="J69" s="15">
        <f>ROUNDDOWN(SUMIF(Q59:Q68, "1", J59:J68), 0)</f>
        <v>72600</v>
      </c>
      <c r="K69" s="15"/>
      <c r="L69" s="15">
        <f>F69+H69+J69</f>
        <v>170319</v>
      </c>
      <c r="M69" s="13"/>
    </row>
    <row r="70" spans="1:20" ht="21.15" customHeight="1" x14ac:dyDescent="0.4">
      <c r="A70" s="7"/>
      <c r="B70" s="7"/>
      <c r="C70" s="9"/>
      <c r="D70" s="8"/>
      <c r="E70" s="8"/>
      <c r="F70" s="8"/>
      <c r="G70" s="8"/>
      <c r="H70" s="8"/>
      <c r="I70" s="8"/>
      <c r="J70" s="8"/>
      <c r="K70" s="8"/>
      <c r="L70" s="8"/>
      <c r="M70" s="7"/>
    </row>
    <row r="71" spans="1:20" ht="21.15" customHeight="1" x14ac:dyDescent="0.4">
      <c r="A71" s="61" t="s">
        <v>381</v>
      </c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11" t="s">
        <v>374</v>
      </c>
    </row>
    <row r="72" spans="1:20" ht="21.15" customHeight="1" x14ac:dyDescent="0.4">
      <c r="A72" s="5" t="s">
        <v>358</v>
      </c>
      <c r="B72" s="7"/>
      <c r="C72" s="6" t="s">
        <v>359</v>
      </c>
      <c r="D72" s="8"/>
      <c r="E72" s="8"/>
      <c r="F72" s="8">
        <f>ROUNDDOWN(D72*E72, 1)</f>
        <v>0</v>
      </c>
      <c r="G72" s="8"/>
      <c r="H72" s="8">
        <f>ROUNDDOWN(D72*G72, 1)</f>
        <v>0</v>
      </c>
      <c r="I72" s="8"/>
      <c r="J72" s="8">
        <f>ROUNDDOWN(D72*I72, 1)</f>
        <v>0</v>
      </c>
      <c r="K72" s="8">
        <f t="shared" ref="K72:K81" si="10">E72+G72+I72</f>
        <v>0</v>
      </c>
      <c r="L72" s="8">
        <f t="shared" ref="L72:L81" si="11">F72+H72+J72</f>
        <v>0</v>
      </c>
      <c r="M72" s="7"/>
    </row>
    <row r="73" spans="1:20" ht="21.15" customHeight="1" x14ac:dyDescent="0.4">
      <c r="A73" s="5" t="s">
        <v>323</v>
      </c>
      <c r="B73" s="5" t="s">
        <v>324</v>
      </c>
      <c r="C73" s="6" t="s">
        <v>70</v>
      </c>
      <c r="D73" s="8">
        <v>2.085E-4</v>
      </c>
      <c r="E73" s="8">
        <v>0</v>
      </c>
      <c r="F73" s="8">
        <f>ROUNDDOWN(D73*E73, 1)</f>
        <v>0</v>
      </c>
      <c r="G73" s="8">
        <v>0</v>
      </c>
      <c r="H73" s="8">
        <f>ROUNDDOWN(D73*G73, 1)</f>
        <v>0</v>
      </c>
      <c r="I73" s="8">
        <f>ROUNDDOWN(단가대비표!N156, 0)</f>
        <v>84000000</v>
      </c>
      <c r="J73" s="8">
        <f>ROUNDDOWN(D73*I73, 1)</f>
        <v>17514</v>
      </c>
      <c r="K73" s="8">
        <f t="shared" si="10"/>
        <v>84000000</v>
      </c>
      <c r="L73" s="8">
        <f t="shared" si="11"/>
        <v>17514</v>
      </c>
      <c r="M73" s="5" t="s">
        <v>325</v>
      </c>
      <c r="O73" s="10" t="s">
        <v>360</v>
      </c>
      <c r="P73" s="10" t="s">
        <v>361</v>
      </c>
      <c r="Q73">
        <v>1</v>
      </c>
    </row>
    <row r="74" spans="1:20" ht="21.15" customHeight="1" x14ac:dyDescent="0.4">
      <c r="A74" s="6" t="s">
        <v>362</v>
      </c>
      <c r="B74" s="7"/>
      <c r="C74" s="6" t="s">
        <v>359</v>
      </c>
      <c r="D74" s="8"/>
      <c r="E74" s="8"/>
      <c r="F74" s="8">
        <f>SUMIF(Q72:Q73, "1", F72:F73)</f>
        <v>0</v>
      </c>
      <c r="G74" s="8"/>
      <c r="H74" s="8">
        <f>SUMIF(Q72:Q73, "1", H72:H73)</f>
        <v>0</v>
      </c>
      <c r="I74" s="8"/>
      <c r="J74" s="8">
        <f>SUMIF(Q72:Q73, "1", J72:J73)</f>
        <v>17514</v>
      </c>
      <c r="K74" s="8">
        <f t="shared" si="10"/>
        <v>0</v>
      </c>
      <c r="L74" s="8">
        <f t="shared" si="11"/>
        <v>17514</v>
      </c>
      <c r="M74" s="7"/>
    </row>
    <row r="75" spans="1:20" ht="21.15" customHeight="1" x14ac:dyDescent="0.4">
      <c r="A75" s="5" t="s">
        <v>363</v>
      </c>
      <c r="B75" s="7"/>
      <c r="C75" s="6" t="s">
        <v>359</v>
      </c>
      <c r="D75" s="8"/>
      <c r="E75" s="8"/>
      <c r="F75" s="8">
        <f>ROUNDDOWN(D75*E75, 1)</f>
        <v>0</v>
      </c>
      <c r="G75" s="8"/>
      <c r="H75" s="8">
        <f>ROUNDDOWN(D75*G75, 1)</f>
        <v>0</v>
      </c>
      <c r="I75" s="8"/>
      <c r="J75" s="8">
        <f>ROUNDDOWN(D75*I75, 1)</f>
        <v>0</v>
      </c>
      <c r="K75" s="8">
        <f t="shared" si="10"/>
        <v>0</v>
      </c>
      <c r="L75" s="8">
        <f t="shared" si="11"/>
        <v>0</v>
      </c>
      <c r="M75" s="7"/>
    </row>
    <row r="76" spans="1:20" ht="21.15" customHeight="1" x14ac:dyDescent="0.4">
      <c r="A76" s="5" t="s">
        <v>56</v>
      </c>
      <c r="B76" s="5" t="s">
        <v>57</v>
      </c>
      <c r="C76" s="6" t="s">
        <v>58</v>
      </c>
      <c r="D76" s="8">
        <v>9.9</v>
      </c>
      <c r="E76" s="8">
        <f>ROUNDDOWN(단가대비표!N24, 0)</f>
        <v>1657</v>
      </c>
      <c r="F76" s="8">
        <f>ROUNDDOWN(D76*E76, 1)</f>
        <v>16404.3</v>
      </c>
      <c r="G76" s="8">
        <v>0</v>
      </c>
      <c r="H76" s="8">
        <f>ROUNDDOWN(D76*G76, 1)</f>
        <v>0</v>
      </c>
      <c r="I76" s="8">
        <v>0</v>
      </c>
      <c r="J76" s="8">
        <f>ROUNDDOWN(D76*I76, 1)</f>
        <v>0</v>
      </c>
      <c r="K76" s="8">
        <f t="shared" si="10"/>
        <v>1657</v>
      </c>
      <c r="L76" s="8">
        <f t="shared" si="11"/>
        <v>16404.3</v>
      </c>
      <c r="M76" s="7"/>
      <c r="O76" s="10" t="s">
        <v>364</v>
      </c>
      <c r="P76" s="10" t="s">
        <v>361</v>
      </c>
      <c r="Q76">
        <v>1</v>
      </c>
    </row>
    <row r="77" spans="1:20" ht="21.15" customHeight="1" x14ac:dyDescent="0.4">
      <c r="A77" s="5" t="s">
        <v>365</v>
      </c>
      <c r="B77" s="7" t="str">
        <f>"주연료비의 " &amp; N77*100 &amp; "%"</f>
        <v>주연료비의 22%</v>
      </c>
      <c r="C77" s="6" t="s">
        <v>51</v>
      </c>
      <c r="D77" s="8">
        <v>1</v>
      </c>
      <c r="E77" s="8">
        <f>SUMIF(O72:O81, "01", F72:F81)</f>
        <v>16404.3</v>
      </c>
      <c r="F77" s="8">
        <f>ROUNDDOWN((E77)*N77, 1)</f>
        <v>3608.9</v>
      </c>
      <c r="G77" s="8">
        <v>0</v>
      </c>
      <c r="H77" s="8">
        <v>0</v>
      </c>
      <c r="I77" s="8">
        <v>0</v>
      </c>
      <c r="J77" s="8">
        <v>0</v>
      </c>
      <c r="K77" s="8">
        <f t="shared" si="10"/>
        <v>16404.3</v>
      </c>
      <c r="L77" s="8">
        <f t="shared" si="11"/>
        <v>3608.9</v>
      </c>
      <c r="M77" s="5" t="s">
        <v>366</v>
      </c>
      <c r="N77">
        <v>0.22</v>
      </c>
      <c r="P77" s="10" t="s">
        <v>361</v>
      </c>
      <c r="Q77">
        <v>1</v>
      </c>
      <c r="R77" s="10" t="s">
        <v>367</v>
      </c>
      <c r="S77" s="10" t="s">
        <v>368</v>
      </c>
      <c r="T77" s="10" t="s">
        <v>369</v>
      </c>
    </row>
    <row r="78" spans="1:20" ht="21.15" customHeight="1" x14ac:dyDescent="0.4">
      <c r="A78" s="6" t="s">
        <v>362</v>
      </c>
      <c r="B78" s="7"/>
      <c r="C78" s="6" t="s">
        <v>359</v>
      </c>
      <c r="D78" s="8"/>
      <c r="E78" s="8"/>
      <c r="F78" s="8">
        <f>SUMIF(Q75:Q77, "1", F75:F77)</f>
        <v>20013.2</v>
      </c>
      <c r="G78" s="8"/>
      <c r="H78" s="8">
        <f>SUMIF(Q75:Q77, "1", H75:H77)</f>
        <v>0</v>
      </c>
      <c r="I78" s="8"/>
      <c r="J78" s="8">
        <f>SUMIF(Q75:Q77, "1", J75:J77)</f>
        <v>0</v>
      </c>
      <c r="K78" s="8">
        <f t="shared" si="10"/>
        <v>0</v>
      </c>
      <c r="L78" s="8">
        <f t="shared" si="11"/>
        <v>20013.2</v>
      </c>
      <c r="M78" s="7"/>
    </row>
    <row r="79" spans="1:20" ht="21.15" customHeight="1" x14ac:dyDescent="0.4">
      <c r="A79" s="5" t="s">
        <v>370</v>
      </c>
      <c r="B79" s="7"/>
      <c r="C79" s="6" t="s">
        <v>359</v>
      </c>
      <c r="D79" s="8"/>
      <c r="E79" s="8"/>
      <c r="F79" s="8">
        <f>ROUNDDOWN(D79*E79, 1)</f>
        <v>0</v>
      </c>
      <c r="G79" s="8"/>
      <c r="H79" s="8">
        <f>ROUNDDOWN(D79*G79, 1)</f>
        <v>0</v>
      </c>
      <c r="I79" s="8"/>
      <c r="J79" s="8">
        <f>ROUNDDOWN(D79*I79, 1)</f>
        <v>0</v>
      </c>
      <c r="K79" s="8">
        <f t="shared" si="10"/>
        <v>0</v>
      </c>
      <c r="L79" s="8">
        <f t="shared" si="11"/>
        <v>0</v>
      </c>
      <c r="M79" s="7"/>
    </row>
    <row r="80" spans="1:20" ht="21.15" customHeight="1" x14ac:dyDescent="0.4">
      <c r="A80" s="5" t="s">
        <v>306</v>
      </c>
      <c r="B80" s="5" t="s">
        <v>307</v>
      </c>
      <c r="C80" s="6" t="s">
        <v>308</v>
      </c>
      <c r="D80" s="8">
        <v>0.2083333</v>
      </c>
      <c r="E80" s="8">
        <v>0</v>
      </c>
      <c r="F80" s="8">
        <f>ROUNDDOWN(D80*E80, 1)</f>
        <v>0</v>
      </c>
      <c r="G80" s="8">
        <f>ROUNDDOWN(단가대비표!N144, 0)</f>
        <v>283297</v>
      </c>
      <c r="H80" s="8">
        <f>ROUNDDOWN(D80*G80, 1)</f>
        <v>59020.1</v>
      </c>
      <c r="I80" s="8">
        <v>0</v>
      </c>
      <c r="J80" s="8">
        <f>ROUNDDOWN(D80*I80, 1)</f>
        <v>0</v>
      </c>
      <c r="K80" s="8">
        <f t="shared" si="10"/>
        <v>283297</v>
      </c>
      <c r="L80" s="8">
        <f t="shared" si="11"/>
        <v>59020.1</v>
      </c>
      <c r="M80" s="5" t="s">
        <v>309</v>
      </c>
      <c r="O80" s="10" t="s">
        <v>371</v>
      </c>
      <c r="P80" s="10" t="s">
        <v>361</v>
      </c>
      <c r="Q80">
        <v>1</v>
      </c>
    </row>
    <row r="81" spans="1:13" ht="21.15" customHeight="1" x14ac:dyDescent="0.4">
      <c r="A81" s="6" t="s">
        <v>362</v>
      </c>
      <c r="B81" s="7"/>
      <c r="C81" s="6" t="s">
        <v>359</v>
      </c>
      <c r="D81" s="8"/>
      <c r="E81" s="8"/>
      <c r="F81" s="8">
        <f>SUMIF(Q79:Q80, "1", F79:F80)</f>
        <v>0</v>
      </c>
      <c r="G81" s="8"/>
      <c r="H81" s="8">
        <f>SUMIF(Q79:Q80, "1", H79:H80)</f>
        <v>59020.1</v>
      </c>
      <c r="I81" s="8"/>
      <c r="J81" s="8">
        <f>SUMIF(Q79:Q80, "1", J79:J80)</f>
        <v>0</v>
      </c>
      <c r="K81" s="8">
        <f t="shared" si="10"/>
        <v>0</v>
      </c>
      <c r="L81" s="8">
        <f t="shared" si="11"/>
        <v>59020.1</v>
      </c>
      <c r="M81" s="7"/>
    </row>
    <row r="82" spans="1:13" ht="21.15" customHeight="1" x14ac:dyDescent="0.4">
      <c r="A82" s="12" t="s">
        <v>372</v>
      </c>
      <c r="B82" s="13"/>
      <c r="C82" s="14"/>
      <c r="D82" s="15"/>
      <c r="E82" s="15"/>
      <c r="F82" s="15">
        <f>ROUNDDOWN(SUMIF(Q72:Q81, "1", F72:F81), 0)</f>
        <v>20013</v>
      </c>
      <c r="G82" s="15"/>
      <c r="H82" s="15">
        <f>ROUNDDOWN(SUMIF(Q72:Q81, "1", H72:H81), 0)</f>
        <v>59020</v>
      </c>
      <c r="I82" s="15"/>
      <c r="J82" s="15">
        <f>ROUNDDOWN(SUMIF(Q72:Q81, "1", J72:J81), 0)</f>
        <v>17514</v>
      </c>
      <c r="K82" s="15"/>
      <c r="L82" s="15">
        <f>F82+H82+J82</f>
        <v>96547</v>
      </c>
      <c r="M82" s="13"/>
    </row>
    <row r="83" spans="1:13" ht="21.9" customHeight="1" x14ac:dyDescent="0.4">
      <c r="A83" s="7"/>
      <c r="B83" s="7"/>
      <c r="C83" s="9"/>
      <c r="D83" s="8"/>
      <c r="E83" s="8"/>
      <c r="F83" s="8"/>
      <c r="G83" s="8"/>
      <c r="H83" s="8"/>
      <c r="I83" s="8"/>
      <c r="J83" s="8"/>
      <c r="K83" s="8"/>
      <c r="L83" s="8"/>
      <c r="M83" s="7"/>
    </row>
    <row r="84" spans="1:13" ht="21.9" customHeight="1" x14ac:dyDescent="0.4">
      <c r="A84" s="7"/>
      <c r="B84" s="7"/>
      <c r="C84" s="9"/>
      <c r="D84" s="8"/>
      <c r="E84" s="8"/>
      <c r="F84" s="8"/>
      <c r="G84" s="8"/>
      <c r="H84" s="8"/>
      <c r="I84" s="8"/>
      <c r="J84" s="8"/>
      <c r="K84" s="8"/>
      <c r="L84" s="8"/>
      <c r="M84" s="7"/>
    </row>
  </sheetData>
  <mergeCells count="17">
    <mergeCell ref="A18:L18"/>
    <mergeCell ref="A31:L31"/>
    <mergeCell ref="A45:L45"/>
    <mergeCell ref="A58:L58"/>
    <mergeCell ref="A71:L71"/>
    <mergeCell ref="A5:L5"/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  <mergeCell ref="K3:L3"/>
  </mergeCells>
  <phoneticPr fontId="1" type="noConversion"/>
  <conditionalFormatting sqref="A5 M5 A6:M84">
    <cfRule type="containsText" dxfId="3" priority="1" stopIfTrue="1" operator="containsText" text=".">
      <formula>NOT(ISERROR(SEARCH(".",A5)))</formula>
    </cfRule>
    <cfRule type="notContainsText" dxfId="2" priority="2" stopIfTrue="1" operator="notContains" text=".">
      <formula>ISERROR(SEARCH(".",A5))</formula>
    </cfRule>
  </conditionalFormatting>
  <printOptions horizontalCentered="1"/>
  <pageMargins left="0.70866141732283472" right="0.19685039370078741" top="0.59055118110236227" bottom="0.35433070866141736" header="0.31496062992125984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이름이 지정된 범위</vt:lpstr>
      </vt:variant>
      <vt:variant>
        <vt:i4>20</vt:i4>
      </vt:variant>
    </vt:vector>
  </HeadingPairs>
  <TitlesOfParts>
    <vt:vector size="30" baseType="lpstr">
      <vt:lpstr>원가계산서</vt:lpstr>
      <vt:lpstr>집계표</vt:lpstr>
      <vt:lpstr>내역서</vt:lpstr>
      <vt:lpstr>일위대가목록</vt:lpstr>
      <vt:lpstr>일위대가표</vt:lpstr>
      <vt:lpstr>단가산출서목록</vt:lpstr>
      <vt:lpstr>단가산출서</vt:lpstr>
      <vt:lpstr>중기경비목록</vt:lpstr>
      <vt:lpstr>중기경비</vt:lpstr>
      <vt:lpstr>단가대비표</vt:lpstr>
      <vt:lpstr>내역서!Print_Area</vt:lpstr>
      <vt:lpstr>단가대비표!Print_Area</vt:lpstr>
      <vt:lpstr>단가산출서!Print_Area</vt:lpstr>
      <vt:lpstr>단가산출서목록!Print_Area</vt:lpstr>
      <vt:lpstr>원가계산서!Print_Area</vt:lpstr>
      <vt:lpstr>일위대가목록!Print_Area</vt:lpstr>
      <vt:lpstr>일위대가표!Print_Area</vt:lpstr>
      <vt:lpstr>중기경비!Print_Area</vt:lpstr>
      <vt:lpstr>중기경비목록!Print_Area</vt:lpstr>
      <vt:lpstr>집계표!Print_Area</vt:lpstr>
      <vt:lpstr>내역서!Print_Titles</vt:lpstr>
      <vt:lpstr>단가대비표!Print_Titles</vt:lpstr>
      <vt:lpstr>단가산출서!Print_Titles</vt:lpstr>
      <vt:lpstr>단가산출서목록!Print_Titles</vt:lpstr>
      <vt:lpstr>원가계산서!Print_Titles</vt:lpstr>
      <vt:lpstr>일위대가목록!Print_Titles</vt:lpstr>
      <vt:lpstr>일위대가표!Print_Titles</vt:lpstr>
      <vt:lpstr>중기경비!Print_Titles</vt:lpstr>
      <vt:lpstr>중기경비목록!Print_Titles</vt:lpstr>
      <vt:lpstr>집계표!Print_Titles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a2114</dc:creator>
  <cp:lastModifiedBy>USER</cp:lastModifiedBy>
  <cp:lastPrinted>2026-07-13T05:09:53Z</cp:lastPrinted>
  <dcterms:created xsi:type="dcterms:W3CDTF">2026-07-13T01:52:54Z</dcterms:created>
  <dcterms:modified xsi:type="dcterms:W3CDTF">2026-09-08T05:21:43Z</dcterms:modified>
</cp:coreProperties>
</file>