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○2026\1. 수도권동부본부\25. 중앙선 망우역 등 12개역 교통약자 편의시설 개량기타공사(건축처 이은희)V3\2. 시행결의\"/>
    </mc:Choice>
  </mc:AlternateContent>
  <bookViews>
    <workbookView xWindow="0" yWindow="0" windowWidth="28800" windowHeight="12060"/>
  </bookViews>
  <sheets>
    <sheet name="원가계산서" sheetId="1" r:id="rId1"/>
    <sheet name="공종별집계표" sheetId="2" r:id="rId2"/>
    <sheet name="공종별내역서" sheetId="3" r:id="rId3"/>
  </sheets>
  <externalReferences>
    <externalReference r:id="rId4"/>
  </externalReferences>
  <definedNames>
    <definedName name="_xlnm.Print_Area" localSheetId="2">공종별내역서!$A$1:$M$123</definedName>
    <definedName name="_xlnm.Print_Area" localSheetId="1">공종별집계표!$A$1:$M$27</definedName>
    <definedName name="_xlnm.Print_Titles" localSheetId="2">공종별내역서!$1:$3</definedName>
    <definedName name="_xlnm.Print_Titles" localSheetId="1">공종별집계표!$1:$4</definedName>
    <definedName name="_xlnm.Print_Titles" localSheetId="0">원가계산서!$1:$3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2" i="3" l="1"/>
  <c r="J102" i="3" s="1"/>
  <c r="G102" i="3"/>
  <c r="H102" i="3" s="1"/>
  <c r="E102" i="3"/>
  <c r="K102" i="3" s="1"/>
  <c r="I101" i="3"/>
  <c r="K101" i="3" s="1"/>
  <c r="G101" i="3"/>
  <c r="H101" i="3" s="1"/>
  <c r="H123" i="3" s="1"/>
  <c r="G10" i="2" s="1"/>
  <c r="H10" i="2" s="1"/>
  <c r="E101" i="3"/>
  <c r="F101" i="3" s="1"/>
  <c r="I79" i="3"/>
  <c r="K79" i="3" s="1"/>
  <c r="G79" i="3"/>
  <c r="H79" i="3" s="1"/>
  <c r="E79" i="3"/>
  <c r="F79" i="3" s="1"/>
  <c r="I78" i="3"/>
  <c r="J78" i="3" s="1"/>
  <c r="G78" i="3"/>
  <c r="H78" i="3" s="1"/>
  <c r="E78" i="3"/>
  <c r="F78" i="3" s="1"/>
  <c r="L78" i="3" s="1"/>
  <c r="I77" i="3"/>
  <c r="J77" i="3" s="1"/>
  <c r="G77" i="3"/>
  <c r="H77" i="3" s="1"/>
  <c r="E77" i="3"/>
  <c r="K77" i="3" s="1"/>
  <c r="I54" i="3"/>
  <c r="J54" i="3" s="1"/>
  <c r="G54" i="3"/>
  <c r="H54" i="3" s="1"/>
  <c r="E54" i="3"/>
  <c r="K54" i="3" s="1"/>
  <c r="I53" i="3"/>
  <c r="J53" i="3" s="1"/>
  <c r="J75" i="3" s="1"/>
  <c r="I8" i="2" s="1"/>
  <c r="J8" i="2" s="1"/>
  <c r="G53" i="3"/>
  <c r="H53" i="3" s="1"/>
  <c r="E53" i="3"/>
  <c r="F53" i="3" s="1"/>
  <c r="I31" i="3"/>
  <c r="J31" i="3" s="1"/>
  <c r="G31" i="3"/>
  <c r="H31" i="3" s="1"/>
  <c r="E31" i="3"/>
  <c r="F31" i="3" s="1"/>
  <c r="L31" i="3" s="1"/>
  <c r="I30" i="3"/>
  <c r="J30" i="3" s="1"/>
  <c r="G30" i="3"/>
  <c r="H30" i="3" s="1"/>
  <c r="E30" i="3"/>
  <c r="K30" i="3" s="1"/>
  <c r="I29" i="3"/>
  <c r="J29" i="3" s="1"/>
  <c r="G29" i="3"/>
  <c r="H29" i="3" s="1"/>
  <c r="H51" i="3" s="1"/>
  <c r="G7" i="2" s="1"/>
  <c r="H7" i="2" s="1"/>
  <c r="E29" i="3"/>
  <c r="K29" i="3" s="1"/>
  <c r="I20" i="3"/>
  <c r="J20" i="3" s="1"/>
  <c r="G20" i="3"/>
  <c r="H20" i="3" s="1"/>
  <c r="E20" i="3"/>
  <c r="K20" i="3" s="1"/>
  <c r="I19" i="3"/>
  <c r="K19" i="3" s="1"/>
  <c r="G19" i="3"/>
  <c r="H19" i="3" s="1"/>
  <c r="E19" i="3"/>
  <c r="F19" i="3" s="1"/>
  <c r="I18" i="3"/>
  <c r="J18" i="3" s="1"/>
  <c r="G18" i="3"/>
  <c r="H18" i="3" s="1"/>
  <c r="E18" i="3"/>
  <c r="K18" i="3" s="1"/>
  <c r="I17" i="3"/>
  <c r="J17" i="3" s="1"/>
  <c r="G17" i="3"/>
  <c r="H17" i="3" s="1"/>
  <c r="E17" i="3"/>
  <c r="K17" i="3" s="1"/>
  <c r="I16" i="3"/>
  <c r="K16" i="3" s="1"/>
  <c r="G16" i="3"/>
  <c r="H16" i="3" s="1"/>
  <c r="E16" i="3"/>
  <c r="F16" i="3" s="1"/>
  <c r="I15" i="3"/>
  <c r="J15" i="3" s="1"/>
  <c r="G15" i="3"/>
  <c r="H15" i="3" s="1"/>
  <c r="E15" i="3"/>
  <c r="K15" i="3" s="1"/>
  <c r="I14" i="3"/>
  <c r="J14" i="3" s="1"/>
  <c r="G14" i="3"/>
  <c r="H14" i="3" s="1"/>
  <c r="E14" i="3"/>
  <c r="K14" i="3" s="1"/>
  <c r="I13" i="3"/>
  <c r="K13" i="3" s="1"/>
  <c r="G13" i="3"/>
  <c r="H13" i="3" s="1"/>
  <c r="E13" i="3"/>
  <c r="F13" i="3" s="1"/>
  <c r="I12" i="3"/>
  <c r="J12" i="3" s="1"/>
  <c r="G12" i="3"/>
  <c r="H12" i="3" s="1"/>
  <c r="E12" i="3"/>
  <c r="K12" i="3" s="1"/>
  <c r="I11" i="3"/>
  <c r="J11" i="3" s="1"/>
  <c r="G11" i="3"/>
  <c r="H11" i="3" s="1"/>
  <c r="E11" i="3"/>
  <c r="K11" i="3" s="1"/>
  <c r="I10" i="3"/>
  <c r="K10" i="3" s="1"/>
  <c r="G10" i="3"/>
  <c r="H10" i="3" s="1"/>
  <c r="E10" i="3"/>
  <c r="F10" i="3" s="1"/>
  <c r="I9" i="3"/>
  <c r="J9" i="3" s="1"/>
  <c r="G9" i="3"/>
  <c r="H9" i="3" s="1"/>
  <c r="E9" i="3"/>
  <c r="K9" i="3" s="1"/>
  <c r="I8" i="3"/>
  <c r="J8" i="3" s="1"/>
  <c r="G8" i="3"/>
  <c r="H8" i="3" s="1"/>
  <c r="E8" i="3"/>
  <c r="K8" i="3" s="1"/>
  <c r="I7" i="3"/>
  <c r="J7" i="3" s="1"/>
  <c r="G7" i="3"/>
  <c r="H7" i="3" s="1"/>
  <c r="E7" i="3"/>
  <c r="F7" i="3" s="1"/>
  <c r="L7" i="3" s="1"/>
  <c r="I6" i="3"/>
  <c r="J6" i="3" s="1"/>
  <c r="G6" i="3"/>
  <c r="H6" i="3" s="1"/>
  <c r="E6" i="3"/>
  <c r="F6" i="3" s="1"/>
  <c r="I5" i="3"/>
  <c r="J5" i="3" s="1"/>
  <c r="G5" i="3"/>
  <c r="H5" i="3" s="1"/>
  <c r="H27" i="3" s="1"/>
  <c r="G6" i="2" s="1"/>
  <c r="H6" i="2" s="1"/>
  <c r="G5" i="2" s="1"/>
  <c r="H5" i="2" s="1"/>
  <c r="E5" i="3"/>
  <c r="K5" i="3" s="1"/>
  <c r="L53" i="3" l="1"/>
  <c r="H75" i="3"/>
  <c r="G8" i="2" s="1"/>
  <c r="H8" i="2" s="1"/>
  <c r="J51" i="3"/>
  <c r="I7" i="2" s="1"/>
  <c r="J7" i="2" s="1"/>
  <c r="L6" i="3"/>
  <c r="H99" i="3"/>
  <c r="G9" i="2" s="1"/>
  <c r="H9" i="2" s="1"/>
  <c r="E8" i="1"/>
  <c r="H27" i="2"/>
  <c r="F12" i="3"/>
  <c r="L12" i="3" s="1"/>
  <c r="F18" i="3"/>
  <c r="L18" i="3" s="1"/>
  <c r="K53" i="3"/>
  <c r="J16" i="3"/>
  <c r="L16" i="3" s="1"/>
  <c r="F102" i="3"/>
  <c r="L102" i="3" s="1"/>
  <c r="J10" i="3"/>
  <c r="L10" i="3" s="1"/>
  <c r="J19" i="3"/>
  <c r="L19" i="3" s="1"/>
  <c r="F15" i="3"/>
  <c r="L15" i="3" s="1"/>
  <c r="F9" i="3"/>
  <c r="L9" i="3" s="1"/>
  <c r="F30" i="3"/>
  <c r="L30" i="3" s="1"/>
  <c r="K7" i="3"/>
  <c r="F5" i="3"/>
  <c r="F8" i="3"/>
  <c r="L8" i="3" s="1"/>
  <c r="F11" i="3"/>
  <c r="L11" i="3" s="1"/>
  <c r="F14" i="3"/>
  <c r="L14" i="3" s="1"/>
  <c r="F17" i="3"/>
  <c r="L17" i="3" s="1"/>
  <c r="F20" i="3"/>
  <c r="L20" i="3" s="1"/>
  <c r="F29" i="3"/>
  <c r="F54" i="3"/>
  <c r="L54" i="3" s="1"/>
  <c r="F77" i="3"/>
  <c r="K6" i="3"/>
  <c r="K78" i="3"/>
  <c r="J13" i="3"/>
  <c r="L13" i="3" s="1"/>
  <c r="K31" i="3"/>
  <c r="J79" i="3"/>
  <c r="L79" i="3" s="1"/>
  <c r="J101" i="3"/>
  <c r="J123" i="3" s="1"/>
  <c r="I10" i="2" s="1"/>
  <c r="J10" i="2" s="1"/>
  <c r="J27" i="3" l="1"/>
  <c r="I6" i="2" s="1"/>
  <c r="J6" i="2" s="1"/>
  <c r="I5" i="2" s="1"/>
  <c r="J5" i="2" s="1"/>
  <c r="L29" i="3"/>
  <c r="L51" i="3" s="1"/>
  <c r="F51" i="3"/>
  <c r="E7" i="2" s="1"/>
  <c r="F123" i="3"/>
  <c r="E10" i="2" s="1"/>
  <c r="L101" i="3"/>
  <c r="L123" i="3" s="1"/>
  <c r="L5" i="3"/>
  <c r="L27" i="3" s="1"/>
  <c r="F27" i="3"/>
  <c r="E6" i="2" s="1"/>
  <c r="J99" i="3"/>
  <c r="I9" i="2" s="1"/>
  <c r="J9" i="2" s="1"/>
  <c r="L75" i="3"/>
  <c r="E14" i="1"/>
  <c r="E18" i="1" s="1"/>
  <c r="E15" i="1"/>
  <c r="E9" i="1"/>
  <c r="E10" i="1" s="1"/>
  <c r="E16" i="1"/>
  <c r="F75" i="3"/>
  <c r="E8" i="2" s="1"/>
  <c r="L77" i="3"/>
  <c r="L99" i="3" s="1"/>
  <c r="F99" i="3"/>
  <c r="E9" i="2" s="1"/>
  <c r="E13" i="1" l="1"/>
  <c r="E12" i="1"/>
  <c r="E20" i="1"/>
  <c r="E19" i="1"/>
  <c r="K6" i="2"/>
  <c r="F6" i="2"/>
  <c r="K10" i="2"/>
  <c r="F10" i="2"/>
  <c r="L10" i="2" s="1"/>
  <c r="T10" i="2" s="1"/>
  <c r="E31" i="1" s="1"/>
  <c r="K8" i="2"/>
  <c r="F8" i="2"/>
  <c r="L8" i="2" s="1"/>
  <c r="T8" i="2" s="1"/>
  <c r="E21" i="1" s="1"/>
  <c r="K7" i="2"/>
  <c r="F7" i="2"/>
  <c r="L7" i="2" s="1"/>
  <c r="K9" i="2"/>
  <c r="F9" i="2"/>
  <c r="L9" i="2" s="1"/>
  <c r="T9" i="2" s="1"/>
  <c r="E30" i="1" s="1"/>
  <c r="E11" i="1"/>
  <c r="J27" i="2"/>
  <c r="L6" i="2" l="1"/>
  <c r="E5" i="2"/>
  <c r="F5" i="2" l="1"/>
  <c r="K5" i="2"/>
  <c r="F27" i="2" l="1"/>
  <c r="E4" i="1"/>
  <c r="E7" i="1" s="1"/>
  <c r="L5" i="2"/>
  <c r="L27" i="2" s="1"/>
  <c r="E23" i="1" l="1"/>
  <c r="E22" i="1"/>
  <c r="E17" i="1"/>
  <c r="E26" i="1" s="1"/>
  <c r="E27" i="1" l="1"/>
  <c r="E28" i="1" l="1"/>
  <c r="E29" i="1" s="1"/>
  <c r="E32" i="1" l="1"/>
  <c r="E33" i="1" s="1"/>
  <c r="E34" i="1" s="1"/>
</calcChain>
</file>

<file path=xl/sharedStrings.xml><?xml version="1.0" encoding="utf-8"?>
<sst xmlns="http://schemas.openxmlformats.org/spreadsheetml/2006/main" count="737" uniqueCount="266">
  <si>
    <t>공 사 원 가 계 산 서</t>
  </si>
  <si>
    <t>공사명 : 중앙선 망우역 등 12개역 교통약자 편의시설 개량기타공사</t>
    <phoneticPr fontId="1" type="noConversion"/>
  </si>
  <si>
    <t>비        목</t>
  </si>
  <si>
    <t>금      액</t>
  </si>
  <si>
    <t>구        성        비</t>
  </si>
  <si>
    <t>비      고</t>
  </si>
  <si>
    <t>A1</t>
  </si>
  <si>
    <t>순   공   사   원   가</t>
  </si>
  <si>
    <t>재   료   비</t>
  </si>
  <si>
    <t>직  접  재  료  비</t>
  </si>
  <si>
    <t/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</si>
  <si>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</si>
  <si>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</si>
  <si>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</si>
  <si>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</si>
  <si>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</si>
  <si>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</si>
  <si>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</si>
  <si>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노   무   비</t>
  </si>
  <si>
    <t>직  접  노  무  비</t>
  </si>
  <si>
    <t>B2</t>
  </si>
  <si>
    <t>간  접  노  무  비</t>
  </si>
  <si>
    <t>직접노무비 * 17.5%</t>
  </si>
  <si>
    <t>BS</t>
  </si>
  <si>
    <t>C2</t>
  </si>
  <si>
    <t>경        비</t>
  </si>
  <si>
    <t>경              비</t>
  </si>
  <si>
    <t>C4</t>
  </si>
  <si>
    <t>산  재  보  험  료</t>
  </si>
  <si>
    <t>노무비 * 3.56%</t>
  </si>
  <si>
    <t>C5</t>
  </si>
  <si>
    <t>고  용  보  험  료</t>
  </si>
  <si>
    <t>노무비 * 1.01%</t>
  </si>
  <si>
    <t>C6</t>
  </si>
  <si>
    <t>국민  건강  보험료</t>
  </si>
  <si>
    <t>직접노무비 * 3.595%</t>
  </si>
  <si>
    <t>C7</t>
  </si>
  <si>
    <t>국민  연금  보험료</t>
  </si>
  <si>
    <t>직접노무비 * 4.75%</t>
  </si>
  <si>
    <t>C8</t>
  </si>
  <si>
    <t>퇴직  공제  부금비</t>
  </si>
  <si>
    <t>직접노무비 * 2.3%</t>
  </si>
  <si>
    <t>CA</t>
  </si>
  <si>
    <t>산업안전보건관리비</t>
  </si>
  <si>
    <t>(재료비+직노+관급자재비) * 3.11%</t>
  </si>
  <si>
    <t>CB</t>
  </si>
  <si>
    <t>노인장기요양보험료</t>
  </si>
  <si>
    <t>건강보험료 * 13.14%</t>
  </si>
  <si>
    <t>CE</t>
  </si>
  <si>
    <t>석  면  분  담  금</t>
  </si>
  <si>
    <t>노무비 * 0.006%</t>
  </si>
  <si>
    <t>CF</t>
  </si>
  <si>
    <t>임 금 채 권 분 담 금</t>
  </si>
  <si>
    <t>노무비 * 0.09%</t>
  </si>
  <si>
    <t>안 전 관 리 자 비</t>
    <phoneticPr fontId="1" type="noConversion"/>
  </si>
  <si>
    <t>CG</t>
  </si>
  <si>
    <t>기   타    경   비</t>
  </si>
  <si>
    <t>(재료비+노무비) * 5%</t>
  </si>
  <si>
    <t>기  타  법  정  경  비</t>
    <phoneticPr fontId="1" type="noConversion"/>
  </si>
  <si>
    <t>(재료비 + 직노) * 0.25%</t>
    <phoneticPr fontId="1" type="noConversion"/>
  </si>
  <si>
    <t>시민안전관리비</t>
    <phoneticPr fontId="1" type="noConversion"/>
  </si>
  <si>
    <t>CK</t>
  </si>
  <si>
    <t>하도급지급보증수수료</t>
  </si>
  <si>
    <t>(재료비+직노+경비) * 0.081%</t>
  </si>
  <si>
    <t>최저가대상공사</t>
  </si>
  <si>
    <t>CL</t>
  </si>
  <si>
    <t>건설기계대여금지급보증서발급수수료</t>
  </si>
  <si>
    <t>(재료비+직노+경비) * 0.07%</t>
  </si>
  <si>
    <t>CS</t>
  </si>
  <si>
    <t>S1</t>
  </si>
  <si>
    <t>계</t>
  </si>
  <si>
    <t>D1</t>
  </si>
  <si>
    <t>일  반  관  리  비</t>
  </si>
  <si>
    <t>계 * 8%</t>
  </si>
  <si>
    <t>D2</t>
  </si>
  <si>
    <t>이              윤</t>
  </si>
  <si>
    <t>(노무비+경비+일반관리비) * 15%</t>
  </si>
  <si>
    <t>D6</t>
  </si>
  <si>
    <t>폐 기 물 처 리 비</t>
    <phoneticPr fontId="1" type="noConversion"/>
  </si>
  <si>
    <t>D7</t>
  </si>
  <si>
    <t>고  재  처  리  비</t>
    <phoneticPr fontId="1" type="noConversion"/>
  </si>
  <si>
    <t>D9</t>
  </si>
  <si>
    <t>공   급    가   액</t>
  </si>
  <si>
    <t>DH</t>
  </si>
  <si>
    <t>도      급      액</t>
  </si>
  <si>
    <t>S2</t>
  </si>
  <si>
    <t>총   공   사    비</t>
  </si>
  <si>
    <t>영세율 적용, 천단위 절사</t>
    <phoneticPr fontId="1" type="noConversion"/>
  </si>
  <si>
    <t>공 종 별 집 계 표</t>
  </si>
  <si>
    <t>[ 중앙선 망우역 등 12개역 교통약자 편의시설 개량기타공사 ]</t>
    <phoneticPr fontId="1" type="noConversion"/>
  </si>
  <si>
    <t>품      명</t>
  </si>
  <si>
    <t>규      격</t>
  </si>
  <si>
    <t>단위</t>
  </si>
  <si>
    <t>수량</t>
  </si>
  <si>
    <t>재  료  비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</si>
  <si>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</si>
  <si>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</si>
  <si>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</si>
  <si>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</si>
  <si>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</si>
  <si>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</si>
  <si>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</si>
  <si>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</si>
  <si>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</si>
  <si>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</si>
  <si>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</si>
  <si>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단  가</t>
  </si>
  <si>
    <t>금  액</t>
  </si>
  <si>
    <t>01  중앙선 망우역 등 12개역 교통약자 편의시설 개량기타공사</t>
    <phoneticPr fontId="1" type="noConversion"/>
  </si>
  <si>
    <t>01</t>
  </si>
  <si>
    <t>0101  중앙선</t>
  </si>
  <si>
    <t>0101</t>
  </si>
  <si>
    <t>0102  경원선</t>
  </si>
  <si>
    <t>0102</t>
  </si>
  <si>
    <t>0103  안전관리자</t>
  </si>
  <si>
    <t>합계 미포함</t>
    <phoneticPr fontId="1" type="noConversion"/>
  </si>
  <si>
    <t>0103</t>
  </si>
  <si>
    <t>8</t>
  </si>
  <si>
    <t>0104  폐기물처리비</t>
  </si>
  <si>
    <t>0104</t>
  </si>
  <si>
    <t>6</t>
  </si>
  <si>
    <t>0105  고재처리비</t>
    <phoneticPr fontId="1" type="noConversion"/>
  </si>
  <si>
    <t>0105</t>
  </si>
  <si>
    <t>7</t>
  </si>
  <si>
    <t>[ 합           계 ]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</si>
  <si>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</si>
  <si>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</si>
  <si>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</si>
  <si>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</si>
  <si>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</si>
  <si>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</si>
  <si>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</si>
  <si>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</si>
  <si>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</si>
  <si>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</si>
  <si>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</si>
  <si>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</si>
  <si>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</si>
  <si>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</si>
  <si>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</si>
  <si>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</si>
  <si>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</si>
  <si>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</si>
  <si>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</si>
  <si>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</si>
  <si>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</si>
  <si>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</si>
  <si>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</si>
  <si>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</si>
  <si>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</si>
  <si>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</si>
  <si>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</si>
  <si>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</si>
  <si>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</si>
  <si>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</si>
  <si>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</si>
  <si>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화강석 절단 SAW CUT</t>
  </si>
  <si>
    <t>M</t>
  </si>
  <si>
    <t>호표 1</t>
  </si>
  <si>
    <t>59DD44B6D4E8807BAB6C16C1</t>
  </si>
  <si>
    <t>T</t>
  </si>
  <si>
    <t>F</t>
  </si>
  <si>
    <t>010159DD44B6D4E8807BAB6C16C1</t>
  </si>
  <si>
    <t>야간</t>
  </si>
  <si>
    <t>호표 2</t>
  </si>
  <si>
    <t>59DD44B6D4E8807BAB6C16C0</t>
  </si>
  <si>
    <t>010159DD44B6D4E8807BAB6C16C0</t>
  </si>
  <si>
    <t>화강석/점자타일 철거</t>
  </si>
  <si>
    <t>개소당 작업면적 40m2 미만</t>
  </si>
  <si>
    <t>㎡</t>
  </si>
  <si>
    <t>호표 3</t>
  </si>
  <si>
    <t>59DD44B6D4E8807BAB6C16C7</t>
  </si>
  <si>
    <t>010159DD44B6D4E8807BAB6C16C7</t>
  </si>
  <si>
    <t>개소당 작업면적 40m2 미만, 야간</t>
  </si>
  <si>
    <t>호표 4</t>
  </si>
  <si>
    <t>59DD44B6D4E8807BAB6C16C6</t>
  </si>
  <si>
    <t>010159DD44B6D4E8807BAB6C16C6</t>
  </si>
  <si>
    <t>바탕 고르기</t>
  </si>
  <si>
    <t>바닥, 24mm 이하 기준, 62m2/일당</t>
  </si>
  <si>
    <t>M2</t>
  </si>
  <si>
    <t>호표 5</t>
  </si>
  <si>
    <t>5ED4C4FB1419F07B87E036A43AF509</t>
  </si>
  <si>
    <t>01015ED4C4FB1419F07B87E036A43AF509</t>
  </si>
  <si>
    <t>바닥, 24mm 이하 기준, 62m2/일당, 야간</t>
  </si>
  <si>
    <t>호표 6</t>
  </si>
  <si>
    <t>5ED4C4FB1419F07B87E036A43AF508</t>
  </si>
  <si>
    <t>01015ED4C4FB1419F07B87E036A43AF508</t>
  </si>
  <si>
    <t>점자타일 붙임(습식, 자기질타일)</t>
  </si>
  <si>
    <t>바닥, 논슬립자기질타일 18mm, 모르타르 50mm</t>
  </si>
  <si>
    <t>호표 7</t>
  </si>
  <si>
    <t>59DD44B6D4E8807BAB6C16C5</t>
  </si>
  <si>
    <t>010159DD44B6D4E8807BAB6C16C5</t>
  </si>
  <si>
    <t>바닥, 논슬립자기질타일 18mm, 모르타르 50mm, 야간</t>
  </si>
  <si>
    <t>호표 8</t>
  </si>
  <si>
    <t>59DD44B6D4E8807BAB6C16C4</t>
  </si>
  <si>
    <t>010159DD44B6D4E8807BAB6C16C4</t>
  </si>
  <si>
    <t>화강석붙임(습식, 버너)</t>
  </si>
  <si>
    <t>바닥, 포천석 30mm, 모르타르 30mm</t>
  </si>
  <si>
    <t>호표 9</t>
  </si>
  <si>
    <t>5ED4C4F854F87072E9B4B647E5B29E</t>
  </si>
  <si>
    <t>01015ED4C4F854F87072E9B4B647E5B29E</t>
  </si>
  <si>
    <t>바닥, 포천석 30mm, 모르타르 30mm, 야간</t>
  </si>
  <si>
    <t>호표 10</t>
  </si>
  <si>
    <t>5ED4C4F854F87072E9B4B647E5B29F</t>
  </si>
  <si>
    <t>01015ED4C4F854F87072E9B4B647E5B29F</t>
  </si>
  <si>
    <t>건축물보양</t>
  </si>
  <si>
    <t>타일 보양</t>
  </si>
  <si>
    <t>호표 11</t>
  </si>
  <si>
    <t>5ED404AD8469E07322AA162C87BBF7</t>
  </si>
  <si>
    <t>01015ED404AD8469E07322AA162C87BBF7</t>
  </si>
  <si>
    <t>타일 보양, 야간</t>
  </si>
  <si>
    <t>호표 12</t>
  </si>
  <si>
    <t>5ED404AD8469E07322AA162C87BBF6</t>
  </si>
  <si>
    <t>01015ED404AD8469E07322AA162C87BBF6</t>
  </si>
  <si>
    <t>계단논슬립 설치(화강석계단)</t>
  </si>
  <si>
    <t>텅스텐논슬립, 스테인리스, 70*18*T1</t>
  </si>
  <si>
    <t>호표 13</t>
  </si>
  <si>
    <t>5ED4E4C6D425A0794ADDA636EDA69F</t>
  </si>
  <si>
    <t>01015ED4E4C6D425A0794ADDA636EDA69F</t>
  </si>
  <si>
    <t>텅스텐논슬립(시인성), 스테인리스, 70*18*T1</t>
  </si>
  <si>
    <t>호표 14</t>
  </si>
  <si>
    <t>5ED4E4C6D425A0794ADDA636EDA69C</t>
  </si>
  <si>
    <t>01015ED4E4C6D425A0794ADDA636EDA69C</t>
  </si>
  <si>
    <t>계단논슬립 철거</t>
  </si>
  <si>
    <t>화강석계단</t>
  </si>
  <si>
    <t>호표 15</t>
  </si>
  <si>
    <t>5ED4E4C6D4259078DBA7C67A9F0069</t>
  </si>
  <si>
    <t>01015ED4E4C6D4259078DBA7C67A9F0069</t>
  </si>
  <si>
    <t>건축물 현장정리</t>
  </si>
  <si>
    <t>호표 16</t>
  </si>
  <si>
    <t>5ED404AD845F1073EC429614ED7832</t>
  </si>
  <si>
    <t>01015ED404AD845F1073EC429614ED7832</t>
  </si>
  <si>
    <t>TOTAL</t>
  </si>
  <si>
    <t>01025ED4E4C6D425A0794ADDA636EDA69F</t>
  </si>
  <si>
    <t>01025ED4E4C6D425A0794ADDA636EDA69C</t>
  </si>
  <si>
    <t>01025ED4E4C6D4259078DBA7C67A9F0069</t>
  </si>
  <si>
    <t>초급숙련기술자</t>
  </si>
  <si>
    <t>건설</t>
  </si>
  <si>
    <t>인</t>
  </si>
  <si>
    <t>5E07945924448073B4C606F417626205BBFB7A</t>
  </si>
  <si>
    <t>01035E07945924448073B4C606F417626205BBFB7A</t>
  </si>
  <si>
    <t>건설, 야간(4hr)</t>
  </si>
  <si>
    <t>5E07945924448073B4C606F417626205BBFB7B</t>
  </si>
  <si>
    <t>01035E07945924448073B4C606F417626205BBFB7B</t>
  </si>
  <si>
    <t>건설폐재류</t>
  </si>
  <si>
    <t>가연성이 제거된 재활용이 가능한 혼합물</t>
  </si>
  <si>
    <t>TON</t>
  </si>
  <si>
    <t>5E95648344EA407A0E6096BCCF4A7A4D9B1E5F</t>
  </si>
  <si>
    <t>01045E95648344EA407A0E6096BCCF4A7A4D9B1E5F</t>
  </si>
  <si>
    <t>건설폐재류 상차비</t>
  </si>
  <si>
    <t>5E95648344EA407A0E6096BCCF4B03CD94DBD2</t>
  </si>
  <si>
    <t>01045E95648344EA407A0E6096BCCF4B03CD94DBD2</t>
  </si>
  <si>
    <t>건설폐기물 운반비</t>
  </si>
  <si>
    <t>24톤 암롤트럭, 30km</t>
  </si>
  <si>
    <t>5E95648344EA407A0E6096BCCF4B03CD94DF4F</t>
  </si>
  <si>
    <t>01045E95648344EA407A0E6096BCCF4B03CD94DF4F</t>
  </si>
  <si>
    <t>고재처리</t>
    <phoneticPr fontId="1" type="noConversion"/>
  </si>
  <si>
    <t>철강설, 알루미늄, 작업설부산물</t>
  </si>
  <si>
    <t>kg</t>
  </si>
  <si>
    <t>수집상차도</t>
  </si>
  <si>
    <t>59DD44B6D46B5073581856CAB3592C4C7EDD3E</t>
  </si>
  <si>
    <t>010559DD44B6D46B5073581856CAB3592C4C7EDD3E</t>
  </si>
  <si>
    <t>고재처리</t>
  </si>
  <si>
    <t>철강설, 스텐레스, 작업설부산물</t>
  </si>
  <si>
    <t>59DD44B6D46B5073581856CAB249D2DC19E928</t>
  </si>
  <si>
    <t>010559DD44B6D46B5073581856CAB249D2DC19E928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</si>
</sst>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trike/>
      <sz val="11"/>
      <color theme="1"/>
      <name val="맑은 고딕"/>
      <family val="3"/>
      <charset val="129"/>
      <scheme val="minor"/>
    </font>
    <font>
      <strike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quotePrefix="1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1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distributed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1" xfId="0" quotePrefix="1" applyFont="1" applyBorder="1" applyAlignment="1">
      <alignment vertical="center" wrapText="1"/>
    </xf>
    <xf numFmtId="0" fontId="4" fillId="0" borderId="1" xfId="0" quotePrefix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vertical="center" wrapText="1"/>
    </xf>
    <xf numFmtId="0" fontId="4" fillId="0" borderId="1" xfId="0" quotePrefix="1" applyFont="1" applyBorder="1" applyAlignment="1">
      <alignment vertical="center" wrapText="1"/>
    </xf>
    <xf numFmtId="176" fontId="6" fillId="0" borderId="1" xfId="0" applyNumberFormat="1" applyFont="1" applyBorder="1" applyAlignment="1">
      <alignment vertical="center" wrapText="1"/>
    </xf>
    <xf numFmtId="0" fontId="2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2" xfId="0" quotePrefix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0" borderId="1" xfId="0" quotePrefix="1" applyFont="1" applyBorder="1" applyAlignment="1">
      <alignment horizontal="center" vertical="center"/>
    </xf>
    <xf numFmtId="0" fontId="0" fillId="0" borderId="0" xfId="0" quotePrefix="1">
      <alignment vertical="center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6" fillId="0" borderId="1" xfId="0" quotePrefix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76" fontId="0" fillId="0" borderId="0" xfId="0" applyNumberFormat="1">
      <alignment vertical="center"/>
    </xf>
    <xf numFmtId="0" fontId="7" fillId="0" borderId="1" xfId="0" quotePrefix="1" applyFont="1" applyBorder="1" applyAlignment="1">
      <alignment horizontal="center" vertical="center"/>
    </xf>
    <xf numFmtId="0" fontId="0" fillId="0" borderId="1" xfId="0" quotePrefix="1" applyFon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675;2026/1.%20&#49688;&#46020;&#44428;&#46041;&#48512;&#48376;&#48512;/25.%20&#51473;&#50521;&#49440;%20&#47581;&#50864;&#50669;%20&#46321;%2012&#44060;&#50669;%20&#44368;&#53685;&#50557;&#51088;%20&#54200;&#51032;&#49884;&#49444;%20&#44060;&#47049;&#44592;&#53440;&#44277;&#49324;(&#44148;&#52629;&#52376;%20&#51060;&#51008;&#55148;)V3/1.%20&#44228;&#50557;&#50836;&#52397;/2.%20&#49444;&#44228;&#46020;&#49436;/2-2.%20&#46020;&#44553;&#50696;&#49328;&#45236;&#50669;&#49436;(&#51473;&#50521;&#49440;%20&#47581;&#50864;&#50669;%20&#46321;%2012&#44060;&#50669;%20&#44368;&#53685;&#50557;&#51088;%20&#54200;&#51032;&#49884;&#49444;%20&#44060;&#47049;&#44592;&#53440;&#44277;&#4932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 지"/>
      <sheetName val="원가계산서"/>
      <sheetName val="공종별집계표"/>
      <sheetName val="공종별내역서"/>
      <sheetName val="일위대가목록"/>
      <sheetName val="일위대가"/>
      <sheetName val="단가대비표"/>
      <sheetName val=" 공사설정 "/>
      <sheetName val="Sheet1"/>
    </sheetNames>
    <sheetDataSet>
      <sheetData sheetId="0"/>
      <sheetData sheetId="1"/>
      <sheetData sheetId="2"/>
      <sheetData sheetId="3"/>
      <sheetData sheetId="4">
        <row r="4">
          <cell r="E4">
            <v>200</v>
          </cell>
          <cell r="F4">
            <v>2132</v>
          </cell>
          <cell r="G4">
            <v>65</v>
          </cell>
        </row>
        <row r="5">
          <cell r="E5">
            <v>200</v>
          </cell>
          <cell r="F5">
            <v>3459</v>
          </cell>
          <cell r="G5">
            <v>65</v>
          </cell>
        </row>
        <row r="6">
          <cell r="E6">
            <v>880</v>
          </cell>
          <cell r="F6">
            <v>75801</v>
          </cell>
          <cell r="G6">
            <v>240</v>
          </cell>
        </row>
        <row r="7">
          <cell r="E7">
            <v>880</v>
          </cell>
          <cell r="F7">
            <v>120595</v>
          </cell>
          <cell r="G7">
            <v>240</v>
          </cell>
        </row>
        <row r="8">
          <cell r="E8">
            <v>0</v>
          </cell>
          <cell r="F8">
            <v>11625</v>
          </cell>
          <cell r="G8">
            <v>232</v>
          </cell>
        </row>
        <row r="9">
          <cell r="E9">
            <v>0</v>
          </cell>
          <cell r="F9">
            <v>21798</v>
          </cell>
          <cell r="G9">
            <v>232</v>
          </cell>
        </row>
        <row r="10">
          <cell r="E10">
            <v>120420</v>
          </cell>
          <cell r="F10">
            <v>119207</v>
          </cell>
          <cell r="G10">
            <v>2270</v>
          </cell>
        </row>
        <row r="11">
          <cell r="E11">
            <v>120420</v>
          </cell>
          <cell r="F11">
            <v>223513</v>
          </cell>
          <cell r="G11">
            <v>2270</v>
          </cell>
        </row>
        <row r="12">
          <cell r="E12">
            <v>66285</v>
          </cell>
          <cell r="F12">
            <v>116935</v>
          </cell>
          <cell r="G12">
            <v>2270</v>
          </cell>
        </row>
        <row r="13">
          <cell r="E13">
            <v>68675</v>
          </cell>
          <cell r="F13">
            <v>223513</v>
          </cell>
          <cell r="G13">
            <v>2270</v>
          </cell>
        </row>
        <row r="14">
          <cell r="E14">
            <v>4028</v>
          </cell>
          <cell r="F14">
            <v>8329</v>
          </cell>
          <cell r="G14">
            <v>0</v>
          </cell>
        </row>
        <row r="15">
          <cell r="E15">
            <v>4028</v>
          </cell>
          <cell r="F15">
            <v>15617</v>
          </cell>
          <cell r="G15">
            <v>0</v>
          </cell>
        </row>
        <row r="16">
          <cell r="E16">
            <v>31000</v>
          </cell>
          <cell r="F16">
            <v>6241</v>
          </cell>
          <cell r="G16">
            <v>311</v>
          </cell>
        </row>
        <row r="17">
          <cell r="E17">
            <v>39000</v>
          </cell>
          <cell r="F17">
            <v>6241</v>
          </cell>
          <cell r="G17">
            <v>311</v>
          </cell>
        </row>
        <row r="18">
          <cell r="E18">
            <v>0</v>
          </cell>
          <cell r="F18">
            <v>3120</v>
          </cell>
          <cell r="G18">
            <v>93</v>
          </cell>
        </row>
        <row r="19">
          <cell r="E19">
            <v>0</v>
          </cell>
          <cell r="F19">
            <v>8603</v>
          </cell>
          <cell r="G19">
            <v>0</v>
          </cell>
        </row>
      </sheetData>
      <sheetData sheetId="5"/>
      <sheetData sheetId="6">
        <row r="9">
          <cell r="O9">
            <v>2000</v>
          </cell>
          <cell r="P9">
            <v>0</v>
          </cell>
          <cell r="V9">
            <v>0</v>
          </cell>
        </row>
        <row r="10">
          <cell r="O10">
            <v>3200</v>
          </cell>
          <cell r="P10">
            <v>0</v>
          </cell>
          <cell r="V10">
            <v>0</v>
          </cell>
        </row>
        <row r="20">
          <cell r="O20">
            <v>0</v>
          </cell>
          <cell r="P20">
            <v>0</v>
          </cell>
          <cell r="V20">
            <v>49571</v>
          </cell>
        </row>
        <row r="21">
          <cell r="O21">
            <v>0</v>
          </cell>
          <cell r="P21">
            <v>0</v>
          </cell>
          <cell r="V21">
            <v>3890</v>
          </cell>
        </row>
        <row r="22">
          <cell r="O22">
            <v>0</v>
          </cell>
          <cell r="P22">
            <v>0</v>
          </cell>
          <cell r="V22">
            <v>61880</v>
          </cell>
        </row>
        <row r="32">
          <cell r="O32">
            <v>0</v>
          </cell>
          <cell r="P32">
            <v>218142</v>
          </cell>
          <cell r="V32">
            <v>0</v>
          </cell>
        </row>
        <row r="33">
          <cell r="O33">
            <v>0</v>
          </cell>
          <cell r="P33">
            <v>163606</v>
          </cell>
          <cell r="V33">
            <v>0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topLeftCell="B1" workbookViewId="0">
      <selection activeCell="E32" sqref="E32"/>
    </sheetView>
  </sheetViews>
  <sheetFormatPr defaultRowHeight="16.5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</cols>
  <sheetData>
    <row r="1" spans="1:7" ht="24" customHeight="1">
      <c r="B1" s="1" t="s">
        <v>0</v>
      </c>
      <c r="C1" s="1"/>
      <c r="D1" s="1"/>
      <c r="E1" s="1"/>
      <c r="F1" s="1"/>
      <c r="G1" s="1"/>
    </row>
    <row r="2" spans="1:7" ht="21.95" customHeight="1">
      <c r="B2" s="2" t="s">
        <v>1</v>
      </c>
      <c r="C2" s="2"/>
      <c r="D2" s="2"/>
      <c r="E2" s="2"/>
      <c r="F2" s="3"/>
      <c r="G2" s="3"/>
    </row>
    <row r="3" spans="1:7" ht="21" customHeight="1">
      <c r="B3" s="4" t="s">
        <v>2</v>
      </c>
      <c r="C3" s="5"/>
      <c r="D3" s="5"/>
      <c r="E3" s="6" t="s">
        <v>3</v>
      </c>
      <c r="F3" s="6" t="s">
        <v>4</v>
      </c>
      <c r="G3" s="6" t="s">
        <v>5</v>
      </c>
    </row>
    <row r="4" spans="1:7" ht="21" customHeight="1">
      <c r="A4" s="7" t="s">
        <v>6</v>
      </c>
      <c r="B4" s="8" t="s">
        <v>7</v>
      </c>
      <c r="C4" s="8" t="s">
        <v>8</v>
      </c>
      <c r="D4" s="6" t="s">
        <v>9</v>
      </c>
      <c r="E4" s="9">
        <f>TRUNC(공종별집계표!F5, 0)</f>
        <v>159472384</v>
      </c>
      <c r="F4" s="10" t="s">
        <v>10</v>
      </c>
      <c r="G4" s="10" t="s">
        <v>10</v>
      </c>
    </row>
    <row r="5" spans="1:7" ht="21" customHeight="1">
      <c r="A5" s="7" t="s">
        <v>11</v>
      </c>
      <c r="B5" s="8"/>
      <c r="C5" s="8"/>
      <c r="D5" s="6" t="s">
        <v>12</v>
      </c>
      <c r="E5" s="9">
        <v>0</v>
      </c>
      <c r="F5" s="10" t="s">
        <v>10</v>
      </c>
      <c r="G5" s="10" t="s">
        <v>10</v>
      </c>
    </row>
    <row r="6" spans="1:7" ht="21" customHeight="1">
      <c r="A6" s="7" t="s">
        <v>13</v>
      </c>
      <c r="B6" s="8"/>
      <c r="C6" s="8"/>
      <c r="D6" s="6" t="s">
        <v>14</v>
      </c>
      <c r="E6" s="9">
        <v>0</v>
      </c>
      <c r="F6" s="10" t="s">
        <v>10</v>
      </c>
      <c r="G6" s="10" t="s">
        <v>10</v>
      </c>
    </row>
    <row r="7" spans="1:7" ht="21" customHeight="1">
      <c r="A7" s="7" t="s">
        <v>15</v>
      </c>
      <c r="B7" s="8"/>
      <c r="C7" s="8"/>
      <c r="D7" s="6" t="s">
        <v>16</v>
      </c>
      <c r="E7" s="9">
        <f>TRUNC(E4+E5-E6, 0)</f>
        <v>159472384</v>
      </c>
      <c r="F7" s="10" t="s">
        <v>10</v>
      </c>
      <c r="G7" s="10" t="s">
        <v>10</v>
      </c>
    </row>
    <row r="8" spans="1:7" ht="21" customHeight="1">
      <c r="A8" s="7" t="s">
        <v>17</v>
      </c>
      <c r="B8" s="8"/>
      <c r="C8" s="8" t="s">
        <v>18</v>
      </c>
      <c r="D8" s="6" t="s">
        <v>19</v>
      </c>
      <c r="E8" s="9">
        <f>TRUNC(공종별집계표!H5, 0)</f>
        <v>61688282</v>
      </c>
      <c r="F8" s="10" t="s">
        <v>10</v>
      </c>
      <c r="G8" s="10" t="s">
        <v>10</v>
      </c>
    </row>
    <row r="9" spans="1:7" ht="21" customHeight="1">
      <c r="A9" s="7" t="s">
        <v>20</v>
      </c>
      <c r="B9" s="8"/>
      <c r="C9" s="8"/>
      <c r="D9" s="6" t="s">
        <v>21</v>
      </c>
      <c r="E9" s="9">
        <f>TRUNC(E8*0.175, 0)</f>
        <v>10795449</v>
      </c>
      <c r="F9" s="10" t="s">
        <v>22</v>
      </c>
      <c r="G9" s="10" t="s">
        <v>10</v>
      </c>
    </row>
    <row r="10" spans="1:7" ht="21" customHeight="1">
      <c r="A10" s="7" t="s">
        <v>23</v>
      </c>
      <c r="B10" s="8"/>
      <c r="C10" s="8"/>
      <c r="D10" s="6" t="s">
        <v>16</v>
      </c>
      <c r="E10" s="9">
        <f>TRUNC(E8+E9, 0)</f>
        <v>72483731</v>
      </c>
      <c r="F10" s="10" t="s">
        <v>10</v>
      </c>
      <c r="G10" s="10" t="s">
        <v>10</v>
      </c>
    </row>
    <row r="11" spans="1:7" ht="21" customHeight="1">
      <c r="A11" s="7" t="s">
        <v>24</v>
      </c>
      <c r="B11" s="8"/>
      <c r="C11" s="8" t="s">
        <v>25</v>
      </c>
      <c r="D11" s="6" t="s">
        <v>26</v>
      </c>
      <c r="E11" s="9">
        <f>TRUNC(공종별집계표!J5, 0)</f>
        <v>1755879</v>
      </c>
      <c r="F11" s="10" t="s">
        <v>10</v>
      </c>
      <c r="G11" s="10" t="s">
        <v>10</v>
      </c>
    </row>
    <row r="12" spans="1:7" ht="21" customHeight="1">
      <c r="A12" s="7" t="s">
        <v>27</v>
      </c>
      <c r="B12" s="8"/>
      <c r="C12" s="8"/>
      <c r="D12" s="6" t="s">
        <v>28</v>
      </c>
      <c r="E12" s="9">
        <f>TRUNC(E10*0.0356, 0)</f>
        <v>2580420</v>
      </c>
      <c r="F12" s="10" t="s">
        <v>29</v>
      </c>
      <c r="G12" s="10" t="s">
        <v>10</v>
      </c>
    </row>
    <row r="13" spans="1:7" ht="21" customHeight="1">
      <c r="A13" s="7" t="s">
        <v>30</v>
      </c>
      <c r="B13" s="8"/>
      <c r="C13" s="8"/>
      <c r="D13" s="6" t="s">
        <v>31</v>
      </c>
      <c r="E13" s="9">
        <f>TRUNC(E10*0.0101, 0)</f>
        <v>732085</v>
      </c>
      <c r="F13" s="10" t="s">
        <v>32</v>
      </c>
      <c r="G13" s="10" t="s">
        <v>10</v>
      </c>
    </row>
    <row r="14" spans="1:7" ht="21" customHeight="1">
      <c r="A14" s="7" t="s">
        <v>33</v>
      </c>
      <c r="B14" s="8"/>
      <c r="C14" s="8"/>
      <c r="D14" s="6" t="s">
        <v>34</v>
      </c>
      <c r="E14" s="9">
        <f>TRUNC(E8*0.03595, 0)</f>
        <v>2217693</v>
      </c>
      <c r="F14" s="10" t="s">
        <v>35</v>
      </c>
      <c r="G14" s="10" t="s">
        <v>10</v>
      </c>
    </row>
    <row r="15" spans="1:7" ht="21" customHeight="1">
      <c r="A15" s="7" t="s">
        <v>36</v>
      </c>
      <c r="B15" s="8"/>
      <c r="C15" s="8"/>
      <c r="D15" s="6" t="s">
        <v>37</v>
      </c>
      <c r="E15" s="9">
        <f>TRUNC(E8*0.0475, 0)</f>
        <v>2930193</v>
      </c>
      <c r="F15" s="10" t="s">
        <v>38</v>
      </c>
      <c r="G15" s="10" t="s">
        <v>10</v>
      </c>
    </row>
    <row r="16" spans="1:7" ht="21" customHeight="1">
      <c r="A16" s="7" t="s">
        <v>39</v>
      </c>
      <c r="B16" s="8"/>
      <c r="C16" s="8"/>
      <c r="D16" s="6" t="s">
        <v>40</v>
      </c>
      <c r="E16" s="9">
        <f>TRUNC(E8*0.023, 0)</f>
        <v>1418830</v>
      </c>
      <c r="F16" s="10" t="s">
        <v>41</v>
      </c>
      <c r="G16" s="10" t="s">
        <v>10</v>
      </c>
    </row>
    <row r="17" spans="1:7" ht="21" customHeight="1">
      <c r="A17" s="7" t="s">
        <v>42</v>
      </c>
      <c r="B17" s="8"/>
      <c r="C17" s="8"/>
      <c r="D17" s="6" t="s">
        <v>43</v>
      </c>
      <c r="E17" s="9">
        <f>TRUNC((E7+E8+(0/1.1))*0.0311, 0)</f>
        <v>6878096</v>
      </c>
      <c r="F17" s="10" t="s">
        <v>44</v>
      </c>
      <c r="G17" s="10" t="s">
        <v>10</v>
      </c>
    </row>
    <row r="18" spans="1:7" ht="21" customHeight="1">
      <c r="A18" s="7" t="s">
        <v>45</v>
      </c>
      <c r="B18" s="8"/>
      <c r="C18" s="8"/>
      <c r="D18" s="6" t="s">
        <v>46</v>
      </c>
      <c r="E18" s="9">
        <f>TRUNC(E14*0.1314, 0)</f>
        <v>291404</v>
      </c>
      <c r="F18" s="10" t="s">
        <v>47</v>
      </c>
      <c r="G18" s="10" t="s">
        <v>10</v>
      </c>
    </row>
    <row r="19" spans="1:7" ht="21" customHeight="1">
      <c r="A19" s="7" t="s">
        <v>48</v>
      </c>
      <c r="B19" s="8"/>
      <c r="C19" s="8"/>
      <c r="D19" s="6" t="s">
        <v>49</v>
      </c>
      <c r="E19" s="9">
        <f>TRUNC(E10*0.00006, 0)</f>
        <v>4349</v>
      </c>
      <c r="F19" s="10" t="s">
        <v>50</v>
      </c>
      <c r="G19" s="10" t="s">
        <v>10</v>
      </c>
    </row>
    <row r="20" spans="1:7" ht="21" customHeight="1">
      <c r="A20" s="7" t="s">
        <v>51</v>
      </c>
      <c r="B20" s="8"/>
      <c r="C20" s="8"/>
      <c r="D20" s="6" t="s">
        <v>52</v>
      </c>
      <c r="E20" s="9">
        <f>TRUNC(E10*0.0009, 0)</f>
        <v>65235</v>
      </c>
      <c r="F20" s="10" t="s">
        <v>53</v>
      </c>
      <c r="G20" s="10" t="s">
        <v>10</v>
      </c>
    </row>
    <row r="21" spans="1:7" ht="21" customHeight="1">
      <c r="A21" s="7"/>
      <c r="B21" s="8"/>
      <c r="C21" s="8"/>
      <c r="D21" s="6" t="s">
        <v>54</v>
      </c>
      <c r="E21" s="9">
        <f>TRUNC(공종별집계표!T8, 0)</f>
        <v>6217044</v>
      </c>
      <c r="F21" s="10"/>
      <c r="G21" s="10"/>
    </row>
    <row r="22" spans="1:7" ht="21" customHeight="1">
      <c r="A22" s="7" t="s">
        <v>55</v>
      </c>
      <c r="B22" s="8"/>
      <c r="C22" s="8"/>
      <c r="D22" s="6" t="s">
        <v>56</v>
      </c>
      <c r="E22" s="9">
        <f>TRUNC((E7+E10)*0.05, 0)</f>
        <v>11597805</v>
      </c>
      <c r="F22" s="10" t="s">
        <v>57</v>
      </c>
      <c r="G22" s="10" t="s">
        <v>10</v>
      </c>
    </row>
    <row r="23" spans="1:7" ht="21" customHeight="1">
      <c r="A23" s="7"/>
      <c r="B23" s="8"/>
      <c r="C23" s="8"/>
      <c r="D23" s="6" t="s">
        <v>58</v>
      </c>
      <c r="E23" s="9">
        <f>TRUNC((E7+E8)*0.0025, 0)</f>
        <v>552901</v>
      </c>
      <c r="F23" s="10" t="s">
        <v>59</v>
      </c>
      <c r="G23" s="10" t="s">
        <v>60</v>
      </c>
    </row>
    <row r="24" spans="1:7" ht="21" hidden="1" customHeight="1">
      <c r="A24" s="7" t="s">
        <v>61</v>
      </c>
      <c r="B24" s="8"/>
      <c r="C24" s="8"/>
      <c r="D24" s="11" t="s">
        <v>62</v>
      </c>
      <c r="E24" s="12">
        <v>0</v>
      </c>
      <c r="F24" s="13" t="s">
        <v>63</v>
      </c>
      <c r="G24" s="13" t="s">
        <v>64</v>
      </c>
    </row>
    <row r="25" spans="1:7" ht="21" hidden="1" customHeight="1">
      <c r="A25" s="7" t="s">
        <v>65</v>
      </c>
      <c r="B25" s="8"/>
      <c r="C25" s="8"/>
      <c r="D25" s="11" t="s">
        <v>66</v>
      </c>
      <c r="E25" s="12">
        <v>0</v>
      </c>
      <c r="F25" s="13" t="s">
        <v>67</v>
      </c>
      <c r="G25" s="13" t="s">
        <v>10</v>
      </c>
    </row>
    <row r="26" spans="1:7" ht="21" customHeight="1">
      <c r="A26" s="7" t="s">
        <v>68</v>
      </c>
      <c r="B26" s="8"/>
      <c r="C26" s="8"/>
      <c r="D26" s="6" t="s">
        <v>16</v>
      </c>
      <c r="E26" s="9">
        <f>TRUNC(E11+E12+E13+E14+E15+E16+E17+E18+E19+E20+E21+E22+E23+E24+E25, 0)</f>
        <v>37241934</v>
      </c>
      <c r="F26" s="10" t="s">
        <v>10</v>
      </c>
      <c r="G26" s="10" t="s">
        <v>10</v>
      </c>
    </row>
    <row r="27" spans="1:7" ht="21" customHeight="1">
      <c r="A27" s="7" t="s">
        <v>69</v>
      </c>
      <c r="B27" s="5" t="s">
        <v>70</v>
      </c>
      <c r="C27" s="5"/>
      <c r="D27" s="5"/>
      <c r="E27" s="9">
        <f>TRUNC(E7+E10+E26, 0)</f>
        <v>269198049</v>
      </c>
      <c r="F27" s="10" t="s">
        <v>10</v>
      </c>
      <c r="G27" s="10" t="s">
        <v>10</v>
      </c>
    </row>
    <row r="28" spans="1:7" ht="21" customHeight="1">
      <c r="A28" s="7" t="s">
        <v>71</v>
      </c>
      <c r="B28" s="5" t="s">
        <v>72</v>
      </c>
      <c r="C28" s="5"/>
      <c r="D28" s="5"/>
      <c r="E28" s="9">
        <f>TRUNC(E27*0.08, 0)</f>
        <v>21535843</v>
      </c>
      <c r="F28" s="10" t="s">
        <v>73</v>
      </c>
      <c r="G28" s="10" t="s">
        <v>10</v>
      </c>
    </row>
    <row r="29" spans="1:7" ht="21" customHeight="1">
      <c r="A29" s="7" t="s">
        <v>74</v>
      </c>
      <c r="B29" s="5" t="s">
        <v>75</v>
      </c>
      <c r="C29" s="5"/>
      <c r="D29" s="5"/>
      <c r="E29" s="14">
        <f>TRUNC((E10+E26+E28)*0.15,0)-269</f>
        <v>19688957</v>
      </c>
      <c r="F29" s="10" t="s">
        <v>76</v>
      </c>
      <c r="G29" s="10" t="s">
        <v>10</v>
      </c>
    </row>
    <row r="30" spans="1:7" ht="21" customHeight="1">
      <c r="A30" s="7" t="s">
        <v>77</v>
      </c>
      <c r="B30" s="5" t="s">
        <v>78</v>
      </c>
      <c r="C30" s="5"/>
      <c r="D30" s="5"/>
      <c r="E30" s="9">
        <f>TRUNC(공종별집계표!T9, 0)</f>
        <v>129180</v>
      </c>
      <c r="F30" s="10" t="s">
        <v>10</v>
      </c>
      <c r="G30" s="10" t="s">
        <v>10</v>
      </c>
    </row>
    <row r="31" spans="1:7" ht="21" customHeight="1">
      <c r="A31" s="7" t="s">
        <v>79</v>
      </c>
      <c r="B31" s="5" t="s">
        <v>80</v>
      </c>
      <c r="C31" s="5"/>
      <c r="D31" s="5"/>
      <c r="E31" s="9">
        <f>TRUNC(공종별집계표!T10, 0)</f>
        <v>749316</v>
      </c>
      <c r="F31" s="10" t="s">
        <v>10</v>
      </c>
      <c r="G31" s="10" t="s">
        <v>10</v>
      </c>
    </row>
    <row r="32" spans="1:7" ht="21" customHeight="1">
      <c r="A32" s="7" t="s">
        <v>81</v>
      </c>
      <c r="B32" s="5" t="s">
        <v>82</v>
      </c>
      <c r="C32" s="5"/>
      <c r="D32" s="5"/>
      <c r="E32" s="14">
        <f>TRUNC(E27+E28+E29+E30-E31, 0)-713</f>
        <v>309802000</v>
      </c>
      <c r="F32" s="10" t="s">
        <v>10</v>
      </c>
      <c r="G32" s="10" t="s">
        <v>10</v>
      </c>
    </row>
    <row r="33" spans="1:7" ht="21" customHeight="1">
      <c r="A33" s="7" t="s">
        <v>83</v>
      </c>
      <c r="B33" s="5" t="s">
        <v>84</v>
      </c>
      <c r="C33" s="5"/>
      <c r="D33" s="5"/>
      <c r="E33" s="14">
        <f>TRUNC(E32, 0)</f>
        <v>309802000</v>
      </c>
      <c r="F33" s="10" t="s">
        <v>10</v>
      </c>
      <c r="G33" s="10" t="s">
        <v>10</v>
      </c>
    </row>
    <row r="34" spans="1:7" ht="21" customHeight="1">
      <c r="A34" s="7" t="s">
        <v>85</v>
      </c>
      <c r="B34" s="5" t="s">
        <v>86</v>
      </c>
      <c r="C34" s="5"/>
      <c r="D34" s="5"/>
      <c r="E34" s="14">
        <f>TRUNC(E33+0, 0)</f>
        <v>309802000</v>
      </c>
      <c r="F34" s="10" t="s">
        <v>10</v>
      </c>
      <c r="G34" s="10" t="s">
        <v>87</v>
      </c>
    </row>
  </sheetData>
  <mergeCells count="16">
    <mergeCell ref="B33:D33"/>
    <mergeCell ref="B34:D34"/>
    <mergeCell ref="B27:D27"/>
    <mergeCell ref="B28:D28"/>
    <mergeCell ref="B29:D29"/>
    <mergeCell ref="B30:D30"/>
    <mergeCell ref="B31:D31"/>
    <mergeCell ref="B32:D32"/>
    <mergeCell ref="B1:G1"/>
    <mergeCell ref="B2:E2"/>
    <mergeCell ref="F2:G2"/>
    <mergeCell ref="B3:D3"/>
    <mergeCell ref="B4:B26"/>
    <mergeCell ref="C4:C7"/>
    <mergeCell ref="C8:C10"/>
    <mergeCell ref="C11:C26"/>
  </mergeCells>
  <phoneticPr fontId="1" type="noConversion"/>
  <pageMargins left="0.59055118110236227" right="0.59055118110236227" top="0" bottom="0" header="0" footer="0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workbookViewId="0">
      <selection activeCell="E32" sqref="E32"/>
    </sheetView>
  </sheetViews>
  <sheetFormatPr defaultRowHeight="16.5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>
      <c r="A1" s="15" t="s">
        <v>88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20" ht="30" customHeight="1">
      <c r="A2" s="17" t="s">
        <v>89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20" ht="30" customHeight="1">
      <c r="A3" s="20" t="s">
        <v>90</v>
      </c>
      <c r="B3" s="20" t="s">
        <v>91</v>
      </c>
      <c r="C3" s="20" t="s">
        <v>92</v>
      </c>
      <c r="D3" s="20" t="s">
        <v>93</v>
      </c>
      <c r="E3" s="20" t="s">
        <v>94</v>
      </c>
      <c r="F3" s="20"/>
      <c r="G3" s="20" t="s">
        <v>95</v>
      </c>
      <c r="H3" s="20"/>
      <c r="I3" s="20" t="s">
        <v>96</v>
      </c>
      <c r="J3" s="20"/>
      <c r="K3" s="20" t="s">
        <v>97</v>
      </c>
      <c r="L3" s="20"/>
      <c r="M3" s="20" t="s">
        <v>98</v>
      </c>
      <c r="N3" s="21" t="s">
        <v>99</v>
      </c>
      <c r="O3" s="21" t="s">
        <v>100</v>
      </c>
      <c r="P3" s="21" t="s">
        <v>101</v>
      </c>
      <c r="Q3" s="21" t="s">
        <v>102</v>
      </c>
      <c r="R3" s="21" t="s">
        <v>103</v>
      </c>
      <c r="S3" s="21" t="s">
        <v>104</v>
      </c>
      <c r="T3" s="21" t="s">
        <v>105</v>
      </c>
    </row>
    <row r="4" spans="1:20" ht="30" customHeight="1">
      <c r="A4" s="22"/>
      <c r="B4" s="22"/>
      <c r="C4" s="22"/>
      <c r="D4" s="22"/>
      <c r="E4" s="23" t="s">
        <v>106</v>
      </c>
      <c r="F4" s="23" t="s">
        <v>107</v>
      </c>
      <c r="G4" s="23" t="s">
        <v>106</v>
      </c>
      <c r="H4" s="23" t="s">
        <v>107</v>
      </c>
      <c r="I4" s="23" t="s">
        <v>106</v>
      </c>
      <c r="J4" s="23" t="s">
        <v>107</v>
      </c>
      <c r="K4" s="23" t="s">
        <v>106</v>
      </c>
      <c r="L4" s="23" t="s">
        <v>107</v>
      </c>
      <c r="M4" s="22"/>
      <c r="N4" s="21"/>
      <c r="O4" s="21"/>
      <c r="P4" s="21"/>
      <c r="Q4" s="21"/>
      <c r="R4" s="21"/>
      <c r="S4" s="21"/>
      <c r="T4" s="21"/>
    </row>
    <row r="5" spans="1:20" ht="30" customHeight="1">
      <c r="A5" s="10" t="s">
        <v>108</v>
      </c>
      <c r="B5" s="10" t="s">
        <v>10</v>
      </c>
      <c r="C5" s="10" t="s">
        <v>10</v>
      </c>
      <c r="D5" s="24">
        <v>1</v>
      </c>
      <c r="E5" s="9">
        <f>F6+F7</f>
        <v>159472384</v>
      </c>
      <c r="F5" s="9">
        <f t="shared" ref="F5:F10" si="0">E5*D5</f>
        <v>159472384</v>
      </c>
      <c r="G5" s="9">
        <f>H6+H7</f>
        <v>61688282</v>
      </c>
      <c r="H5" s="9">
        <f t="shared" ref="H5:H10" si="1">G5*D5</f>
        <v>61688282</v>
      </c>
      <c r="I5" s="9">
        <f>J6+J7</f>
        <v>1755879</v>
      </c>
      <c r="J5" s="9">
        <f t="shared" ref="J5:J10" si="2">I5*D5</f>
        <v>1755879</v>
      </c>
      <c r="K5" s="9">
        <f t="shared" ref="K5:L10" si="3">E5+G5+I5</f>
        <v>222916545</v>
      </c>
      <c r="L5" s="9">
        <f t="shared" si="3"/>
        <v>222916545</v>
      </c>
      <c r="M5" s="10" t="s">
        <v>10</v>
      </c>
      <c r="N5" s="25" t="s">
        <v>109</v>
      </c>
      <c r="O5" s="25" t="s">
        <v>10</v>
      </c>
      <c r="P5" s="25" t="s">
        <v>10</v>
      </c>
      <c r="Q5" s="25" t="s">
        <v>10</v>
      </c>
      <c r="R5" s="26">
        <v>1</v>
      </c>
      <c r="S5" s="25" t="s">
        <v>10</v>
      </c>
      <c r="T5" s="27"/>
    </row>
    <row r="6" spans="1:20" ht="30" customHeight="1">
      <c r="A6" s="10" t="s">
        <v>110</v>
      </c>
      <c r="B6" s="10" t="s">
        <v>10</v>
      </c>
      <c r="C6" s="10" t="s">
        <v>10</v>
      </c>
      <c r="D6" s="24">
        <v>1</v>
      </c>
      <c r="E6" s="9">
        <f>공종별내역서!F27</f>
        <v>34973184</v>
      </c>
      <c r="F6" s="9">
        <f t="shared" si="0"/>
        <v>34973184</v>
      </c>
      <c r="G6" s="9">
        <f>공종별내역서!H27</f>
        <v>35704501</v>
      </c>
      <c r="H6" s="9">
        <f t="shared" si="1"/>
        <v>35704501</v>
      </c>
      <c r="I6" s="9">
        <f>공종별내역서!J27</f>
        <v>499679</v>
      </c>
      <c r="J6" s="9">
        <f t="shared" si="2"/>
        <v>499679</v>
      </c>
      <c r="K6" s="9">
        <f t="shared" si="3"/>
        <v>71177364</v>
      </c>
      <c r="L6" s="9">
        <f t="shared" si="3"/>
        <v>71177364</v>
      </c>
      <c r="M6" s="10" t="s">
        <v>10</v>
      </c>
      <c r="N6" s="25" t="s">
        <v>111</v>
      </c>
      <c r="O6" s="25" t="s">
        <v>10</v>
      </c>
      <c r="P6" s="25" t="s">
        <v>109</v>
      </c>
      <c r="Q6" s="25" t="s">
        <v>10</v>
      </c>
      <c r="R6" s="26">
        <v>2</v>
      </c>
      <c r="S6" s="25" t="s">
        <v>10</v>
      </c>
      <c r="T6" s="27"/>
    </row>
    <row r="7" spans="1:20" ht="30" customHeight="1">
      <c r="A7" s="10" t="s">
        <v>112</v>
      </c>
      <c r="B7" s="10" t="s">
        <v>10</v>
      </c>
      <c r="C7" s="10" t="s">
        <v>10</v>
      </c>
      <c r="D7" s="24">
        <v>1</v>
      </c>
      <c r="E7" s="9">
        <f>공종별내역서!F51</f>
        <v>124499200</v>
      </c>
      <c r="F7" s="9">
        <f t="shared" si="0"/>
        <v>124499200</v>
      </c>
      <c r="G7" s="9">
        <f>공종별내역서!H51</f>
        <v>25983781</v>
      </c>
      <c r="H7" s="9">
        <f t="shared" si="1"/>
        <v>25983781</v>
      </c>
      <c r="I7" s="9">
        <f>공종별내역서!J51</f>
        <v>1256200</v>
      </c>
      <c r="J7" s="9">
        <f t="shared" si="2"/>
        <v>1256200</v>
      </c>
      <c r="K7" s="9">
        <f t="shared" si="3"/>
        <v>151739181</v>
      </c>
      <c r="L7" s="9">
        <f t="shared" si="3"/>
        <v>151739181</v>
      </c>
      <c r="M7" s="10" t="s">
        <v>10</v>
      </c>
      <c r="N7" s="25" t="s">
        <v>113</v>
      </c>
      <c r="O7" s="25" t="s">
        <v>10</v>
      </c>
      <c r="P7" s="25" t="s">
        <v>109</v>
      </c>
      <c r="Q7" s="25" t="s">
        <v>10</v>
      </c>
      <c r="R7" s="26">
        <v>2</v>
      </c>
      <c r="S7" s="25" t="s">
        <v>10</v>
      </c>
      <c r="T7" s="27"/>
    </row>
    <row r="8" spans="1:20" ht="30" customHeight="1">
      <c r="A8" s="10" t="s">
        <v>114</v>
      </c>
      <c r="B8" s="10" t="s">
        <v>10</v>
      </c>
      <c r="C8" s="10" t="s">
        <v>10</v>
      </c>
      <c r="D8" s="24">
        <v>1</v>
      </c>
      <c r="E8" s="9">
        <f>공종별내역서!F75</f>
        <v>0</v>
      </c>
      <c r="F8" s="9">
        <f t="shared" si="0"/>
        <v>0</v>
      </c>
      <c r="G8" s="9">
        <f>공종별내역서!H75</f>
        <v>6217044</v>
      </c>
      <c r="H8" s="9">
        <f t="shared" si="1"/>
        <v>6217044</v>
      </c>
      <c r="I8" s="9">
        <f>공종별내역서!J75</f>
        <v>0</v>
      </c>
      <c r="J8" s="9">
        <f t="shared" si="2"/>
        <v>0</v>
      </c>
      <c r="K8" s="9">
        <f t="shared" si="3"/>
        <v>6217044</v>
      </c>
      <c r="L8" s="9">
        <f t="shared" si="3"/>
        <v>6217044</v>
      </c>
      <c r="M8" s="10" t="s">
        <v>115</v>
      </c>
      <c r="N8" s="25" t="s">
        <v>116</v>
      </c>
      <c r="O8" s="25" t="s">
        <v>10</v>
      </c>
      <c r="P8" s="25" t="s">
        <v>10</v>
      </c>
      <c r="Q8" s="25" t="s">
        <v>117</v>
      </c>
      <c r="R8" s="26">
        <v>2</v>
      </c>
      <c r="S8" s="25" t="s">
        <v>10</v>
      </c>
      <c r="T8" s="27">
        <f>L8*1</f>
        <v>6217044</v>
      </c>
    </row>
    <row r="9" spans="1:20" ht="30" customHeight="1">
      <c r="A9" s="10" t="s">
        <v>118</v>
      </c>
      <c r="B9" s="10" t="s">
        <v>10</v>
      </c>
      <c r="C9" s="10" t="s">
        <v>10</v>
      </c>
      <c r="D9" s="24">
        <v>1</v>
      </c>
      <c r="E9" s="9">
        <f>공종별내역서!F99</f>
        <v>0</v>
      </c>
      <c r="F9" s="9">
        <f t="shared" si="0"/>
        <v>0</v>
      </c>
      <c r="G9" s="9">
        <f>공종별내역서!H99</f>
        <v>0</v>
      </c>
      <c r="H9" s="9">
        <f t="shared" si="1"/>
        <v>0</v>
      </c>
      <c r="I9" s="9">
        <f>공종별내역서!J99</f>
        <v>129180</v>
      </c>
      <c r="J9" s="9">
        <f t="shared" si="2"/>
        <v>129180</v>
      </c>
      <c r="K9" s="9">
        <f t="shared" si="3"/>
        <v>129180</v>
      </c>
      <c r="L9" s="9">
        <f t="shared" si="3"/>
        <v>129180</v>
      </c>
      <c r="M9" s="10" t="s">
        <v>115</v>
      </c>
      <c r="N9" s="25" t="s">
        <v>119</v>
      </c>
      <c r="O9" s="25" t="s">
        <v>10</v>
      </c>
      <c r="P9" s="25" t="s">
        <v>10</v>
      </c>
      <c r="Q9" s="25" t="s">
        <v>120</v>
      </c>
      <c r="R9" s="26">
        <v>2</v>
      </c>
      <c r="S9" s="25" t="s">
        <v>10</v>
      </c>
      <c r="T9" s="27">
        <f>L9*1</f>
        <v>129180</v>
      </c>
    </row>
    <row r="10" spans="1:20" ht="30" customHeight="1">
      <c r="A10" s="28" t="s">
        <v>121</v>
      </c>
      <c r="B10" s="28" t="s">
        <v>10</v>
      </c>
      <c r="C10" s="28" t="s">
        <v>10</v>
      </c>
      <c r="D10" s="29">
        <v>1</v>
      </c>
      <c r="E10" s="14">
        <f>공종별내역서!F123</f>
        <v>749316</v>
      </c>
      <c r="F10" s="14">
        <f t="shared" si="0"/>
        <v>749316</v>
      </c>
      <c r="G10" s="14">
        <f>공종별내역서!H123</f>
        <v>0</v>
      </c>
      <c r="H10" s="14">
        <f t="shared" si="1"/>
        <v>0</v>
      </c>
      <c r="I10" s="14">
        <f>공종별내역서!J123</f>
        <v>0</v>
      </c>
      <c r="J10" s="14">
        <f t="shared" si="2"/>
        <v>0</v>
      </c>
      <c r="K10" s="14">
        <f t="shared" si="3"/>
        <v>749316</v>
      </c>
      <c r="L10" s="14">
        <f t="shared" si="3"/>
        <v>749316</v>
      </c>
      <c r="M10" s="10" t="s">
        <v>115</v>
      </c>
      <c r="N10" s="25" t="s">
        <v>122</v>
      </c>
      <c r="O10" s="25" t="s">
        <v>10</v>
      </c>
      <c r="P10" s="25" t="s">
        <v>10</v>
      </c>
      <c r="Q10" s="25" t="s">
        <v>123</v>
      </c>
      <c r="R10" s="26">
        <v>2</v>
      </c>
      <c r="S10" s="25" t="s">
        <v>10</v>
      </c>
      <c r="T10" s="27">
        <f>L10*1</f>
        <v>749316</v>
      </c>
    </row>
    <row r="11" spans="1:20" ht="30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T11" s="30"/>
    </row>
    <row r="12" spans="1:20" ht="30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T12" s="30"/>
    </row>
    <row r="13" spans="1:20" ht="30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T13" s="30"/>
    </row>
    <row r="14" spans="1:20" ht="30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T14" s="30"/>
    </row>
    <row r="15" spans="1:20" ht="30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T15" s="30"/>
    </row>
    <row r="16" spans="1:20" ht="30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T16" s="30"/>
    </row>
    <row r="17" spans="1:20" ht="30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T17" s="30"/>
    </row>
    <row r="18" spans="1:20" ht="30" customHeight="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T18" s="30"/>
    </row>
    <row r="19" spans="1:20" ht="30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T19" s="30"/>
    </row>
    <row r="20" spans="1:20" ht="30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T20" s="30"/>
    </row>
    <row r="21" spans="1:20" ht="30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T21" s="30"/>
    </row>
    <row r="22" spans="1:20" ht="30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T22" s="30"/>
    </row>
    <row r="23" spans="1:20" ht="30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T23" s="30"/>
    </row>
    <row r="24" spans="1:20" ht="30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T24" s="30"/>
    </row>
    <row r="25" spans="1:20" ht="30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T25" s="30"/>
    </row>
    <row r="26" spans="1:20" ht="30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T26" s="30"/>
    </row>
    <row r="27" spans="1:20" ht="30" customHeight="1">
      <c r="A27" s="10" t="s">
        <v>124</v>
      </c>
      <c r="B27" s="24"/>
      <c r="C27" s="24"/>
      <c r="D27" s="24"/>
      <c r="E27" s="24"/>
      <c r="F27" s="9">
        <f>F5</f>
        <v>159472384</v>
      </c>
      <c r="G27" s="24"/>
      <c r="H27" s="9">
        <f>H5</f>
        <v>61688282</v>
      </c>
      <c r="I27" s="24"/>
      <c r="J27" s="9">
        <f>J5</f>
        <v>1755879</v>
      </c>
      <c r="K27" s="24"/>
      <c r="L27" s="9">
        <f>L5</f>
        <v>222916545</v>
      </c>
      <c r="M27" s="24"/>
      <c r="T27" s="30"/>
    </row>
  </sheetData>
  <mergeCells count="16">
    <mergeCell ref="Q3:Q4"/>
    <mergeCell ref="R3:R4"/>
    <mergeCell ref="S3:S4"/>
    <mergeCell ref="T3:T4"/>
    <mergeCell ref="I3:J3"/>
    <mergeCell ref="K3:L3"/>
    <mergeCell ref="M3:M4"/>
    <mergeCell ref="N3:N4"/>
    <mergeCell ref="O3:O4"/>
    <mergeCell ref="P3:P4"/>
    <mergeCell ref="A3:A4"/>
    <mergeCell ref="B3:B4"/>
    <mergeCell ref="C3:C4"/>
    <mergeCell ref="D3:D4"/>
    <mergeCell ref="E3:F3"/>
    <mergeCell ref="G3:H3"/>
  </mergeCells>
  <phoneticPr fontId="1" type="noConversion"/>
  <pageMargins left="0.59055118110236227" right="0.59055118110236227" top="0.39370078740157483" bottom="0.39370078740157483" header="0" footer="0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23"/>
  <sheetViews>
    <sheetView workbookViewId="0">
      <selection activeCell="E32" sqref="E32"/>
    </sheetView>
  </sheetViews>
  <sheetFormatPr defaultRowHeight="16.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>
      <c r="A1" s="17" t="s">
        <v>89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48" ht="30" customHeight="1">
      <c r="A2" s="20" t="s">
        <v>90</v>
      </c>
      <c r="B2" s="20" t="s">
        <v>91</v>
      </c>
      <c r="C2" s="20" t="s">
        <v>92</v>
      </c>
      <c r="D2" s="20" t="s">
        <v>93</v>
      </c>
      <c r="E2" s="20" t="s">
        <v>94</v>
      </c>
      <c r="F2" s="20"/>
      <c r="G2" s="20" t="s">
        <v>95</v>
      </c>
      <c r="H2" s="20"/>
      <c r="I2" s="20" t="s">
        <v>96</v>
      </c>
      <c r="J2" s="20"/>
      <c r="K2" s="20" t="s">
        <v>97</v>
      </c>
      <c r="L2" s="20"/>
      <c r="M2" s="20" t="s">
        <v>98</v>
      </c>
      <c r="N2" s="21" t="s">
        <v>125</v>
      </c>
      <c r="O2" s="21" t="s">
        <v>100</v>
      </c>
      <c r="P2" s="21" t="s">
        <v>126</v>
      </c>
      <c r="Q2" s="21" t="s">
        <v>99</v>
      </c>
      <c r="R2" s="21" t="s">
        <v>127</v>
      </c>
      <c r="S2" s="21" t="s">
        <v>128</v>
      </c>
      <c r="T2" s="21" t="s">
        <v>129</v>
      </c>
      <c r="U2" s="21" t="s">
        <v>130</v>
      </c>
      <c r="V2" s="21" t="s">
        <v>131</v>
      </c>
      <c r="W2" s="21" t="s">
        <v>132</v>
      </c>
      <c r="X2" s="21" t="s">
        <v>133</v>
      </c>
      <c r="Y2" s="21" t="s">
        <v>134</v>
      </c>
      <c r="Z2" s="21" t="s">
        <v>135</v>
      </c>
      <c r="AA2" s="21" t="s">
        <v>136</v>
      </c>
      <c r="AB2" s="21" t="s">
        <v>137</v>
      </c>
      <c r="AC2" s="21" t="s">
        <v>138</v>
      </c>
      <c r="AD2" s="21" t="s">
        <v>139</v>
      </c>
      <c r="AE2" s="21" t="s">
        <v>140</v>
      </c>
      <c r="AF2" s="21" t="s">
        <v>141</v>
      </c>
      <c r="AG2" s="21" t="s">
        <v>142</v>
      </c>
      <c r="AH2" s="21" t="s">
        <v>143</v>
      </c>
      <c r="AI2" s="21" t="s">
        <v>144</v>
      </c>
      <c r="AJ2" s="21" t="s">
        <v>145</v>
      </c>
      <c r="AK2" s="21" t="s">
        <v>146</v>
      </c>
      <c r="AL2" s="21" t="s">
        <v>147</v>
      </c>
      <c r="AM2" s="21" t="s">
        <v>148</v>
      </c>
      <c r="AN2" s="21" t="s">
        <v>149</v>
      </c>
      <c r="AO2" s="21" t="s">
        <v>150</v>
      </c>
      <c r="AP2" s="21" t="s">
        <v>151</v>
      </c>
      <c r="AQ2" s="21" t="s">
        <v>152</v>
      </c>
      <c r="AR2" s="21" t="s">
        <v>153</v>
      </c>
      <c r="AS2" s="21" t="s">
        <v>102</v>
      </c>
      <c r="AT2" s="21" t="s">
        <v>103</v>
      </c>
      <c r="AU2" s="21" t="s">
        <v>154</v>
      </c>
      <c r="AV2" s="21" t="s">
        <v>155</v>
      </c>
    </row>
    <row r="3" spans="1:48" ht="30" customHeight="1">
      <c r="A3" s="20"/>
      <c r="B3" s="20"/>
      <c r="C3" s="20"/>
      <c r="D3" s="20"/>
      <c r="E3" s="31" t="s">
        <v>106</v>
      </c>
      <c r="F3" s="31" t="s">
        <v>107</v>
      </c>
      <c r="G3" s="31" t="s">
        <v>106</v>
      </c>
      <c r="H3" s="31" t="s">
        <v>107</v>
      </c>
      <c r="I3" s="31" t="s">
        <v>106</v>
      </c>
      <c r="J3" s="31" t="s">
        <v>107</v>
      </c>
      <c r="K3" s="31" t="s">
        <v>106</v>
      </c>
      <c r="L3" s="31" t="s">
        <v>107</v>
      </c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</row>
    <row r="4" spans="1:48" ht="30" customHeight="1">
      <c r="A4" s="32" t="s">
        <v>110</v>
      </c>
      <c r="B4" s="32" t="s">
        <v>10</v>
      </c>
      <c r="C4" s="24"/>
      <c r="D4" s="24"/>
      <c r="E4" s="9"/>
      <c r="F4" s="9"/>
      <c r="G4" s="9"/>
      <c r="H4" s="9"/>
      <c r="I4" s="9"/>
      <c r="J4" s="9"/>
      <c r="K4" s="9"/>
      <c r="L4" s="9"/>
      <c r="M4" s="24"/>
      <c r="N4" s="26"/>
      <c r="O4" s="26"/>
      <c r="P4" s="26"/>
      <c r="Q4" s="25" t="s">
        <v>111</v>
      </c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</row>
    <row r="5" spans="1:48" ht="30" customHeight="1">
      <c r="A5" s="32" t="s">
        <v>156</v>
      </c>
      <c r="B5" s="32" t="s">
        <v>10</v>
      </c>
      <c r="C5" s="32" t="s">
        <v>157</v>
      </c>
      <c r="D5" s="24">
        <v>17.7</v>
      </c>
      <c r="E5" s="9">
        <f>TRUNC([1]일위대가목록!E4,0)</f>
        <v>200</v>
      </c>
      <c r="F5" s="9">
        <f t="shared" ref="F5:F20" si="0">TRUNC(E5*D5, 0)</f>
        <v>3540</v>
      </c>
      <c r="G5" s="9">
        <f>TRUNC([1]일위대가목록!F4,0)</f>
        <v>2132</v>
      </c>
      <c r="H5" s="9">
        <f t="shared" ref="H5:H20" si="1">TRUNC(G5*D5, 0)</f>
        <v>37736</v>
      </c>
      <c r="I5" s="9">
        <f>TRUNC([1]일위대가목록!G4,0)</f>
        <v>65</v>
      </c>
      <c r="J5" s="9">
        <f t="shared" ref="J5:J20" si="2">TRUNC(I5*D5, 0)</f>
        <v>1150</v>
      </c>
      <c r="K5" s="9">
        <f t="shared" ref="K5:L20" si="3">TRUNC(E5+G5+I5, 0)</f>
        <v>2397</v>
      </c>
      <c r="L5" s="9">
        <f t="shared" si="3"/>
        <v>42426</v>
      </c>
      <c r="M5" s="32" t="s">
        <v>158</v>
      </c>
      <c r="N5" s="25" t="s">
        <v>159</v>
      </c>
      <c r="O5" s="25" t="s">
        <v>10</v>
      </c>
      <c r="P5" s="25" t="s">
        <v>10</v>
      </c>
      <c r="Q5" s="25" t="s">
        <v>111</v>
      </c>
      <c r="R5" s="25" t="s">
        <v>160</v>
      </c>
      <c r="S5" s="25" t="s">
        <v>161</v>
      </c>
      <c r="T5" s="25" t="s">
        <v>161</v>
      </c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5" t="s">
        <v>10</v>
      </c>
      <c r="AS5" s="25" t="s">
        <v>10</v>
      </c>
      <c r="AT5" s="26"/>
      <c r="AU5" s="25" t="s">
        <v>162</v>
      </c>
      <c r="AV5" s="26">
        <v>5</v>
      </c>
    </row>
    <row r="6" spans="1:48" ht="30" customHeight="1">
      <c r="A6" s="32" t="s">
        <v>156</v>
      </c>
      <c r="B6" s="32" t="s">
        <v>163</v>
      </c>
      <c r="C6" s="32" t="s">
        <v>157</v>
      </c>
      <c r="D6" s="24">
        <v>477.9</v>
      </c>
      <c r="E6" s="9">
        <f>TRUNC([1]일위대가목록!E5,0)</f>
        <v>200</v>
      </c>
      <c r="F6" s="9">
        <f t="shared" si="0"/>
        <v>95580</v>
      </c>
      <c r="G6" s="9">
        <f>TRUNC([1]일위대가목록!F5,0)</f>
        <v>3459</v>
      </c>
      <c r="H6" s="9">
        <f t="shared" si="1"/>
        <v>1653056</v>
      </c>
      <c r="I6" s="9">
        <f>TRUNC([1]일위대가목록!G5,0)</f>
        <v>65</v>
      </c>
      <c r="J6" s="9">
        <f t="shared" si="2"/>
        <v>31063</v>
      </c>
      <c r="K6" s="9">
        <f t="shared" si="3"/>
        <v>3724</v>
      </c>
      <c r="L6" s="9">
        <f t="shared" si="3"/>
        <v>1779699</v>
      </c>
      <c r="M6" s="32" t="s">
        <v>164</v>
      </c>
      <c r="N6" s="25" t="s">
        <v>165</v>
      </c>
      <c r="O6" s="25" t="s">
        <v>10</v>
      </c>
      <c r="P6" s="25" t="s">
        <v>10</v>
      </c>
      <c r="Q6" s="25" t="s">
        <v>111</v>
      </c>
      <c r="R6" s="25" t="s">
        <v>160</v>
      </c>
      <c r="S6" s="25" t="s">
        <v>161</v>
      </c>
      <c r="T6" s="25" t="s">
        <v>161</v>
      </c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5" t="s">
        <v>10</v>
      </c>
      <c r="AS6" s="25" t="s">
        <v>10</v>
      </c>
      <c r="AT6" s="26"/>
      <c r="AU6" s="25" t="s">
        <v>166</v>
      </c>
      <c r="AV6" s="26">
        <v>4</v>
      </c>
    </row>
    <row r="7" spans="1:48" ht="30" customHeight="1">
      <c r="A7" s="32" t="s">
        <v>167</v>
      </c>
      <c r="B7" s="32" t="s">
        <v>168</v>
      </c>
      <c r="C7" s="32" t="s">
        <v>169</v>
      </c>
      <c r="D7" s="24">
        <v>0.36</v>
      </c>
      <c r="E7" s="9">
        <f>TRUNC([1]일위대가목록!E6,0)</f>
        <v>880</v>
      </c>
      <c r="F7" s="9">
        <f t="shared" si="0"/>
        <v>316</v>
      </c>
      <c r="G7" s="9">
        <f>TRUNC([1]일위대가목록!F6,0)</f>
        <v>75801</v>
      </c>
      <c r="H7" s="9">
        <f t="shared" si="1"/>
        <v>27288</v>
      </c>
      <c r="I7" s="9">
        <f>TRUNC([1]일위대가목록!G6,0)</f>
        <v>240</v>
      </c>
      <c r="J7" s="9">
        <f t="shared" si="2"/>
        <v>86</v>
      </c>
      <c r="K7" s="9">
        <f t="shared" si="3"/>
        <v>76921</v>
      </c>
      <c r="L7" s="9">
        <f t="shared" si="3"/>
        <v>27690</v>
      </c>
      <c r="M7" s="32" t="s">
        <v>170</v>
      </c>
      <c r="N7" s="25" t="s">
        <v>171</v>
      </c>
      <c r="O7" s="25" t="s">
        <v>10</v>
      </c>
      <c r="P7" s="25" t="s">
        <v>10</v>
      </c>
      <c r="Q7" s="25" t="s">
        <v>111</v>
      </c>
      <c r="R7" s="25" t="s">
        <v>160</v>
      </c>
      <c r="S7" s="25" t="s">
        <v>161</v>
      </c>
      <c r="T7" s="25" t="s">
        <v>161</v>
      </c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5" t="s">
        <v>10</v>
      </c>
      <c r="AS7" s="25" t="s">
        <v>10</v>
      </c>
      <c r="AT7" s="26"/>
      <c r="AU7" s="25" t="s">
        <v>172</v>
      </c>
      <c r="AV7" s="26">
        <v>6</v>
      </c>
    </row>
    <row r="8" spans="1:48" ht="30" customHeight="1">
      <c r="A8" s="32" t="s">
        <v>167</v>
      </c>
      <c r="B8" s="32" t="s">
        <v>173</v>
      </c>
      <c r="C8" s="32" t="s">
        <v>169</v>
      </c>
      <c r="D8" s="24">
        <v>71.91</v>
      </c>
      <c r="E8" s="9">
        <f>TRUNC([1]일위대가목록!E7,0)</f>
        <v>880</v>
      </c>
      <c r="F8" s="9">
        <f t="shared" si="0"/>
        <v>63280</v>
      </c>
      <c r="G8" s="9">
        <f>TRUNC([1]일위대가목록!F7,0)</f>
        <v>120595</v>
      </c>
      <c r="H8" s="9">
        <f t="shared" si="1"/>
        <v>8671986</v>
      </c>
      <c r="I8" s="9">
        <f>TRUNC([1]일위대가목록!G7,0)</f>
        <v>240</v>
      </c>
      <c r="J8" s="9">
        <f t="shared" si="2"/>
        <v>17258</v>
      </c>
      <c r="K8" s="9">
        <f t="shared" si="3"/>
        <v>121715</v>
      </c>
      <c r="L8" s="9">
        <f t="shared" si="3"/>
        <v>8752524</v>
      </c>
      <c r="M8" s="32" t="s">
        <v>174</v>
      </c>
      <c r="N8" s="25" t="s">
        <v>175</v>
      </c>
      <c r="O8" s="25" t="s">
        <v>10</v>
      </c>
      <c r="P8" s="25" t="s">
        <v>10</v>
      </c>
      <c r="Q8" s="25" t="s">
        <v>111</v>
      </c>
      <c r="R8" s="25" t="s">
        <v>160</v>
      </c>
      <c r="S8" s="25" t="s">
        <v>161</v>
      </c>
      <c r="T8" s="25" t="s">
        <v>161</v>
      </c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5" t="s">
        <v>10</v>
      </c>
      <c r="AS8" s="25" t="s">
        <v>10</v>
      </c>
      <c r="AT8" s="26"/>
      <c r="AU8" s="25" t="s">
        <v>176</v>
      </c>
      <c r="AV8" s="26">
        <v>7</v>
      </c>
    </row>
    <row r="9" spans="1:48" ht="30" customHeight="1">
      <c r="A9" s="32" t="s">
        <v>177</v>
      </c>
      <c r="B9" s="32" t="s">
        <v>178</v>
      </c>
      <c r="C9" s="32" t="s">
        <v>179</v>
      </c>
      <c r="D9" s="24">
        <v>2.61</v>
      </c>
      <c r="E9" s="9">
        <f>TRUNC([1]일위대가목록!E8,0)</f>
        <v>0</v>
      </c>
      <c r="F9" s="9">
        <f t="shared" si="0"/>
        <v>0</v>
      </c>
      <c r="G9" s="9">
        <f>TRUNC([1]일위대가목록!F8,0)</f>
        <v>11625</v>
      </c>
      <c r="H9" s="9">
        <f t="shared" si="1"/>
        <v>30341</v>
      </c>
      <c r="I9" s="9">
        <f>TRUNC([1]일위대가목록!G8,0)</f>
        <v>232</v>
      </c>
      <c r="J9" s="9">
        <f t="shared" si="2"/>
        <v>605</v>
      </c>
      <c r="K9" s="9">
        <f t="shared" si="3"/>
        <v>11857</v>
      </c>
      <c r="L9" s="9">
        <f t="shared" si="3"/>
        <v>30946</v>
      </c>
      <c r="M9" s="32" t="s">
        <v>180</v>
      </c>
      <c r="N9" s="25" t="s">
        <v>181</v>
      </c>
      <c r="O9" s="25" t="s">
        <v>10</v>
      </c>
      <c r="P9" s="25" t="s">
        <v>10</v>
      </c>
      <c r="Q9" s="25" t="s">
        <v>111</v>
      </c>
      <c r="R9" s="25" t="s">
        <v>160</v>
      </c>
      <c r="S9" s="25" t="s">
        <v>161</v>
      </c>
      <c r="T9" s="25" t="s">
        <v>161</v>
      </c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5" t="s">
        <v>10</v>
      </c>
      <c r="AS9" s="25" t="s">
        <v>10</v>
      </c>
      <c r="AT9" s="26"/>
      <c r="AU9" s="25" t="s">
        <v>182</v>
      </c>
      <c r="AV9" s="26">
        <v>31</v>
      </c>
    </row>
    <row r="10" spans="1:48" ht="30" customHeight="1">
      <c r="A10" s="32" t="s">
        <v>177</v>
      </c>
      <c r="B10" s="32" t="s">
        <v>183</v>
      </c>
      <c r="C10" s="32" t="s">
        <v>179</v>
      </c>
      <c r="D10" s="24">
        <v>71.91</v>
      </c>
      <c r="E10" s="9">
        <f>TRUNC([1]일위대가목록!E9,0)</f>
        <v>0</v>
      </c>
      <c r="F10" s="9">
        <f t="shared" si="0"/>
        <v>0</v>
      </c>
      <c r="G10" s="9">
        <f>TRUNC([1]일위대가목록!F9,0)</f>
        <v>21798</v>
      </c>
      <c r="H10" s="9">
        <f t="shared" si="1"/>
        <v>1567494</v>
      </c>
      <c r="I10" s="9">
        <f>TRUNC([1]일위대가목록!G9,0)</f>
        <v>232</v>
      </c>
      <c r="J10" s="9">
        <f t="shared" si="2"/>
        <v>16683</v>
      </c>
      <c r="K10" s="9">
        <f t="shared" si="3"/>
        <v>22030</v>
      </c>
      <c r="L10" s="9">
        <f t="shared" si="3"/>
        <v>1584177</v>
      </c>
      <c r="M10" s="32" t="s">
        <v>184</v>
      </c>
      <c r="N10" s="25" t="s">
        <v>185</v>
      </c>
      <c r="O10" s="25" t="s">
        <v>10</v>
      </c>
      <c r="P10" s="25" t="s">
        <v>10</v>
      </c>
      <c r="Q10" s="25" t="s">
        <v>111</v>
      </c>
      <c r="R10" s="25" t="s">
        <v>160</v>
      </c>
      <c r="S10" s="25" t="s">
        <v>161</v>
      </c>
      <c r="T10" s="25" t="s">
        <v>161</v>
      </c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5" t="s">
        <v>10</v>
      </c>
      <c r="AS10" s="25" t="s">
        <v>10</v>
      </c>
      <c r="AT10" s="26"/>
      <c r="AU10" s="25" t="s">
        <v>186</v>
      </c>
      <c r="AV10" s="26">
        <v>32</v>
      </c>
    </row>
    <row r="11" spans="1:48" ht="30" customHeight="1">
      <c r="A11" s="32" t="s">
        <v>187</v>
      </c>
      <c r="B11" s="32" t="s">
        <v>188</v>
      </c>
      <c r="C11" s="32" t="s">
        <v>169</v>
      </c>
      <c r="D11" s="24">
        <v>2.4300000000000002</v>
      </c>
      <c r="E11" s="9">
        <f>TRUNC([1]일위대가목록!E10,0)</f>
        <v>120420</v>
      </c>
      <c r="F11" s="9">
        <f t="shared" si="0"/>
        <v>292620</v>
      </c>
      <c r="G11" s="9">
        <f>TRUNC([1]일위대가목록!F10,0)</f>
        <v>119207</v>
      </c>
      <c r="H11" s="9">
        <f t="shared" si="1"/>
        <v>289673</v>
      </c>
      <c r="I11" s="9">
        <f>TRUNC([1]일위대가목록!G10,0)</f>
        <v>2270</v>
      </c>
      <c r="J11" s="9">
        <f t="shared" si="2"/>
        <v>5516</v>
      </c>
      <c r="K11" s="9">
        <f t="shared" si="3"/>
        <v>241897</v>
      </c>
      <c r="L11" s="9">
        <f t="shared" si="3"/>
        <v>587809</v>
      </c>
      <c r="M11" s="32" t="s">
        <v>189</v>
      </c>
      <c r="N11" s="25" t="s">
        <v>190</v>
      </c>
      <c r="O11" s="25" t="s">
        <v>10</v>
      </c>
      <c r="P11" s="25" t="s">
        <v>10</v>
      </c>
      <c r="Q11" s="25" t="s">
        <v>111</v>
      </c>
      <c r="R11" s="25" t="s">
        <v>160</v>
      </c>
      <c r="S11" s="25" t="s">
        <v>161</v>
      </c>
      <c r="T11" s="25" t="s">
        <v>161</v>
      </c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5" t="s">
        <v>10</v>
      </c>
      <c r="AS11" s="25" t="s">
        <v>10</v>
      </c>
      <c r="AT11" s="26"/>
      <c r="AU11" s="25" t="s">
        <v>191</v>
      </c>
      <c r="AV11" s="26">
        <v>9</v>
      </c>
    </row>
    <row r="12" spans="1:48" ht="30" customHeight="1">
      <c r="A12" s="32" t="s">
        <v>187</v>
      </c>
      <c r="B12" s="32" t="s">
        <v>192</v>
      </c>
      <c r="C12" s="32" t="s">
        <v>169</v>
      </c>
      <c r="D12" s="24">
        <v>66.150000000000006</v>
      </c>
      <c r="E12" s="9">
        <f>TRUNC([1]일위대가목록!E11,0)</f>
        <v>120420</v>
      </c>
      <c r="F12" s="9">
        <f t="shared" si="0"/>
        <v>7965783</v>
      </c>
      <c r="G12" s="9">
        <f>TRUNC([1]일위대가목록!F11,0)</f>
        <v>223513</v>
      </c>
      <c r="H12" s="9">
        <f t="shared" si="1"/>
        <v>14785384</v>
      </c>
      <c r="I12" s="9">
        <f>TRUNC([1]일위대가목록!G11,0)</f>
        <v>2270</v>
      </c>
      <c r="J12" s="9">
        <f t="shared" si="2"/>
        <v>150160</v>
      </c>
      <c r="K12" s="9">
        <f t="shared" si="3"/>
        <v>346203</v>
      </c>
      <c r="L12" s="9">
        <f t="shared" si="3"/>
        <v>22901327</v>
      </c>
      <c r="M12" s="32" t="s">
        <v>193</v>
      </c>
      <c r="N12" s="25" t="s">
        <v>194</v>
      </c>
      <c r="O12" s="25" t="s">
        <v>10</v>
      </c>
      <c r="P12" s="25" t="s">
        <v>10</v>
      </c>
      <c r="Q12" s="25" t="s">
        <v>111</v>
      </c>
      <c r="R12" s="25" t="s">
        <v>160</v>
      </c>
      <c r="S12" s="25" t="s">
        <v>161</v>
      </c>
      <c r="T12" s="25" t="s">
        <v>161</v>
      </c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5" t="s">
        <v>10</v>
      </c>
      <c r="AS12" s="25" t="s">
        <v>10</v>
      </c>
      <c r="AT12" s="26"/>
      <c r="AU12" s="25" t="s">
        <v>195</v>
      </c>
      <c r="AV12" s="26">
        <v>10</v>
      </c>
    </row>
    <row r="13" spans="1:48" ht="30" customHeight="1">
      <c r="A13" s="32" t="s">
        <v>196</v>
      </c>
      <c r="B13" s="32" t="s">
        <v>197</v>
      </c>
      <c r="C13" s="32" t="s">
        <v>179</v>
      </c>
      <c r="D13" s="24">
        <v>0.18</v>
      </c>
      <c r="E13" s="9">
        <f>TRUNC([1]일위대가목록!E12,0)</f>
        <v>66285</v>
      </c>
      <c r="F13" s="9">
        <f t="shared" si="0"/>
        <v>11931</v>
      </c>
      <c r="G13" s="9">
        <f>TRUNC([1]일위대가목록!F12,0)</f>
        <v>116935</v>
      </c>
      <c r="H13" s="9">
        <f t="shared" si="1"/>
        <v>21048</v>
      </c>
      <c r="I13" s="9">
        <f>TRUNC([1]일위대가목록!G12,0)</f>
        <v>2270</v>
      </c>
      <c r="J13" s="9">
        <f t="shared" si="2"/>
        <v>408</v>
      </c>
      <c r="K13" s="9">
        <f t="shared" si="3"/>
        <v>185490</v>
      </c>
      <c r="L13" s="9">
        <f t="shared" si="3"/>
        <v>33387</v>
      </c>
      <c r="M13" s="32" t="s">
        <v>198</v>
      </c>
      <c r="N13" s="25" t="s">
        <v>199</v>
      </c>
      <c r="O13" s="25" t="s">
        <v>10</v>
      </c>
      <c r="P13" s="25" t="s">
        <v>10</v>
      </c>
      <c r="Q13" s="25" t="s">
        <v>111</v>
      </c>
      <c r="R13" s="25" t="s">
        <v>160</v>
      </c>
      <c r="S13" s="25" t="s">
        <v>161</v>
      </c>
      <c r="T13" s="25" t="s">
        <v>161</v>
      </c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5" t="s">
        <v>10</v>
      </c>
      <c r="AS13" s="25" t="s">
        <v>10</v>
      </c>
      <c r="AT13" s="26"/>
      <c r="AU13" s="25" t="s">
        <v>200</v>
      </c>
      <c r="AV13" s="26">
        <v>8</v>
      </c>
    </row>
    <row r="14" spans="1:48" ht="30" customHeight="1">
      <c r="A14" s="32" t="s">
        <v>196</v>
      </c>
      <c r="B14" s="32" t="s">
        <v>201</v>
      </c>
      <c r="C14" s="32" t="s">
        <v>179</v>
      </c>
      <c r="D14" s="24">
        <v>5.76</v>
      </c>
      <c r="E14" s="9">
        <f>TRUNC([1]일위대가목록!E13,0)</f>
        <v>68675</v>
      </c>
      <c r="F14" s="9">
        <f t="shared" si="0"/>
        <v>395568</v>
      </c>
      <c r="G14" s="9">
        <f>TRUNC([1]일위대가목록!F13,0)</f>
        <v>223513</v>
      </c>
      <c r="H14" s="9">
        <f t="shared" si="1"/>
        <v>1287434</v>
      </c>
      <c r="I14" s="9">
        <f>TRUNC([1]일위대가목록!G13,0)</f>
        <v>2270</v>
      </c>
      <c r="J14" s="9">
        <f t="shared" si="2"/>
        <v>13075</v>
      </c>
      <c r="K14" s="9">
        <f t="shared" si="3"/>
        <v>294458</v>
      </c>
      <c r="L14" s="9">
        <f t="shared" si="3"/>
        <v>1696077</v>
      </c>
      <c r="M14" s="32" t="s">
        <v>202</v>
      </c>
      <c r="N14" s="25" t="s">
        <v>203</v>
      </c>
      <c r="O14" s="25" t="s">
        <v>10</v>
      </c>
      <c r="P14" s="25" t="s">
        <v>10</v>
      </c>
      <c r="Q14" s="25" t="s">
        <v>111</v>
      </c>
      <c r="R14" s="25" t="s">
        <v>160</v>
      </c>
      <c r="S14" s="25" t="s">
        <v>161</v>
      </c>
      <c r="T14" s="25" t="s">
        <v>161</v>
      </c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5" t="s">
        <v>10</v>
      </c>
      <c r="AS14" s="25" t="s">
        <v>10</v>
      </c>
      <c r="AT14" s="26"/>
      <c r="AU14" s="25" t="s">
        <v>204</v>
      </c>
      <c r="AV14" s="26">
        <v>11</v>
      </c>
    </row>
    <row r="15" spans="1:48" ht="30" customHeight="1">
      <c r="A15" s="32" t="s">
        <v>205</v>
      </c>
      <c r="B15" s="32" t="s">
        <v>206</v>
      </c>
      <c r="C15" s="32" t="s">
        <v>179</v>
      </c>
      <c r="D15" s="24">
        <v>2.61</v>
      </c>
      <c r="E15" s="9">
        <f>TRUNC([1]일위대가목록!E14,0)</f>
        <v>4028</v>
      </c>
      <c r="F15" s="9">
        <f t="shared" si="0"/>
        <v>10513</v>
      </c>
      <c r="G15" s="9">
        <f>TRUNC([1]일위대가목록!F14,0)</f>
        <v>8329</v>
      </c>
      <c r="H15" s="9">
        <f t="shared" si="1"/>
        <v>21738</v>
      </c>
      <c r="I15" s="9">
        <f>TRUNC([1]일위대가목록!G14,0)</f>
        <v>0</v>
      </c>
      <c r="J15" s="9">
        <f t="shared" si="2"/>
        <v>0</v>
      </c>
      <c r="K15" s="9">
        <f t="shared" si="3"/>
        <v>12357</v>
      </c>
      <c r="L15" s="9">
        <f t="shared" si="3"/>
        <v>32251</v>
      </c>
      <c r="M15" s="32" t="s">
        <v>207</v>
      </c>
      <c r="N15" s="25" t="s">
        <v>208</v>
      </c>
      <c r="O15" s="25" t="s">
        <v>10</v>
      </c>
      <c r="P15" s="25" t="s">
        <v>10</v>
      </c>
      <c r="Q15" s="25" t="s">
        <v>111</v>
      </c>
      <c r="R15" s="25" t="s">
        <v>160</v>
      </c>
      <c r="S15" s="25" t="s">
        <v>161</v>
      </c>
      <c r="T15" s="25" t="s">
        <v>161</v>
      </c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5" t="s">
        <v>10</v>
      </c>
      <c r="AS15" s="25" t="s">
        <v>10</v>
      </c>
      <c r="AT15" s="26"/>
      <c r="AU15" s="25" t="s">
        <v>209</v>
      </c>
      <c r="AV15" s="26">
        <v>12</v>
      </c>
    </row>
    <row r="16" spans="1:48" ht="30" customHeight="1">
      <c r="A16" s="32" t="s">
        <v>205</v>
      </c>
      <c r="B16" s="32" t="s">
        <v>210</v>
      </c>
      <c r="C16" s="32" t="s">
        <v>179</v>
      </c>
      <c r="D16" s="24">
        <v>71.91</v>
      </c>
      <c r="E16" s="9">
        <f>TRUNC([1]일위대가목록!E15,0)</f>
        <v>4028</v>
      </c>
      <c r="F16" s="9">
        <f t="shared" si="0"/>
        <v>289653</v>
      </c>
      <c r="G16" s="9">
        <f>TRUNC([1]일위대가목록!F15,0)</f>
        <v>15617</v>
      </c>
      <c r="H16" s="9">
        <f t="shared" si="1"/>
        <v>1123018</v>
      </c>
      <c r="I16" s="9">
        <f>TRUNC([1]일위대가목록!G15,0)</f>
        <v>0</v>
      </c>
      <c r="J16" s="9">
        <f t="shared" si="2"/>
        <v>0</v>
      </c>
      <c r="K16" s="9">
        <f t="shared" si="3"/>
        <v>19645</v>
      </c>
      <c r="L16" s="9">
        <f t="shared" si="3"/>
        <v>1412671</v>
      </c>
      <c r="M16" s="32" t="s">
        <v>211</v>
      </c>
      <c r="N16" s="25" t="s">
        <v>212</v>
      </c>
      <c r="O16" s="25" t="s">
        <v>10</v>
      </c>
      <c r="P16" s="25" t="s">
        <v>10</v>
      </c>
      <c r="Q16" s="25" t="s">
        <v>111</v>
      </c>
      <c r="R16" s="25" t="s">
        <v>160</v>
      </c>
      <c r="S16" s="25" t="s">
        <v>161</v>
      </c>
      <c r="T16" s="25" t="s">
        <v>161</v>
      </c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5" t="s">
        <v>10</v>
      </c>
      <c r="AS16" s="25" t="s">
        <v>10</v>
      </c>
      <c r="AT16" s="26"/>
      <c r="AU16" s="25" t="s">
        <v>213</v>
      </c>
      <c r="AV16" s="26">
        <v>13</v>
      </c>
    </row>
    <row r="17" spans="1:48" ht="30" customHeight="1">
      <c r="A17" s="32" t="s">
        <v>214</v>
      </c>
      <c r="B17" s="32" t="s">
        <v>215</v>
      </c>
      <c r="C17" s="32" t="s">
        <v>157</v>
      </c>
      <c r="D17" s="24">
        <v>605.1</v>
      </c>
      <c r="E17" s="9">
        <f>TRUNC([1]일위대가목록!E16,0)</f>
        <v>31000</v>
      </c>
      <c r="F17" s="9">
        <f t="shared" si="0"/>
        <v>18758100</v>
      </c>
      <c r="G17" s="9">
        <f>TRUNC([1]일위대가목록!F16,0)</f>
        <v>6241</v>
      </c>
      <c r="H17" s="9">
        <f t="shared" si="1"/>
        <v>3776429</v>
      </c>
      <c r="I17" s="9">
        <f>TRUNC([1]일위대가목록!G16,0)</f>
        <v>311</v>
      </c>
      <c r="J17" s="9">
        <f t="shared" si="2"/>
        <v>188186</v>
      </c>
      <c r="K17" s="9">
        <f t="shared" si="3"/>
        <v>37552</v>
      </c>
      <c r="L17" s="9">
        <f t="shared" si="3"/>
        <v>22722715</v>
      </c>
      <c r="M17" s="32" t="s">
        <v>216</v>
      </c>
      <c r="N17" s="25" t="s">
        <v>217</v>
      </c>
      <c r="O17" s="25" t="s">
        <v>10</v>
      </c>
      <c r="P17" s="25" t="s">
        <v>10</v>
      </c>
      <c r="Q17" s="25" t="s">
        <v>111</v>
      </c>
      <c r="R17" s="25" t="s">
        <v>160</v>
      </c>
      <c r="S17" s="25" t="s">
        <v>161</v>
      </c>
      <c r="T17" s="25" t="s">
        <v>161</v>
      </c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5" t="s">
        <v>10</v>
      </c>
      <c r="AS17" s="25" t="s">
        <v>10</v>
      </c>
      <c r="AT17" s="26"/>
      <c r="AU17" s="25" t="s">
        <v>218</v>
      </c>
      <c r="AV17" s="26">
        <v>16</v>
      </c>
    </row>
    <row r="18" spans="1:48" ht="30" customHeight="1">
      <c r="A18" s="32" t="s">
        <v>214</v>
      </c>
      <c r="B18" s="32" t="s">
        <v>219</v>
      </c>
      <c r="C18" s="32" t="s">
        <v>157</v>
      </c>
      <c r="D18" s="24">
        <v>181.7</v>
      </c>
      <c r="E18" s="9">
        <f>TRUNC([1]일위대가목록!E17,0)</f>
        <v>39000</v>
      </c>
      <c r="F18" s="9">
        <f t="shared" si="0"/>
        <v>7086300</v>
      </c>
      <c r="G18" s="9">
        <f>TRUNC([1]일위대가목록!F17,0)</f>
        <v>6241</v>
      </c>
      <c r="H18" s="9">
        <f t="shared" si="1"/>
        <v>1133989</v>
      </c>
      <c r="I18" s="9">
        <f>TRUNC([1]일위대가목록!G17,0)</f>
        <v>311</v>
      </c>
      <c r="J18" s="9">
        <f t="shared" si="2"/>
        <v>56508</v>
      </c>
      <c r="K18" s="9">
        <f t="shared" si="3"/>
        <v>45552</v>
      </c>
      <c r="L18" s="9">
        <f t="shared" si="3"/>
        <v>8276797</v>
      </c>
      <c r="M18" s="32" t="s">
        <v>220</v>
      </c>
      <c r="N18" s="25" t="s">
        <v>221</v>
      </c>
      <c r="O18" s="25" t="s">
        <v>10</v>
      </c>
      <c r="P18" s="25" t="s">
        <v>10</v>
      </c>
      <c r="Q18" s="25" t="s">
        <v>111</v>
      </c>
      <c r="R18" s="25" t="s">
        <v>160</v>
      </c>
      <c r="S18" s="25" t="s">
        <v>161</v>
      </c>
      <c r="T18" s="25" t="s">
        <v>161</v>
      </c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5" t="s">
        <v>10</v>
      </c>
      <c r="AS18" s="25" t="s">
        <v>10</v>
      </c>
      <c r="AT18" s="26"/>
      <c r="AU18" s="25" t="s">
        <v>222</v>
      </c>
      <c r="AV18" s="26">
        <v>17</v>
      </c>
    </row>
    <row r="19" spans="1:48" ht="30" customHeight="1">
      <c r="A19" s="32" t="s">
        <v>223</v>
      </c>
      <c r="B19" s="32" t="s">
        <v>224</v>
      </c>
      <c r="C19" s="32" t="s">
        <v>157</v>
      </c>
      <c r="D19" s="24">
        <v>204.1</v>
      </c>
      <c r="E19" s="9">
        <f>TRUNC([1]일위대가목록!E18,0)</f>
        <v>0</v>
      </c>
      <c r="F19" s="9">
        <f t="shared" si="0"/>
        <v>0</v>
      </c>
      <c r="G19" s="9">
        <f>TRUNC([1]일위대가목록!F18,0)</f>
        <v>3120</v>
      </c>
      <c r="H19" s="9">
        <f t="shared" si="1"/>
        <v>636792</v>
      </c>
      <c r="I19" s="9">
        <f>TRUNC([1]일위대가목록!G18,0)</f>
        <v>93</v>
      </c>
      <c r="J19" s="9">
        <f t="shared" si="2"/>
        <v>18981</v>
      </c>
      <c r="K19" s="9">
        <f t="shared" si="3"/>
        <v>3213</v>
      </c>
      <c r="L19" s="9">
        <f t="shared" si="3"/>
        <v>655773</v>
      </c>
      <c r="M19" s="32" t="s">
        <v>225</v>
      </c>
      <c r="N19" s="25" t="s">
        <v>226</v>
      </c>
      <c r="O19" s="25" t="s">
        <v>10</v>
      </c>
      <c r="P19" s="25" t="s">
        <v>10</v>
      </c>
      <c r="Q19" s="25" t="s">
        <v>111</v>
      </c>
      <c r="R19" s="25" t="s">
        <v>160</v>
      </c>
      <c r="S19" s="25" t="s">
        <v>161</v>
      </c>
      <c r="T19" s="25" t="s">
        <v>161</v>
      </c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5" t="s">
        <v>10</v>
      </c>
      <c r="AS19" s="25" t="s">
        <v>10</v>
      </c>
      <c r="AT19" s="26"/>
      <c r="AU19" s="25" t="s">
        <v>227</v>
      </c>
      <c r="AV19" s="26">
        <v>18</v>
      </c>
    </row>
    <row r="20" spans="1:48" ht="30" customHeight="1">
      <c r="A20" s="32" t="s">
        <v>228</v>
      </c>
      <c r="B20" s="32" t="s">
        <v>10</v>
      </c>
      <c r="C20" s="32" t="s">
        <v>179</v>
      </c>
      <c r="D20" s="24">
        <v>74.52</v>
      </c>
      <c r="E20" s="9">
        <f>TRUNC([1]일위대가목록!E19,0)</f>
        <v>0</v>
      </c>
      <c r="F20" s="9">
        <f t="shared" si="0"/>
        <v>0</v>
      </c>
      <c r="G20" s="9">
        <f>TRUNC([1]일위대가목록!F19,0)</f>
        <v>8603</v>
      </c>
      <c r="H20" s="9">
        <f t="shared" si="1"/>
        <v>641095</v>
      </c>
      <c r="I20" s="9">
        <f>TRUNC([1]일위대가목록!G19,0)</f>
        <v>0</v>
      </c>
      <c r="J20" s="9">
        <f t="shared" si="2"/>
        <v>0</v>
      </c>
      <c r="K20" s="9">
        <f t="shared" si="3"/>
        <v>8603</v>
      </c>
      <c r="L20" s="9">
        <f t="shared" si="3"/>
        <v>641095</v>
      </c>
      <c r="M20" s="32" t="s">
        <v>229</v>
      </c>
      <c r="N20" s="25" t="s">
        <v>230</v>
      </c>
      <c r="O20" s="25" t="s">
        <v>10</v>
      </c>
      <c r="P20" s="25" t="s">
        <v>10</v>
      </c>
      <c r="Q20" s="25" t="s">
        <v>111</v>
      </c>
      <c r="R20" s="25" t="s">
        <v>160</v>
      </c>
      <c r="S20" s="25" t="s">
        <v>161</v>
      </c>
      <c r="T20" s="25" t="s">
        <v>161</v>
      </c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5" t="s">
        <v>10</v>
      </c>
      <c r="AS20" s="25" t="s">
        <v>10</v>
      </c>
      <c r="AT20" s="26"/>
      <c r="AU20" s="25" t="s">
        <v>231</v>
      </c>
      <c r="AV20" s="26">
        <v>14</v>
      </c>
    </row>
    <row r="21" spans="1:48" ht="30" customHeight="1">
      <c r="A21" s="24"/>
      <c r="B21" s="24"/>
      <c r="C21" s="24"/>
      <c r="D21" s="24"/>
      <c r="E21" s="9"/>
      <c r="F21" s="9"/>
      <c r="G21" s="9"/>
      <c r="H21" s="9"/>
      <c r="I21" s="9"/>
      <c r="J21" s="9"/>
      <c r="K21" s="9"/>
      <c r="L21" s="9"/>
      <c r="M21" s="24"/>
      <c r="Q21" s="7" t="s">
        <v>111</v>
      </c>
    </row>
    <row r="22" spans="1:48" ht="30" customHeight="1">
      <c r="A22" s="24"/>
      <c r="B22" s="24"/>
      <c r="C22" s="24"/>
      <c r="D22" s="24"/>
      <c r="E22" s="9"/>
      <c r="F22" s="9"/>
      <c r="G22" s="9"/>
      <c r="H22" s="9"/>
      <c r="I22" s="9"/>
      <c r="J22" s="9"/>
      <c r="K22" s="9"/>
      <c r="L22" s="9"/>
      <c r="M22" s="24"/>
      <c r="Q22" s="7" t="s">
        <v>111</v>
      </c>
    </row>
    <row r="23" spans="1:48" ht="30" customHeight="1">
      <c r="A23" s="24"/>
      <c r="B23" s="24"/>
      <c r="C23" s="24"/>
      <c r="D23" s="24"/>
      <c r="E23" s="9"/>
      <c r="F23" s="9"/>
      <c r="G23" s="9"/>
      <c r="H23" s="9"/>
      <c r="I23" s="9"/>
      <c r="J23" s="9"/>
      <c r="K23" s="9"/>
      <c r="L23" s="9"/>
      <c r="M23" s="24"/>
      <c r="Q23" s="7" t="s">
        <v>111</v>
      </c>
    </row>
    <row r="24" spans="1:48" ht="30" customHeight="1">
      <c r="A24" s="24"/>
      <c r="B24" s="24"/>
      <c r="C24" s="24"/>
      <c r="D24" s="24"/>
      <c r="E24" s="9"/>
      <c r="F24" s="9"/>
      <c r="G24" s="9"/>
      <c r="H24" s="9"/>
      <c r="I24" s="9"/>
      <c r="J24" s="9"/>
      <c r="K24" s="9"/>
      <c r="L24" s="9"/>
      <c r="M24" s="24"/>
      <c r="Q24" s="7" t="s">
        <v>111</v>
      </c>
    </row>
    <row r="25" spans="1:48" ht="30" customHeight="1">
      <c r="A25" s="24"/>
      <c r="B25" s="24"/>
      <c r="C25" s="24"/>
      <c r="D25" s="24"/>
      <c r="E25" s="9"/>
      <c r="F25" s="9"/>
      <c r="G25" s="9"/>
      <c r="H25" s="9"/>
      <c r="I25" s="9"/>
      <c r="J25" s="9"/>
      <c r="K25" s="9"/>
      <c r="L25" s="9"/>
      <c r="M25" s="24"/>
      <c r="Q25" s="7" t="s">
        <v>111</v>
      </c>
    </row>
    <row r="26" spans="1:48" ht="30" customHeight="1">
      <c r="A26" s="24"/>
      <c r="B26" s="24"/>
      <c r="C26" s="24"/>
      <c r="D26" s="24"/>
      <c r="E26" s="9"/>
      <c r="F26" s="9"/>
      <c r="G26" s="9"/>
      <c r="H26" s="9"/>
      <c r="I26" s="9"/>
      <c r="J26" s="9"/>
      <c r="K26" s="9"/>
      <c r="L26" s="9"/>
      <c r="M26" s="24"/>
      <c r="Q26" s="7" t="s">
        <v>111</v>
      </c>
    </row>
    <row r="27" spans="1:48" ht="30" customHeight="1">
      <c r="A27" s="32" t="s">
        <v>124</v>
      </c>
      <c r="B27" s="24"/>
      <c r="C27" s="24"/>
      <c r="D27" s="24"/>
      <c r="E27" s="9"/>
      <c r="F27" s="9">
        <f>SUMIF(Q5:Q26,"0101",F5:F26)</f>
        <v>34973184</v>
      </c>
      <c r="G27" s="9"/>
      <c r="H27" s="9">
        <f>SUMIF(Q5:Q26,"0101",H5:H26)</f>
        <v>35704501</v>
      </c>
      <c r="I27" s="9"/>
      <c r="J27" s="9">
        <f>SUMIF(Q5:Q26,"0101",J5:J26)</f>
        <v>499679</v>
      </c>
      <c r="K27" s="9"/>
      <c r="L27" s="9">
        <f>SUMIF(Q5:Q26,"0101",L5:L26)</f>
        <v>71177364</v>
      </c>
      <c r="M27" s="24"/>
      <c r="N27" t="s">
        <v>232</v>
      </c>
    </row>
    <row r="28" spans="1:48" ht="30" customHeight="1">
      <c r="A28" s="32" t="s">
        <v>112</v>
      </c>
      <c r="B28" s="32" t="s">
        <v>10</v>
      </c>
      <c r="C28" s="24"/>
      <c r="D28" s="24"/>
      <c r="E28" s="9"/>
      <c r="F28" s="9"/>
      <c r="G28" s="9"/>
      <c r="H28" s="9"/>
      <c r="I28" s="9"/>
      <c r="J28" s="9"/>
      <c r="K28" s="9"/>
      <c r="L28" s="9"/>
      <c r="M28" s="24"/>
      <c r="N28" s="26"/>
      <c r="O28" s="26"/>
      <c r="P28" s="26"/>
      <c r="Q28" s="25" t="s">
        <v>113</v>
      </c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</row>
    <row r="29" spans="1:48" ht="30" customHeight="1">
      <c r="A29" s="32" t="s">
        <v>214</v>
      </c>
      <c r="B29" s="32" t="s">
        <v>215</v>
      </c>
      <c r="C29" s="32" t="s">
        <v>157</v>
      </c>
      <c r="D29" s="24">
        <v>3227.8</v>
      </c>
      <c r="E29" s="9">
        <f>TRUNC([1]일위대가목록!E16,0)</f>
        <v>31000</v>
      </c>
      <c r="F29" s="9">
        <f>TRUNC(E29*D29, 0)</f>
        <v>100061800</v>
      </c>
      <c r="G29" s="9">
        <f>TRUNC([1]일위대가목록!F16,0)</f>
        <v>6241</v>
      </c>
      <c r="H29" s="9">
        <f>TRUNC(G29*D29, 0)</f>
        <v>20144699</v>
      </c>
      <c r="I29" s="9">
        <f>TRUNC([1]일위대가목록!G16,0)</f>
        <v>311</v>
      </c>
      <c r="J29" s="9">
        <f>TRUNC(I29*D29, 0)</f>
        <v>1003845</v>
      </c>
      <c r="K29" s="9">
        <f t="shared" ref="K29:L31" si="4">TRUNC(E29+G29+I29, 0)</f>
        <v>37552</v>
      </c>
      <c r="L29" s="9">
        <f t="shared" si="4"/>
        <v>121210344</v>
      </c>
      <c r="M29" s="32" t="s">
        <v>216</v>
      </c>
      <c r="N29" s="25" t="s">
        <v>217</v>
      </c>
      <c r="O29" s="25" t="s">
        <v>10</v>
      </c>
      <c r="P29" s="25" t="s">
        <v>10</v>
      </c>
      <c r="Q29" s="25" t="s">
        <v>113</v>
      </c>
      <c r="R29" s="25" t="s">
        <v>160</v>
      </c>
      <c r="S29" s="25" t="s">
        <v>161</v>
      </c>
      <c r="T29" s="25" t="s">
        <v>161</v>
      </c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5" t="s">
        <v>10</v>
      </c>
      <c r="AS29" s="25" t="s">
        <v>10</v>
      </c>
      <c r="AT29" s="26"/>
      <c r="AU29" s="25" t="s">
        <v>233</v>
      </c>
      <c r="AV29" s="26">
        <v>20</v>
      </c>
    </row>
    <row r="30" spans="1:48" ht="30" customHeight="1">
      <c r="A30" s="32" t="s">
        <v>214</v>
      </c>
      <c r="B30" s="32" t="s">
        <v>219</v>
      </c>
      <c r="C30" s="32" t="s">
        <v>157</v>
      </c>
      <c r="D30" s="24">
        <v>626.6</v>
      </c>
      <c r="E30" s="9">
        <f>TRUNC([1]일위대가목록!E17,0)</f>
        <v>39000</v>
      </c>
      <c r="F30" s="9">
        <f>TRUNC(E30*D30, 0)</f>
        <v>24437400</v>
      </c>
      <c r="G30" s="9">
        <f>TRUNC([1]일위대가목록!F17,0)</f>
        <v>6241</v>
      </c>
      <c r="H30" s="9">
        <f>TRUNC(G30*D30, 0)</f>
        <v>3910610</v>
      </c>
      <c r="I30" s="9">
        <f>TRUNC([1]일위대가목록!G17,0)</f>
        <v>311</v>
      </c>
      <c r="J30" s="9">
        <f>TRUNC(I30*D30, 0)</f>
        <v>194872</v>
      </c>
      <c r="K30" s="9">
        <f t="shared" si="4"/>
        <v>45552</v>
      </c>
      <c r="L30" s="9">
        <f t="shared" si="4"/>
        <v>28542882</v>
      </c>
      <c r="M30" s="32" t="s">
        <v>220</v>
      </c>
      <c r="N30" s="25" t="s">
        <v>221</v>
      </c>
      <c r="O30" s="25" t="s">
        <v>10</v>
      </c>
      <c r="P30" s="25" t="s">
        <v>10</v>
      </c>
      <c r="Q30" s="25" t="s">
        <v>113</v>
      </c>
      <c r="R30" s="25" t="s">
        <v>160</v>
      </c>
      <c r="S30" s="25" t="s">
        <v>161</v>
      </c>
      <c r="T30" s="25" t="s">
        <v>161</v>
      </c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5" t="s">
        <v>10</v>
      </c>
      <c r="AS30" s="25" t="s">
        <v>10</v>
      </c>
      <c r="AT30" s="26"/>
      <c r="AU30" s="25" t="s">
        <v>234</v>
      </c>
      <c r="AV30" s="26">
        <v>21</v>
      </c>
    </row>
    <row r="31" spans="1:48" ht="30" customHeight="1">
      <c r="A31" s="32" t="s">
        <v>223</v>
      </c>
      <c r="B31" s="32" t="s">
        <v>224</v>
      </c>
      <c r="C31" s="32" t="s">
        <v>157</v>
      </c>
      <c r="D31" s="24">
        <v>618.1</v>
      </c>
      <c r="E31" s="9">
        <f>TRUNC([1]일위대가목록!E18,0)</f>
        <v>0</v>
      </c>
      <c r="F31" s="9">
        <f>TRUNC(E31*D31, 0)</f>
        <v>0</v>
      </c>
      <c r="G31" s="9">
        <f>TRUNC([1]일위대가목록!F18,0)</f>
        <v>3120</v>
      </c>
      <c r="H31" s="9">
        <f>TRUNC(G31*D31, 0)</f>
        <v>1928472</v>
      </c>
      <c r="I31" s="9">
        <f>TRUNC([1]일위대가목록!G18,0)</f>
        <v>93</v>
      </c>
      <c r="J31" s="9">
        <f>TRUNC(I31*D31, 0)</f>
        <v>57483</v>
      </c>
      <c r="K31" s="9">
        <f t="shared" si="4"/>
        <v>3213</v>
      </c>
      <c r="L31" s="9">
        <f t="shared" si="4"/>
        <v>1985955</v>
      </c>
      <c r="M31" s="32" t="s">
        <v>225</v>
      </c>
      <c r="N31" s="25" t="s">
        <v>226</v>
      </c>
      <c r="O31" s="25" t="s">
        <v>10</v>
      </c>
      <c r="P31" s="25" t="s">
        <v>10</v>
      </c>
      <c r="Q31" s="25" t="s">
        <v>113</v>
      </c>
      <c r="R31" s="25" t="s">
        <v>160</v>
      </c>
      <c r="S31" s="25" t="s">
        <v>161</v>
      </c>
      <c r="T31" s="25" t="s">
        <v>161</v>
      </c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5" t="s">
        <v>10</v>
      </c>
      <c r="AS31" s="25" t="s">
        <v>10</v>
      </c>
      <c r="AT31" s="26"/>
      <c r="AU31" s="25" t="s">
        <v>235</v>
      </c>
      <c r="AV31" s="26">
        <v>22</v>
      </c>
    </row>
    <row r="32" spans="1:48" ht="30" customHeight="1">
      <c r="A32" s="24"/>
      <c r="B32" s="24"/>
      <c r="C32" s="24"/>
      <c r="D32" s="24"/>
      <c r="E32" s="9"/>
      <c r="F32" s="9"/>
      <c r="G32" s="9"/>
      <c r="H32" s="9"/>
      <c r="I32" s="9"/>
      <c r="J32" s="9"/>
      <c r="K32" s="9"/>
      <c r="L32" s="9"/>
      <c r="M32" s="24"/>
      <c r="Q32" s="7" t="s">
        <v>113</v>
      </c>
    </row>
    <row r="33" spans="1:17" ht="30" customHeight="1">
      <c r="A33" s="24"/>
      <c r="B33" s="24"/>
      <c r="C33" s="24"/>
      <c r="D33" s="24"/>
      <c r="E33" s="9"/>
      <c r="F33" s="9"/>
      <c r="G33" s="9"/>
      <c r="H33" s="9"/>
      <c r="I33" s="9"/>
      <c r="J33" s="9"/>
      <c r="K33" s="9"/>
      <c r="L33" s="9"/>
      <c r="M33" s="24"/>
      <c r="Q33" s="7" t="s">
        <v>113</v>
      </c>
    </row>
    <row r="34" spans="1:17" ht="30" customHeight="1">
      <c r="A34" s="24"/>
      <c r="B34" s="24"/>
      <c r="C34" s="24"/>
      <c r="D34" s="24"/>
      <c r="E34" s="9"/>
      <c r="F34" s="9"/>
      <c r="G34" s="9"/>
      <c r="H34" s="9"/>
      <c r="I34" s="9"/>
      <c r="J34" s="9"/>
      <c r="K34" s="9"/>
      <c r="L34" s="9"/>
      <c r="M34" s="24"/>
      <c r="Q34" s="7" t="s">
        <v>113</v>
      </c>
    </row>
    <row r="35" spans="1:17" ht="30" customHeight="1">
      <c r="A35" s="24"/>
      <c r="B35" s="24"/>
      <c r="C35" s="24"/>
      <c r="D35" s="24"/>
      <c r="E35" s="9"/>
      <c r="F35" s="9"/>
      <c r="G35" s="9"/>
      <c r="H35" s="9"/>
      <c r="I35" s="9"/>
      <c r="J35" s="9"/>
      <c r="K35" s="9"/>
      <c r="L35" s="9"/>
      <c r="M35" s="24"/>
      <c r="Q35" s="7" t="s">
        <v>113</v>
      </c>
    </row>
    <row r="36" spans="1:17" ht="30" customHeight="1">
      <c r="A36" s="24"/>
      <c r="B36" s="24"/>
      <c r="C36" s="24"/>
      <c r="D36" s="24"/>
      <c r="E36" s="9"/>
      <c r="F36" s="9"/>
      <c r="G36" s="9"/>
      <c r="H36" s="9"/>
      <c r="I36" s="9"/>
      <c r="J36" s="9"/>
      <c r="K36" s="9"/>
      <c r="L36" s="9"/>
      <c r="M36" s="24"/>
      <c r="Q36" s="7" t="s">
        <v>113</v>
      </c>
    </row>
    <row r="37" spans="1:17" ht="30" customHeight="1">
      <c r="A37" s="24"/>
      <c r="B37" s="24"/>
      <c r="C37" s="24"/>
      <c r="D37" s="24"/>
      <c r="E37" s="9"/>
      <c r="F37" s="9"/>
      <c r="G37" s="9"/>
      <c r="H37" s="9"/>
      <c r="I37" s="9"/>
      <c r="J37" s="9"/>
      <c r="K37" s="9"/>
      <c r="L37" s="9"/>
      <c r="M37" s="24"/>
      <c r="Q37" s="7" t="s">
        <v>113</v>
      </c>
    </row>
    <row r="38" spans="1:17" ht="30" customHeight="1">
      <c r="A38" s="24"/>
      <c r="B38" s="24"/>
      <c r="C38" s="24"/>
      <c r="D38" s="24"/>
      <c r="E38" s="9"/>
      <c r="F38" s="9"/>
      <c r="G38" s="9"/>
      <c r="H38" s="9"/>
      <c r="I38" s="9"/>
      <c r="J38" s="9"/>
      <c r="K38" s="9"/>
      <c r="L38" s="9"/>
      <c r="M38" s="24"/>
      <c r="Q38" s="7" t="s">
        <v>113</v>
      </c>
    </row>
    <row r="39" spans="1:17" ht="30" customHeight="1">
      <c r="A39" s="24"/>
      <c r="B39" s="24"/>
      <c r="C39" s="24"/>
      <c r="D39" s="24"/>
      <c r="E39" s="9"/>
      <c r="F39" s="9"/>
      <c r="G39" s="9"/>
      <c r="H39" s="9"/>
      <c r="I39" s="9"/>
      <c r="J39" s="9"/>
      <c r="K39" s="9"/>
      <c r="L39" s="9"/>
      <c r="M39" s="24"/>
      <c r="Q39" s="7" t="s">
        <v>113</v>
      </c>
    </row>
    <row r="40" spans="1:17" ht="30" customHeight="1">
      <c r="A40" s="24"/>
      <c r="B40" s="24"/>
      <c r="C40" s="24"/>
      <c r="D40" s="24"/>
      <c r="E40" s="9"/>
      <c r="F40" s="9"/>
      <c r="G40" s="9"/>
      <c r="H40" s="9"/>
      <c r="I40" s="9"/>
      <c r="J40" s="9"/>
      <c r="K40" s="9"/>
      <c r="L40" s="9"/>
      <c r="M40" s="24"/>
      <c r="Q40" s="7" t="s">
        <v>113</v>
      </c>
    </row>
    <row r="41" spans="1:17" ht="30" customHeight="1">
      <c r="A41" s="24"/>
      <c r="B41" s="24"/>
      <c r="C41" s="24"/>
      <c r="D41" s="24"/>
      <c r="E41" s="9"/>
      <c r="F41" s="9"/>
      <c r="G41" s="9"/>
      <c r="H41" s="9"/>
      <c r="I41" s="9"/>
      <c r="J41" s="9"/>
      <c r="K41" s="9"/>
      <c r="L41" s="9"/>
      <c r="M41" s="24"/>
      <c r="Q41" s="7" t="s">
        <v>113</v>
      </c>
    </row>
    <row r="42" spans="1:17" ht="30" customHeight="1">
      <c r="A42" s="24"/>
      <c r="B42" s="24"/>
      <c r="C42" s="24"/>
      <c r="D42" s="24"/>
      <c r="E42" s="9"/>
      <c r="F42" s="9"/>
      <c r="G42" s="9"/>
      <c r="H42" s="9"/>
      <c r="I42" s="9"/>
      <c r="J42" s="9"/>
      <c r="K42" s="9"/>
      <c r="L42" s="9"/>
      <c r="M42" s="24"/>
      <c r="Q42" s="7" t="s">
        <v>113</v>
      </c>
    </row>
    <row r="43" spans="1:17" ht="30" customHeight="1">
      <c r="A43" s="24"/>
      <c r="B43" s="24"/>
      <c r="C43" s="24"/>
      <c r="D43" s="24"/>
      <c r="E43" s="9"/>
      <c r="F43" s="9"/>
      <c r="G43" s="9"/>
      <c r="H43" s="9"/>
      <c r="I43" s="9"/>
      <c r="J43" s="9"/>
      <c r="K43" s="9"/>
      <c r="L43" s="9"/>
      <c r="M43" s="24"/>
      <c r="Q43" s="7" t="s">
        <v>113</v>
      </c>
    </row>
    <row r="44" spans="1:17" ht="30" customHeight="1">
      <c r="A44" s="24"/>
      <c r="B44" s="24"/>
      <c r="C44" s="24"/>
      <c r="D44" s="24"/>
      <c r="E44" s="9"/>
      <c r="F44" s="9"/>
      <c r="G44" s="9"/>
      <c r="H44" s="9"/>
      <c r="I44" s="9"/>
      <c r="J44" s="9"/>
      <c r="K44" s="9"/>
      <c r="L44" s="9"/>
      <c r="M44" s="24"/>
      <c r="Q44" s="7" t="s">
        <v>113</v>
      </c>
    </row>
    <row r="45" spans="1:17" ht="30" customHeight="1">
      <c r="A45" s="24"/>
      <c r="B45" s="24"/>
      <c r="C45" s="24"/>
      <c r="D45" s="24"/>
      <c r="E45" s="9"/>
      <c r="F45" s="9"/>
      <c r="G45" s="9"/>
      <c r="H45" s="9"/>
      <c r="I45" s="9"/>
      <c r="J45" s="9"/>
      <c r="K45" s="9"/>
      <c r="L45" s="9"/>
      <c r="M45" s="24"/>
      <c r="Q45" s="7" t="s">
        <v>113</v>
      </c>
    </row>
    <row r="46" spans="1:17" ht="30" customHeight="1">
      <c r="A46" s="24"/>
      <c r="B46" s="24"/>
      <c r="C46" s="24"/>
      <c r="D46" s="24"/>
      <c r="E46" s="9"/>
      <c r="F46" s="9"/>
      <c r="G46" s="9"/>
      <c r="H46" s="9"/>
      <c r="I46" s="9"/>
      <c r="J46" s="9"/>
      <c r="K46" s="9"/>
      <c r="L46" s="9"/>
      <c r="M46" s="24"/>
      <c r="Q46" s="7" t="s">
        <v>113</v>
      </c>
    </row>
    <row r="47" spans="1:17" ht="30" customHeight="1">
      <c r="A47" s="24"/>
      <c r="B47" s="24"/>
      <c r="C47" s="24"/>
      <c r="D47" s="24"/>
      <c r="E47" s="9"/>
      <c r="F47" s="9"/>
      <c r="G47" s="9"/>
      <c r="H47" s="9"/>
      <c r="I47" s="9"/>
      <c r="J47" s="9"/>
      <c r="K47" s="9"/>
      <c r="L47" s="9"/>
      <c r="M47" s="24"/>
      <c r="Q47" s="7" t="s">
        <v>113</v>
      </c>
    </row>
    <row r="48" spans="1:17" ht="30" customHeight="1">
      <c r="A48" s="24"/>
      <c r="B48" s="24"/>
      <c r="C48" s="24"/>
      <c r="D48" s="24"/>
      <c r="E48" s="9"/>
      <c r="F48" s="9"/>
      <c r="G48" s="9"/>
      <c r="H48" s="9"/>
      <c r="I48" s="9"/>
      <c r="J48" s="9"/>
      <c r="K48" s="9"/>
      <c r="L48" s="9"/>
      <c r="M48" s="24"/>
      <c r="Q48" s="7" t="s">
        <v>113</v>
      </c>
    </row>
    <row r="49" spans="1:48" ht="30" customHeight="1">
      <c r="A49" s="24"/>
      <c r="B49" s="24"/>
      <c r="C49" s="24"/>
      <c r="D49" s="24"/>
      <c r="E49" s="9"/>
      <c r="F49" s="9"/>
      <c r="G49" s="9"/>
      <c r="H49" s="9"/>
      <c r="I49" s="9"/>
      <c r="J49" s="9"/>
      <c r="K49" s="9"/>
      <c r="L49" s="9"/>
      <c r="M49" s="24"/>
      <c r="Q49" s="7" t="s">
        <v>113</v>
      </c>
    </row>
    <row r="50" spans="1:48" ht="30" customHeight="1">
      <c r="A50" s="24"/>
      <c r="B50" s="24"/>
      <c r="C50" s="24"/>
      <c r="D50" s="24"/>
      <c r="E50" s="9"/>
      <c r="F50" s="9"/>
      <c r="G50" s="9"/>
      <c r="H50" s="9"/>
      <c r="I50" s="9"/>
      <c r="J50" s="9"/>
      <c r="K50" s="9"/>
      <c r="L50" s="9"/>
      <c r="M50" s="24"/>
      <c r="Q50" s="7" t="s">
        <v>113</v>
      </c>
    </row>
    <row r="51" spans="1:48" ht="30" customHeight="1">
      <c r="A51" s="32" t="s">
        <v>124</v>
      </c>
      <c r="B51" s="24"/>
      <c r="C51" s="24"/>
      <c r="D51" s="24"/>
      <c r="E51" s="9"/>
      <c r="F51" s="9">
        <f>SUMIF(Q29:Q50,"0102",F29:F50)</f>
        <v>124499200</v>
      </c>
      <c r="G51" s="9"/>
      <c r="H51" s="9">
        <f>SUMIF(Q29:Q50,"0102",H29:H50)</f>
        <v>25983781</v>
      </c>
      <c r="I51" s="9"/>
      <c r="J51" s="9">
        <f>SUMIF(Q29:Q50,"0102",J29:J50)</f>
        <v>1256200</v>
      </c>
      <c r="K51" s="9"/>
      <c r="L51" s="9">
        <f>SUMIF(Q29:Q50,"0102",L29:L50)</f>
        <v>151739181</v>
      </c>
      <c r="M51" s="24"/>
      <c r="N51" t="s">
        <v>232</v>
      </c>
    </row>
    <row r="52" spans="1:48" ht="30" customHeight="1">
      <c r="A52" s="32" t="s">
        <v>114</v>
      </c>
      <c r="B52" s="32" t="s">
        <v>10</v>
      </c>
      <c r="C52" s="24"/>
      <c r="D52" s="24"/>
      <c r="E52" s="9"/>
      <c r="F52" s="9"/>
      <c r="G52" s="9"/>
      <c r="H52" s="9"/>
      <c r="I52" s="9"/>
      <c r="J52" s="9"/>
      <c r="K52" s="9"/>
      <c r="L52" s="9"/>
      <c r="M52" s="24"/>
      <c r="N52" s="26"/>
      <c r="O52" s="26"/>
      <c r="P52" s="26"/>
      <c r="Q52" s="25" t="s">
        <v>116</v>
      </c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</row>
    <row r="53" spans="1:48" ht="30" customHeight="1">
      <c r="A53" s="32" t="s">
        <v>236</v>
      </c>
      <c r="B53" s="32" t="s">
        <v>237</v>
      </c>
      <c r="C53" s="32" t="s">
        <v>238</v>
      </c>
      <c r="D53" s="24">
        <v>24</v>
      </c>
      <c r="E53" s="9">
        <f>TRUNC([1]단가대비표!O32,0)</f>
        <v>0</v>
      </c>
      <c r="F53" s="9">
        <f>TRUNC(E53*D53, 0)</f>
        <v>0</v>
      </c>
      <c r="G53" s="9">
        <f>TRUNC([1]단가대비표!P32,0)</f>
        <v>218142</v>
      </c>
      <c r="H53" s="9">
        <f>TRUNC(G53*D53, 0)</f>
        <v>5235408</v>
      </c>
      <c r="I53" s="9">
        <f>TRUNC([1]단가대비표!V32,0)</f>
        <v>0</v>
      </c>
      <c r="J53" s="9">
        <f>TRUNC(I53*D53, 0)</f>
        <v>0</v>
      </c>
      <c r="K53" s="9">
        <f>TRUNC(E53+G53+I53, 0)</f>
        <v>218142</v>
      </c>
      <c r="L53" s="9">
        <f>TRUNC(F53+H53+J53, 0)</f>
        <v>5235408</v>
      </c>
      <c r="M53" s="32" t="s">
        <v>10</v>
      </c>
      <c r="N53" s="25" t="s">
        <v>239</v>
      </c>
      <c r="O53" s="25" t="s">
        <v>10</v>
      </c>
      <c r="P53" s="25" t="s">
        <v>10</v>
      </c>
      <c r="Q53" s="25" t="s">
        <v>116</v>
      </c>
      <c r="R53" s="25" t="s">
        <v>161</v>
      </c>
      <c r="S53" s="25" t="s">
        <v>161</v>
      </c>
      <c r="T53" s="25" t="s">
        <v>160</v>
      </c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5" t="s">
        <v>10</v>
      </c>
      <c r="AS53" s="25" t="s">
        <v>10</v>
      </c>
      <c r="AT53" s="26"/>
      <c r="AU53" s="25" t="s">
        <v>240</v>
      </c>
      <c r="AV53" s="26">
        <v>37</v>
      </c>
    </row>
    <row r="54" spans="1:48" ht="30" customHeight="1">
      <c r="A54" s="32" t="s">
        <v>236</v>
      </c>
      <c r="B54" s="32" t="s">
        <v>241</v>
      </c>
      <c r="C54" s="32" t="s">
        <v>238</v>
      </c>
      <c r="D54" s="24">
        <v>6</v>
      </c>
      <c r="E54" s="9">
        <f>TRUNC([1]단가대비표!O33,0)</f>
        <v>0</v>
      </c>
      <c r="F54" s="9">
        <f>TRUNC(E54*D54, 0)</f>
        <v>0</v>
      </c>
      <c r="G54" s="9">
        <f>TRUNC([1]단가대비표!P33,0)</f>
        <v>163606</v>
      </c>
      <c r="H54" s="9">
        <f>TRUNC(G54*D54, 0)</f>
        <v>981636</v>
      </c>
      <c r="I54" s="9">
        <f>TRUNC([1]단가대비표!V33,0)</f>
        <v>0</v>
      </c>
      <c r="J54" s="9">
        <f>TRUNC(I54*D54, 0)</f>
        <v>0</v>
      </c>
      <c r="K54" s="9">
        <f>TRUNC(E54+G54+I54, 0)</f>
        <v>163606</v>
      </c>
      <c r="L54" s="9">
        <f>TRUNC(F54+H54+J54, 0)</f>
        <v>981636</v>
      </c>
      <c r="M54" s="32" t="s">
        <v>10</v>
      </c>
      <c r="N54" s="25" t="s">
        <v>242</v>
      </c>
      <c r="O54" s="25" t="s">
        <v>10</v>
      </c>
      <c r="P54" s="25" t="s">
        <v>10</v>
      </c>
      <c r="Q54" s="25" t="s">
        <v>116</v>
      </c>
      <c r="R54" s="25" t="s">
        <v>161</v>
      </c>
      <c r="S54" s="25" t="s">
        <v>161</v>
      </c>
      <c r="T54" s="25" t="s">
        <v>160</v>
      </c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5" t="s">
        <v>10</v>
      </c>
      <c r="AS54" s="25" t="s">
        <v>10</v>
      </c>
      <c r="AT54" s="26"/>
      <c r="AU54" s="25" t="s">
        <v>243</v>
      </c>
      <c r="AV54" s="26">
        <v>38</v>
      </c>
    </row>
    <row r="55" spans="1:48" ht="30" customHeight="1">
      <c r="A55" s="24"/>
      <c r="B55" s="24"/>
      <c r="C55" s="24"/>
      <c r="D55" s="24"/>
      <c r="E55" s="9"/>
      <c r="F55" s="9"/>
      <c r="G55" s="9"/>
      <c r="H55" s="9"/>
      <c r="I55" s="9"/>
      <c r="J55" s="9"/>
      <c r="K55" s="9"/>
      <c r="L55" s="9"/>
      <c r="M55" s="24"/>
      <c r="Q55" s="7" t="s">
        <v>116</v>
      </c>
    </row>
    <row r="56" spans="1:48" ht="30" customHeight="1">
      <c r="A56" s="24"/>
      <c r="B56" s="24"/>
      <c r="C56" s="24"/>
      <c r="D56" s="24"/>
      <c r="E56" s="9"/>
      <c r="F56" s="9"/>
      <c r="G56" s="9"/>
      <c r="H56" s="9"/>
      <c r="I56" s="9"/>
      <c r="J56" s="9"/>
      <c r="K56" s="9"/>
      <c r="L56" s="9"/>
      <c r="M56" s="24"/>
      <c r="Q56" s="7" t="s">
        <v>116</v>
      </c>
    </row>
    <row r="57" spans="1:48" ht="30" customHeight="1">
      <c r="A57" s="24"/>
      <c r="B57" s="24"/>
      <c r="C57" s="24"/>
      <c r="D57" s="24"/>
      <c r="E57" s="9"/>
      <c r="F57" s="9"/>
      <c r="G57" s="9"/>
      <c r="H57" s="9"/>
      <c r="I57" s="9"/>
      <c r="J57" s="9"/>
      <c r="K57" s="9"/>
      <c r="L57" s="9"/>
      <c r="M57" s="24"/>
      <c r="Q57" s="7" t="s">
        <v>116</v>
      </c>
    </row>
    <row r="58" spans="1:48" ht="30" customHeight="1">
      <c r="A58" s="24"/>
      <c r="B58" s="24"/>
      <c r="C58" s="24"/>
      <c r="D58" s="24"/>
      <c r="E58" s="9"/>
      <c r="F58" s="9"/>
      <c r="G58" s="9"/>
      <c r="H58" s="9"/>
      <c r="I58" s="9"/>
      <c r="J58" s="9"/>
      <c r="K58" s="9"/>
      <c r="L58" s="9"/>
      <c r="M58" s="24"/>
      <c r="Q58" s="7" t="s">
        <v>116</v>
      </c>
    </row>
    <row r="59" spans="1:48" ht="30" customHeight="1">
      <c r="A59" s="24"/>
      <c r="B59" s="24"/>
      <c r="C59" s="24"/>
      <c r="D59" s="24"/>
      <c r="E59" s="9"/>
      <c r="F59" s="9"/>
      <c r="G59" s="9"/>
      <c r="H59" s="9"/>
      <c r="I59" s="9"/>
      <c r="J59" s="9"/>
      <c r="K59" s="9"/>
      <c r="L59" s="9"/>
      <c r="M59" s="24"/>
      <c r="Q59" s="7" t="s">
        <v>116</v>
      </c>
    </row>
    <row r="60" spans="1:48" ht="30" customHeight="1">
      <c r="A60" s="24"/>
      <c r="B60" s="24"/>
      <c r="C60" s="24"/>
      <c r="D60" s="24"/>
      <c r="E60" s="9"/>
      <c r="F60" s="9"/>
      <c r="G60" s="9"/>
      <c r="H60" s="9"/>
      <c r="I60" s="9"/>
      <c r="J60" s="9"/>
      <c r="K60" s="9"/>
      <c r="L60" s="9"/>
      <c r="M60" s="24"/>
      <c r="Q60" s="7" t="s">
        <v>116</v>
      </c>
    </row>
    <row r="61" spans="1:48" ht="30" customHeight="1">
      <c r="A61" s="24"/>
      <c r="B61" s="24"/>
      <c r="C61" s="24"/>
      <c r="D61" s="24"/>
      <c r="E61" s="9"/>
      <c r="F61" s="9"/>
      <c r="G61" s="9"/>
      <c r="H61" s="9"/>
      <c r="I61" s="9"/>
      <c r="J61" s="9"/>
      <c r="K61" s="9"/>
      <c r="L61" s="9"/>
      <c r="M61" s="24"/>
      <c r="Q61" s="7" t="s">
        <v>116</v>
      </c>
    </row>
    <row r="62" spans="1:48" ht="30" customHeight="1">
      <c r="A62" s="24"/>
      <c r="B62" s="24"/>
      <c r="C62" s="24"/>
      <c r="D62" s="24"/>
      <c r="E62" s="9"/>
      <c r="F62" s="9"/>
      <c r="G62" s="9"/>
      <c r="H62" s="9"/>
      <c r="I62" s="9"/>
      <c r="J62" s="9"/>
      <c r="K62" s="9"/>
      <c r="L62" s="9"/>
      <c r="M62" s="24"/>
      <c r="Q62" s="7" t="s">
        <v>116</v>
      </c>
    </row>
    <row r="63" spans="1:48" ht="30" customHeight="1">
      <c r="A63" s="24"/>
      <c r="B63" s="24"/>
      <c r="C63" s="24"/>
      <c r="D63" s="24"/>
      <c r="E63" s="9"/>
      <c r="F63" s="9"/>
      <c r="G63" s="9"/>
      <c r="H63" s="9"/>
      <c r="I63" s="9"/>
      <c r="J63" s="9"/>
      <c r="K63" s="9"/>
      <c r="L63" s="9"/>
      <c r="M63" s="24"/>
      <c r="Q63" s="7" t="s">
        <v>116</v>
      </c>
    </row>
    <row r="64" spans="1:48" ht="30" customHeight="1">
      <c r="A64" s="24"/>
      <c r="B64" s="24"/>
      <c r="C64" s="24"/>
      <c r="D64" s="24"/>
      <c r="E64" s="9"/>
      <c r="F64" s="9"/>
      <c r="G64" s="9"/>
      <c r="H64" s="9"/>
      <c r="I64" s="9"/>
      <c r="J64" s="9"/>
      <c r="K64" s="9"/>
      <c r="L64" s="9"/>
      <c r="M64" s="24"/>
      <c r="Q64" s="7" t="s">
        <v>116</v>
      </c>
    </row>
    <row r="65" spans="1:48" ht="30" customHeight="1">
      <c r="A65" s="24"/>
      <c r="B65" s="24"/>
      <c r="C65" s="24"/>
      <c r="D65" s="24"/>
      <c r="E65" s="9"/>
      <c r="F65" s="9"/>
      <c r="G65" s="9"/>
      <c r="H65" s="9"/>
      <c r="I65" s="9"/>
      <c r="J65" s="9"/>
      <c r="K65" s="9"/>
      <c r="L65" s="9"/>
      <c r="M65" s="24"/>
      <c r="Q65" s="7" t="s">
        <v>116</v>
      </c>
    </row>
    <row r="66" spans="1:48" ht="30" customHeight="1">
      <c r="A66" s="24"/>
      <c r="B66" s="24"/>
      <c r="C66" s="24"/>
      <c r="D66" s="24"/>
      <c r="E66" s="9"/>
      <c r="F66" s="9"/>
      <c r="G66" s="9"/>
      <c r="H66" s="9"/>
      <c r="I66" s="9"/>
      <c r="J66" s="9"/>
      <c r="K66" s="9"/>
      <c r="L66" s="9"/>
      <c r="M66" s="24"/>
      <c r="Q66" s="7" t="s">
        <v>116</v>
      </c>
    </row>
    <row r="67" spans="1:48" ht="30" customHeight="1">
      <c r="A67" s="24"/>
      <c r="B67" s="24"/>
      <c r="C67" s="24"/>
      <c r="D67" s="24"/>
      <c r="E67" s="9"/>
      <c r="F67" s="9"/>
      <c r="G67" s="9"/>
      <c r="H67" s="9"/>
      <c r="I67" s="9"/>
      <c r="J67" s="9"/>
      <c r="K67" s="9"/>
      <c r="L67" s="9"/>
      <c r="M67" s="24"/>
      <c r="Q67" s="7" t="s">
        <v>116</v>
      </c>
    </row>
    <row r="68" spans="1:48" ht="30" customHeight="1">
      <c r="A68" s="24"/>
      <c r="B68" s="24"/>
      <c r="C68" s="24"/>
      <c r="D68" s="24"/>
      <c r="E68" s="9"/>
      <c r="F68" s="9"/>
      <c r="G68" s="9"/>
      <c r="H68" s="9"/>
      <c r="I68" s="9"/>
      <c r="J68" s="9"/>
      <c r="K68" s="9"/>
      <c r="L68" s="9"/>
      <c r="M68" s="24"/>
      <c r="Q68" s="7" t="s">
        <v>116</v>
      </c>
    </row>
    <row r="69" spans="1:48" ht="30" customHeight="1">
      <c r="A69" s="24"/>
      <c r="B69" s="24"/>
      <c r="C69" s="24"/>
      <c r="D69" s="24"/>
      <c r="E69" s="9"/>
      <c r="F69" s="9"/>
      <c r="G69" s="9"/>
      <c r="H69" s="9"/>
      <c r="I69" s="9"/>
      <c r="J69" s="9"/>
      <c r="K69" s="9"/>
      <c r="L69" s="9"/>
      <c r="M69" s="24"/>
      <c r="Q69" s="7" t="s">
        <v>116</v>
      </c>
    </row>
    <row r="70" spans="1:48" ht="30" customHeight="1">
      <c r="A70" s="24"/>
      <c r="B70" s="24"/>
      <c r="C70" s="24"/>
      <c r="D70" s="24"/>
      <c r="E70" s="9"/>
      <c r="F70" s="9"/>
      <c r="G70" s="9"/>
      <c r="H70" s="9"/>
      <c r="I70" s="9"/>
      <c r="J70" s="9"/>
      <c r="K70" s="9"/>
      <c r="L70" s="9"/>
      <c r="M70" s="24"/>
      <c r="Q70" s="7" t="s">
        <v>116</v>
      </c>
    </row>
    <row r="71" spans="1:48" ht="30" customHeight="1">
      <c r="A71" s="24"/>
      <c r="B71" s="24"/>
      <c r="C71" s="24"/>
      <c r="D71" s="24"/>
      <c r="E71" s="9"/>
      <c r="F71" s="9"/>
      <c r="G71" s="9"/>
      <c r="H71" s="9"/>
      <c r="I71" s="9"/>
      <c r="J71" s="9"/>
      <c r="K71" s="9"/>
      <c r="L71" s="9"/>
      <c r="M71" s="24"/>
      <c r="Q71" s="7" t="s">
        <v>116</v>
      </c>
    </row>
    <row r="72" spans="1:48" ht="30" customHeight="1">
      <c r="A72" s="24"/>
      <c r="B72" s="24"/>
      <c r="C72" s="24"/>
      <c r="D72" s="24"/>
      <c r="E72" s="9"/>
      <c r="F72" s="9"/>
      <c r="G72" s="9"/>
      <c r="H72" s="9"/>
      <c r="I72" s="9"/>
      <c r="J72" s="9"/>
      <c r="K72" s="9"/>
      <c r="L72" s="9"/>
      <c r="M72" s="24"/>
      <c r="Q72" s="7" t="s">
        <v>116</v>
      </c>
    </row>
    <row r="73" spans="1:48" ht="30" customHeight="1">
      <c r="A73" s="24"/>
      <c r="B73" s="24"/>
      <c r="C73" s="24"/>
      <c r="D73" s="24"/>
      <c r="E73" s="9"/>
      <c r="F73" s="9"/>
      <c r="G73" s="9"/>
      <c r="H73" s="9"/>
      <c r="I73" s="9"/>
      <c r="J73" s="9"/>
      <c r="K73" s="9"/>
      <c r="L73" s="9"/>
      <c r="M73" s="24"/>
      <c r="Q73" s="7" t="s">
        <v>116</v>
      </c>
    </row>
    <row r="74" spans="1:48" ht="30" customHeight="1">
      <c r="A74" s="24"/>
      <c r="B74" s="24"/>
      <c r="C74" s="24"/>
      <c r="D74" s="24"/>
      <c r="E74" s="9"/>
      <c r="F74" s="9"/>
      <c r="G74" s="9"/>
      <c r="H74" s="9"/>
      <c r="I74" s="9"/>
      <c r="J74" s="9"/>
      <c r="K74" s="9"/>
      <c r="L74" s="9"/>
      <c r="M74" s="24"/>
      <c r="Q74" s="7" t="s">
        <v>116</v>
      </c>
    </row>
    <row r="75" spans="1:48" ht="30" customHeight="1">
      <c r="A75" s="32" t="s">
        <v>124</v>
      </c>
      <c r="B75" s="24"/>
      <c r="C75" s="24"/>
      <c r="D75" s="24"/>
      <c r="E75" s="9"/>
      <c r="F75" s="9">
        <f>SUMIF(Q53:Q74,"0103",F53:F74)</f>
        <v>0</v>
      </c>
      <c r="G75" s="9"/>
      <c r="H75" s="9">
        <f>SUMIF(Q53:Q74,"0103",H53:H74)</f>
        <v>6217044</v>
      </c>
      <c r="I75" s="9"/>
      <c r="J75" s="9">
        <f>SUMIF(Q53:Q74,"0103",J53:J74)</f>
        <v>0</v>
      </c>
      <c r="K75" s="9"/>
      <c r="L75" s="9">
        <f>SUMIF(Q53:Q74,"0103",L53:L74)</f>
        <v>6217044</v>
      </c>
      <c r="M75" s="24"/>
      <c r="N75" t="s">
        <v>232</v>
      </c>
    </row>
    <row r="76" spans="1:48" ht="30" customHeight="1">
      <c r="A76" s="32" t="s">
        <v>118</v>
      </c>
      <c r="B76" s="32" t="s">
        <v>10</v>
      </c>
      <c r="C76" s="24"/>
      <c r="D76" s="24"/>
      <c r="E76" s="9"/>
      <c r="F76" s="9"/>
      <c r="G76" s="9"/>
      <c r="H76" s="9"/>
      <c r="I76" s="9"/>
      <c r="J76" s="9"/>
      <c r="K76" s="9"/>
      <c r="L76" s="9"/>
      <c r="M76" s="24"/>
      <c r="N76" s="26"/>
      <c r="O76" s="26"/>
      <c r="P76" s="26"/>
      <c r="Q76" s="25" t="s">
        <v>119</v>
      </c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</row>
    <row r="77" spans="1:48" ht="30" customHeight="1">
      <c r="A77" s="32" t="s">
        <v>244</v>
      </c>
      <c r="B77" s="32" t="s">
        <v>245</v>
      </c>
      <c r="C77" s="32" t="s">
        <v>246</v>
      </c>
      <c r="D77" s="24">
        <v>1.1200000000000001</v>
      </c>
      <c r="E77" s="9">
        <f>TRUNC([1]단가대비표!O20,0)</f>
        <v>0</v>
      </c>
      <c r="F77" s="9">
        <f>TRUNC(E77*D77, 0)</f>
        <v>0</v>
      </c>
      <c r="G77" s="9">
        <f>TRUNC([1]단가대비표!P20,0)</f>
        <v>0</v>
      </c>
      <c r="H77" s="9">
        <f>TRUNC(G77*D77, 0)</f>
        <v>0</v>
      </c>
      <c r="I77" s="9">
        <f>TRUNC([1]단가대비표!V20,0)</f>
        <v>49571</v>
      </c>
      <c r="J77" s="9">
        <f>TRUNC(I77*D77, 0)</f>
        <v>55519</v>
      </c>
      <c r="K77" s="9">
        <f t="shared" ref="K77:L79" si="5">TRUNC(E77+G77+I77, 0)</f>
        <v>49571</v>
      </c>
      <c r="L77" s="9">
        <f t="shared" si="5"/>
        <v>55519</v>
      </c>
      <c r="M77" s="32" t="s">
        <v>10</v>
      </c>
      <c r="N77" s="25" t="s">
        <v>247</v>
      </c>
      <c r="O77" s="25" t="s">
        <v>10</v>
      </c>
      <c r="P77" s="25" t="s">
        <v>10</v>
      </c>
      <c r="Q77" s="25" t="s">
        <v>119</v>
      </c>
      <c r="R77" s="25" t="s">
        <v>161</v>
      </c>
      <c r="S77" s="25" t="s">
        <v>161</v>
      </c>
      <c r="T77" s="25" t="s">
        <v>160</v>
      </c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5" t="s">
        <v>10</v>
      </c>
      <c r="AS77" s="25" t="s">
        <v>10</v>
      </c>
      <c r="AT77" s="26"/>
      <c r="AU77" s="25" t="s">
        <v>248</v>
      </c>
      <c r="AV77" s="26">
        <v>39</v>
      </c>
    </row>
    <row r="78" spans="1:48" ht="30" customHeight="1">
      <c r="A78" s="32" t="s">
        <v>249</v>
      </c>
      <c r="B78" s="32" t="s">
        <v>10</v>
      </c>
      <c r="C78" s="32" t="s">
        <v>246</v>
      </c>
      <c r="D78" s="24">
        <v>1.1200000000000001</v>
      </c>
      <c r="E78" s="9">
        <f>TRUNC([1]단가대비표!O21,0)</f>
        <v>0</v>
      </c>
      <c r="F78" s="9">
        <f>TRUNC(E78*D78, 0)</f>
        <v>0</v>
      </c>
      <c r="G78" s="9">
        <f>TRUNC([1]단가대비표!P21,0)</f>
        <v>0</v>
      </c>
      <c r="H78" s="9">
        <f>TRUNC(G78*D78, 0)</f>
        <v>0</v>
      </c>
      <c r="I78" s="9">
        <f>TRUNC([1]단가대비표!V21,0)</f>
        <v>3890</v>
      </c>
      <c r="J78" s="9">
        <f>TRUNC(I78*D78, 0)</f>
        <v>4356</v>
      </c>
      <c r="K78" s="9">
        <f t="shared" si="5"/>
        <v>3890</v>
      </c>
      <c r="L78" s="9">
        <f t="shared" si="5"/>
        <v>4356</v>
      </c>
      <c r="M78" s="32" t="s">
        <v>10</v>
      </c>
      <c r="N78" s="25" t="s">
        <v>250</v>
      </c>
      <c r="O78" s="25" t="s">
        <v>10</v>
      </c>
      <c r="P78" s="25" t="s">
        <v>10</v>
      </c>
      <c r="Q78" s="25" t="s">
        <v>119</v>
      </c>
      <c r="R78" s="25" t="s">
        <v>161</v>
      </c>
      <c r="S78" s="25" t="s">
        <v>161</v>
      </c>
      <c r="T78" s="25" t="s">
        <v>160</v>
      </c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5" t="s">
        <v>10</v>
      </c>
      <c r="AS78" s="25" t="s">
        <v>10</v>
      </c>
      <c r="AT78" s="26"/>
      <c r="AU78" s="25" t="s">
        <v>251</v>
      </c>
      <c r="AV78" s="26">
        <v>40</v>
      </c>
    </row>
    <row r="79" spans="1:48" ht="30" customHeight="1">
      <c r="A79" s="32" t="s">
        <v>252</v>
      </c>
      <c r="B79" s="32" t="s">
        <v>253</v>
      </c>
      <c r="C79" s="32" t="s">
        <v>246</v>
      </c>
      <c r="D79" s="24">
        <v>1.1200000000000001</v>
      </c>
      <c r="E79" s="9">
        <f>TRUNC([1]단가대비표!O22,0)</f>
        <v>0</v>
      </c>
      <c r="F79" s="9">
        <f>TRUNC(E79*D79, 0)</f>
        <v>0</v>
      </c>
      <c r="G79" s="9">
        <f>TRUNC([1]단가대비표!P22,0)</f>
        <v>0</v>
      </c>
      <c r="H79" s="9">
        <f>TRUNC(G79*D79, 0)</f>
        <v>0</v>
      </c>
      <c r="I79" s="9">
        <f>TRUNC([1]단가대비표!V22,0)</f>
        <v>61880</v>
      </c>
      <c r="J79" s="9">
        <f>TRUNC(I79*D79, 0)</f>
        <v>69305</v>
      </c>
      <c r="K79" s="9">
        <f t="shared" si="5"/>
        <v>61880</v>
      </c>
      <c r="L79" s="9">
        <f t="shared" si="5"/>
        <v>69305</v>
      </c>
      <c r="M79" s="32" t="s">
        <v>10</v>
      </c>
      <c r="N79" s="25" t="s">
        <v>254</v>
      </c>
      <c r="O79" s="25" t="s">
        <v>10</v>
      </c>
      <c r="P79" s="25" t="s">
        <v>10</v>
      </c>
      <c r="Q79" s="25" t="s">
        <v>119</v>
      </c>
      <c r="R79" s="25" t="s">
        <v>161</v>
      </c>
      <c r="S79" s="25" t="s">
        <v>161</v>
      </c>
      <c r="T79" s="25" t="s">
        <v>160</v>
      </c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5" t="s">
        <v>10</v>
      </c>
      <c r="AS79" s="25" t="s">
        <v>10</v>
      </c>
      <c r="AT79" s="26"/>
      <c r="AU79" s="25" t="s">
        <v>255</v>
      </c>
      <c r="AV79" s="26">
        <v>27</v>
      </c>
    </row>
    <row r="80" spans="1:48" ht="30" customHeight="1">
      <c r="A80" s="24"/>
      <c r="B80" s="24"/>
      <c r="C80" s="24"/>
      <c r="D80" s="24"/>
      <c r="E80" s="9"/>
      <c r="F80" s="9"/>
      <c r="G80" s="9"/>
      <c r="H80" s="9"/>
      <c r="I80" s="9"/>
      <c r="J80" s="9"/>
      <c r="K80" s="9"/>
      <c r="L80" s="9"/>
      <c r="M80" s="24"/>
      <c r="Q80" s="7" t="s">
        <v>119</v>
      </c>
    </row>
    <row r="81" spans="1:17" ht="30" customHeight="1">
      <c r="A81" s="24"/>
      <c r="B81" s="24"/>
      <c r="C81" s="24"/>
      <c r="D81" s="24"/>
      <c r="E81" s="9"/>
      <c r="F81" s="9"/>
      <c r="G81" s="9"/>
      <c r="H81" s="9"/>
      <c r="I81" s="9"/>
      <c r="J81" s="9"/>
      <c r="K81" s="9"/>
      <c r="L81" s="9"/>
      <c r="M81" s="24"/>
      <c r="Q81" s="7" t="s">
        <v>119</v>
      </c>
    </row>
    <row r="82" spans="1:17" ht="30" customHeight="1">
      <c r="A82" s="24"/>
      <c r="B82" s="24"/>
      <c r="C82" s="24"/>
      <c r="D82" s="24"/>
      <c r="E82" s="9"/>
      <c r="F82" s="9"/>
      <c r="G82" s="9"/>
      <c r="H82" s="9"/>
      <c r="I82" s="9"/>
      <c r="J82" s="9"/>
      <c r="K82" s="9"/>
      <c r="L82" s="9"/>
      <c r="M82" s="24"/>
      <c r="Q82" s="7" t="s">
        <v>119</v>
      </c>
    </row>
    <row r="83" spans="1:17" ht="30" customHeight="1">
      <c r="A83" s="24"/>
      <c r="B83" s="24"/>
      <c r="C83" s="24"/>
      <c r="D83" s="24"/>
      <c r="E83" s="9"/>
      <c r="F83" s="9"/>
      <c r="G83" s="9"/>
      <c r="H83" s="9"/>
      <c r="I83" s="9"/>
      <c r="J83" s="9"/>
      <c r="K83" s="9"/>
      <c r="L83" s="9"/>
      <c r="M83" s="24"/>
      <c r="Q83" s="7" t="s">
        <v>119</v>
      </c>
    </row>
    <row r="84" spans="1:17" ht="30" customHeight="1">
      <c r="A84" s="24"/>
      <c r="B84" s="24"/>
      <c r="C84" s="24"/>
      <c r="D84" s="24"/>
      <c r="E84" s="9"/>
      <c r="F84" s="9"/>
      <c r="G84" s="9"/>
      <c r="H84" s="9"/>
      <c r="I84" s="9"/>
      <c r="J84" s="9"/>
      <c r="K84" s="9"/>
      <c r="L84" s="9"/>
      <c r="M84" s="24"/>
      <c r="Q84" s="7" t="s">
        <v>119</v>
      </c>
    </row>
    <row r="85" spans="1:17" ht="30" customHeight="1">
      <c r="A85" s="24"/>
      <c r="B85" s="24"/>
      <c r="C85" s="24"/>
      <c r="D85" s="24"/>
      <c r="E85" s="9"/>
      <c r="F85" s="9"/>
      <c r="G85" s="9"/>
      <c r="H85" s="9"/>
      <c r="I85" s="9"/>
      <c r="J85" s="9"/>
      <c r="K85" s="9"/>
      <c r="L85" s="9"/>
      <c r="M85" s="24"/>
      <c r="Q85" s="7" t="s">
        <v>119</v>
      </c>
    </row>
    <row r="86" spans="1:17" ht="30" customHeight="1">
      <c r="A86" s="24"/>
      <c r="B86" s="24"/>
      <c r="C86" s="24"/>
      <c r="D86" s="24"/>
      <c r="E86" s="9"/>
      <c r="F86" s="9"/>
      <c r="G86" s="9"/>
      <c r="H86" s="9"/>
      <c r="I86" s="9"/>
      <c r="J86" s="9"/>
      <c r="K86" s="9"/>
      <c r="L86" s="9"/>
      <c r="M86" s="24"/>
      <c r="Q86" s="7" t="s">
        <v>119</v>
      </c>
    </row>
    <row r="87" spans="1:17" ht="30" customHeight="1">
      <c r="A87" s="24"/>
      <c r="B87" s="24"/>
      <c r="C87" s="24"/>
      <c r="D87" s="24"/>
      <c r="E87" s="9"/>
      <c r="F87" s="9"/>
      <c r="G87" s="9"/>
      <c r="H87" s="9"/>
      <c r="I87" s="9"/>
      <c r="J87" s="9"/>
      <c r="K87" s="9"/>
      <c r="L87" s="9"/>
      <c r="M87" s="24"/>
      <c r="Q87" s="7" t="s">
        <v>119</v>
      </c>
    </row>
    <row r="88" spans="1:17" ht="30" customHeight="1">
      <c r="A88" s="24"/>
      <c r="B88" s="24"/>
      <c r="C88" s="24"/>
      <c r="D88" s="24"/>
      <c r="E88" s="9"/>
      <c r="F88" s="9"/>
      <c r="G88" s="9"/>
      <c r="H88" s="9"/>
      <c r="I88" s="9"/>
      <c r="J88" s="9"/>
      <c r="K88" s="9"/>
      <c r="L88" s="9"/>
      <c r="M88" s="24"/>
      <c r="Q88" s="7" t="s">
        <v>119</v>
      </c>
    </row>
    <row r="89" spans="1:17" ht="30" customHeight="1">
      <c r="A89" s="24"/>
      <c r="B89" s="24"/>
      <c r="C89" s="24"/>
      <c r="D89" s="24"/>
      <c r="E89" s="9"/>
      <c r="F89" s="9"/>
      <c r="G89" s="9"/>
      <c r="H89" s="9"/>
      <c r="I89" s="9"/>
      <c r="J89" s="9"/>
      <c r="K89" s="9"/>
      <c r="L89" s="9"/>
      <c r="M89" s="24"/>
      <c r="Q89" s="7" t="s">
        <v>119</v>
      </c>
    </row>
    <row r="90" spans="1:17" ht="30" customHeight="1">
      <c r="A90" s="24"/>
      <c r="B90" s="24"/>
      <c r="C90" s="24"/>
      <c r="D90" s="24"/>
      <c r="E90" s="9"/>
      <c r="F90" s="9"/>
      <c r="G90" s="9"/>
      <c r="H90" s="9"/>
      <c r="I90" s="9"/>
      <c r="J90" s="9"/>
      <c r="K90" s="9"/>
      <c r="L90" s="9"/>
      <c r="M90" s="24"/>
      <c r="Q90" s="7" t="s">
        <v>119</v>
      </c>
    </row>
    <row r="91" spans="1:17" ht="30" customHeight="1">
      <c r="A91" s="24"/>
      <c r="B91" s="24"/>
      <c r="C91" s="24"/>
      <c r="D91" s="24"/>
      <c r="E91" s="9"/>
      <c r="F91" s="9"/>
      <c r="G91" s="9"/>
      <c r="H91" s="9"/>
      <c r="I91" s="9"/>
      <c r="J91" s="9"/>
      <c r="K91" s="9"/>
      <c r="L91" s="9"/>
      <c r="M91" s="24"/>
      <c r="Q91" s="7" t="s">
        <v>119</v>
      </c>
    </row>
    <row r="92" spans="1:17" ht="30" customHeight="1">
      <c r="A92" s="24"/>
      <c r="B92" s="24"/>
      <c r="C92" s="24"/>
      <c r="D92" s="24"/>
      <c r="E92" s="9"/>
      <c r="F92" s="9"/>
      <c r="G92" s="9"/>
      <c r="H92" s="9"/>
      <c r="I92" s="9"/>
      <c r="J92" s="9"/>
      <c r="K92" s="9"/>
      <c r="L92" s="9"/>
      <c r="M92" s="24"/>
      <c r="Q92" s="7" t="s">
        <v>119</v>
      </c>
    </row>
    <row r="93" spans="1:17" ht="30" customHeight="1">
      <c r="A93" s="24"/>
      <c r="B93" s="24"/>
      <c r="C93" s="24"/>
      <c r="D93" s="24"/>
      <c r="E93" s="9"/>
      <c r="F93" s="9"/>
      <c r="G93" s="9"/>
      <c r="H93" s="9"/>
      <c r="I93" s="9"/>
      <c r="J93" s="9"/>
      <c r="K93" s="9"/>
      <c r="L93" s="9"/>
      <c r="M93" s="24"/>
      <c r="Q93" s="7" t="s">
        <v>119</v>
      </c>
    </row>
    <row r="94" spans="1:17" ht="30" customHeight="1">
      <c r="A94" s="24"/>
      <c r="B94" s="24"/>
      <c r="C94" s="24"/>
      <c r="D94" s="24"/>
      <c r="E94" s="9"/>
      <c r="F94" s="9"/>
      <c r="G94" s="9"/>
      <c r="H94" s="9"/>
      <c r="I94" s="9"/>
      <c r="J94" s="9"/>
      <c r="K94" s="9"/>
      <c r="L94" s="9"/>
      <c r="M94" s="24"/>
      <c r="Q94" s="7" t="s">
        <v>119</v>
      </c>
    </row>
    <row r="95" spans="1:17" ht="30" customHeight="1">
      <c r="A95" s="24"/>
      <c r="B95" s="24"/>
      <c r="C95" s="24"/>
      <c r="D95" s="24"/>
      <c r="E95" s="9"/>
      <c r="F95" s="9"/>
      <c r="G95" s="9"/>
      <c r="H95" s="9"/>
      <c r="I95" s="9"/>
      <c r="J95" s="9"/>
      <c r="K95" s="9"/>
      <c r="L95" s="9"/>
      <c r="M95" s="24"/>
      <c r="Q95" s="7" t="s">
        <v>119</v>
      </c>
    </row>
    <row r="96" spans="1:17" ht="30" customHeight="1">
      <c r="A96" s="24"/>
      <c r="B96" s="24"/>
      <c r="C96" s="24"/>
      <c r="D96" s="24"/>
      <c r="E96" s="9"/>
      <c r="F96" s="9"/>
      <c r="G96" s="9"/>
      <c r="H96" s="9"/>
      <c r="I96" s="9"/>
      <c r="J96" s="9"/>
      <c r="K96" s="9"/>
      <c r="L96" s="9"/>
      <c r="M96" s="24"/>
      <c r="Q96" s="7" t="s">
        <v>119</v>
      </c>
    </row>
    <row r="97" spans="1:48" ht="30" customHeight="1">
      <c r="A97" s="24"/>
      <c r="B97" s="24"/>
      <c r="C97" s="24"/>
      <c r="D97" s="24"/>
      <c r="E97" s="9"/>
      <c r="F97" s="9"/>
      <c r="G97" s="9"/>
      <c r="H97" s="9"/>
      <c r="I97" s="9"/>
      <c r="J97" s="9"/>
      <c r="K97" s="9"/>
      <c r="L97" s="9"/>
      <c r="M97" s="24"/>
      <c r="Q97" s="7" t="s">
        <v>119</v>
      </c>
    </row>
    <row r="98" spans="1:48" ht="30" customHeight="1">
      <c r="A98" s="24"/>
      <c r="B98" s="24"/>
      <c r="C98" s="24"/>
      <c r="D98" s="24"/>
      <c r="E98" s="9"/>
      <c r="F98" s="9"/>
      <c r="G98" s="9"/>
      <c r="H98" s="9"/>
      <c r="I98" s="9"/>
      <c r="J98" s="9"/>
      <c r="K98" s="9"/>
      <c r="L98" s="9"/>
      <c r="M98" s="24"/>
      <c r="Q98" s="7" t="s">
        <v>119</v>
      </c>
    </row>
    <row r="99" spans="1:48" ht="30" customHeight="1">
      <c r="A99" s="32" t="s">
        <v>124</v>
      </c>
      <c r="B99" s="24"/>
      <c r="C99" s="24"/>
      <c r="D99" s="24"/>
      <c r="E99" s="9"/>
      <c r="F99" s="9">
        <f>SUMIF(Q77:Q98,"0104",F77:F98)</f>
        <v>0</v>
      </c>
      <c r="G99" s="9"/>
      <c r="H99" s="9">
        <f>SUMIF(Q77:Q98,"0104",H77:H98)</f>
        <v>0</v>
      </c>
      <c r="I99" s="9"/>
      <c r="J99" s="9">
        <f>SUMIF(Q77:Q98,"0104",J77:J98)</f>
        <v>129180</v>
      </c>
      <c r="K99" s="9"/>
      <c r="L99" s="9">
        <f>SUMIF(Q77:Q98,"0104",L77:L98)</f>
        <v>129180</v>
      </c>
      <c r="M99" s="24"/>
      <c r="N99" t="s">
        <v>232</v>
      </c>
    </row>
    <row r="100" spans="1:48" ht="30" customHeight="1">
      <c r="A100" s="32" t="s">
        <v>121</v>
      </c>
      <c r="B100" s="32" t="s">
        <v>10</v>
      </c>
      <c r="C100" s="24"/>
      <c r="D100" s="24"/>
      <c r="E100" s="9"/>
      <c r="F100" s="9"/>
      <c r="G100" s="9"/>
      <c r="H100" s="9"/>
      <c r="I100" s="9"/>
      <c r="J100" s="9"/>
      <c r="K100" s="9"/>
      <c r="L100" s="9"/>
      <c r="M100" s="24"/>
      <c r="N100" s="26"/>
      <c r="O100" s="26"/>
      <c r="P100" s="26"/>
      <c r="Q100" s="25" t="s">
        <v>122</v>
      </c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</row>
    <row r="101" spans="1:48" ht="30" customHeight="1">
      <c r="A101" s="32" t="s">
        <v>256</v>
      </c>
      <c r="B101" s="32" t="s">
        <v>257</v>
      </c>
      <c r="C101" s="32" t="s">
        <v>258</v>
      </c>
      <c r="D101" s="24">
        <v>183.18</v>
      </c>
      <c r="E101" s="9">
        <f>TRUNC([1]단가대비표!O10,0)</f>
        <v>3200</v>
      </c>
      <c r="F101" s="9">
        <f>TRUNC(E101*D101, 0)</f>
        <v>586176</v>
      </c>
      <c r="G101" s="9">
        <f>TRUNC([1]단가대비표!P10,0)</f>
        <v>0</v>
      </c>
      <c r="H101" s="9">
        <f>TRUNC(G101*D101, 0)</f>
        <v>0</v>
      </c>
      <c r="I101" s="9">
        <f>TRUNC([1]단가대비표!V10,0)</f>
        <v>0</v>
      </c>
      <c r="J101" s="9">
        <f>TRUNC(I101*D101, 0)</f>
        <v>0</v>
      </c>
      <c r="K101" s="9">
        <f>TRUNC(E101+G101+I101, 0)</f>
        <v>3200</v>
      </c>
      <c r="L101" s="9">
        <f>TRUNC(F101+H101+J101, 0)</f>
        <v>586176</v>
      </c>
      <c r="M101" s="32" t="s">
        <v>259</v>
      </c>
      <c r="N101" s="25" t="s">
        <v>260</v>
      </c>
      <c r="O101" s="25" t="s">
        <v>10</v>
      </c>
      <c r="P101" s="25" t="s">
        <v>10</v>
      </c>
      <c r="Q101" s="25" t="s">
        <v>122</v>
      </c>
      <c r="R101" s="25" t="s">
        <v>161</v>
      </c>
      <c r="S101" s="25" t="s">
        <v>161</v>
      </c>
      <c r="T101" s="25" t="s">
        <v>160</v>
      </c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5" t="s">
        <v>10</v>
      </c>
      <c r="AS101" s="25" t="s">
        <v>10</v>
      </c>
      <c r="AT101" s="26"/>
      <c r="AU101" s="25" t="s">
        <v>261</v>
      </c>
      <c r="AV101" s="26">
        <v>28</v>
      </c>
    </row>
    <row r="102" spans="1:48" ht="30" customHeight="1">
      <c r="A102" s="32" t="s">
        <v>262</v>
      </c>
      <c r="B102" s="32" t="s">
        <v>263</v>
      </c>
      <c r="C102" s="32" t="s">
        <v>258</v>
      </c>
      <c r="D102" s="24">
        <v>81.569999999999993</v>
      </c>
      <c r="E102" s="9">
        <f>TRUNC([1]단가대비표!O9,0)</f>
        <v>2000</v>
      </c>
      <c r="F102" s="9">
        <f>TRUNC(E102*D102, 0)</f>
        <v>163140</v>
      </c>
      <c r="G102" s="9">
        <f>TRUNC([1]단가대비표!P9,0)</f>
        <v>0</v>
      </c>
      <c r="H102" s="9">
        <f>TRUNC(G102*D102, 0)</f>
        <v>0</v>
      </c>
      <c r="I102" s="9">
        <f>TRUNC([1]단가대비표!V9,0)</f>
        <v>0</v>
      </c>
      <c r="J102" s="9">
        <f>TRUNC(I102*D102, 0)</f>
        <v>0</v>
      </c>
      <c r="K102" s="9">
        <f>TRUNC(E102+G102+I102, 0)</f>
        <v>2000</v>
      </c>
      <c r="L102" s="9">
        <f>TRUNC(F102+H102+J102, 0)</f>
        <v>163140</v>
      </c>
      <c r="M102" s="32" t="s">
        <v>259</v>
      </c>
      <c r="N102" s="25" t="s">
        <v>264</v>
      </c>
      <c r="O102" s="25" t="s">
        <v>10</v>
      </c>
      <c r="P102" s="25" t="s">
        <v>10</v>
      </c>
      <c r="Q102" s="25" t="s">
        <v>122</v>
      </c>
      <c r="R102" s="25" t="s">
        <v>161</v>
      </c>
      <c r="S102" s="25" t="s">
        <v>161</v>
      </c>
      <c r="T102" s="25" t="s">
        <v>160</v>
      </c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5" t="s">
        <v>10</v>
      </c>
      <c r="AS102" s="25" t="s">
        <v>10</v>
      </c>
      <c r="AT102" s="26"/>
      <c r="AU102" s="25" t="s">
        <v>265</v>
      </c>
      <c r="AV102" s="26">
        <v>29</v>
      </c>
    </row>
    <row r="103" spans="1:48" ht="30" customHeight="1">
      <c r="A103" s="24"/>
      <c r="B103" s="24"/>
      <c r="C103" s="24"/>
      <c r="D103" s="24"/>
      <c r="E103" s="9"/>
      <c r="F103" s="9"/>
      <c r="G103" s="9"/>
      <c r="H103" s="9"/>
      <c r="I103" s="9"/>
      <c r="J103" s="9"/>
      <c r="K103" s="9"/>
      <c r="L103" s="9"/>
      <c r="M103" s="24"/>
      <c r="Q103" s="7" t="s">
        <v>122</v>
      </c>
    </row>
    <row r="104" spans="1:48" ht="30" customHeight="1">
      <c r="A104" s="24"/>
      <c r="B104" s="24"/>
      <c r="C104" s="24"/>
      <c r="D104" s="24"/>
      <c r="E104" s="9"/>
      <c r="F104" s="9"/>
      <c r="G104" s="9"/>
      <c r="H104" s="9"/>
      <c r="I104" s="9"/>
      <c r="J104" s="9"/>
      <c r="K104" s="9"/>
      <c r="L104" s="9"/>
      <c r="M104" s="24"/>
      <c r="Q104" s="7" t="s">
        <v>122</v>
      </c>
    </row>
    <row r="105" spans="1:48" ht="30" customHeight="1">
      <c r="A105" s="24"/>
      <c r="B105" s="24"/>
      <c r="C105" s="24"/>
      <c r="D105" s="24"/>
      <c r="E105" s="9"/>
      <c r="F105" s="9"/>
      <c r="G105" s="9"/>
      <c r="H105" s="9"/>
      <c r="I105" s="9"/>
      <c r="J105" s="9"/>
      <c r="K105" s="9"/>
      <c r="L105" s="9"/>
      <c r="M105" s="24"/>
      <c r="Q105" s="7" t="s">
        <v>122</v>
      </c>
    </row>
    <row r="106" spans="1:48" ht="30" customHeight="1">
      <c r="A106" s="24"/>
      <c r="B106" s="24"/>
      <c r="C106" s="24"/>
      <c r="D106" s="24"/>
      <c r="E106" s="9"/>
      <c r="F106" s="9"/>
      <c r="G106" s="9"/>
      <c r="H106" s="9"/>
      <c r="I106" s="9"/>
      <c r="J106" s="9"/>
      <c r="K106" s="9"/>
      <c r="L106" s="9"/>
      <c r="M106" s="24"/>
      <c r="Q106" s="7" t="s">
        <v>122</v>
      </c>
    </row>
    <row r="107" spans="1:48" ht="30" customHeight="1">
      <c r="A107" s="24"/>
      <c r="B107" s="24"/>
      <c r="C107" s="24"/>
      <c r="D107" s="24"/>
      <c r="E107" s="9"/>
      <c r="F107" s="9"/>
      <c r="G107" s="9"/>
      <c r="H107" s="9"/>
      <c r="I107" s="9"/>
      <c r="J107" s="9"/>
      <c r="K107" s="9"/>
      <c r="L107" s="9"/>
      <c r="M107" s="24"/>
      <c r="Q107" s="7" t="s">
        <v>122</v>
      </c>
    </row>
    <row r="108" spans="1:48" ht="30" customHeight="1">
      <c r="A108" s="24"/>
      <c r="B108" s="24"/>
      <c r="C108" s="24"/>
      <c r="D108" s="24"/>
      <c r="E108" s="9"/>
      <c r="F108" s="9"/>
      <c r="G108" s="9"/>
      <c r="H108" s="9"/>
      <c r="I108" s="9"/>
      <c r="J108" s="9"/>
      <c r="K108" s="9"/>
      <c r="L108" s="9"/>
      <c r="M108" s="24"/>
      <c r="Q108" s="7" t="s">
        <v>122</v>
      </c>
    </row>
    <row r="109" spans="1:48" ht="30" customHeight="1">
      <c r="A109" s="24"/>
      <c r="B109" s="24"/>
      <c r="C109" s="24"/>
      <c r="D109" s="24"/>
      <c r="E109" s="9"/>
      <c r="F109" s="9"/>
      <c r="G109" s="9"/>
      <c r="H109" s="9"/>
      <c r="I109" s="9"/>
      <c r="J109" s="9"/>
      <c r="K109" s="9"/>
      <c r="L109" s="9"/>
      <c r="M109" s="24"/>
      <c r="Q109" s="7" t="s">
        <v>122</v>
      </c>
    </row>
    <row r="110" spans="1:48" ht="30" customHeight="1">
      <c r="A110" s="24"/>
      <c r="B110" s="24"/>
      <c r="C110" s="24"/>
      <c r="D110" s="24"/>
      <c r="E110" s="9"/>
      <c r="F110" s="9"/>
      <c r="G110" s="9"/>
      <c r="H110" s="9"/>
      <c r="I110" s="9"/>
      <c r="J110" s="9"/>
      <c r="K110" s="9"/>
      <c r="L110" s="9"/>
      <c r="M110" s="24"/>
      <c r="Q110" s="7" t="s">
        <v>122</v>
      </c>
    </row>
    <row r="111" spans="1:48" ht="30" customHeight="1">
      <c r="A111" s="24"/>
      <c r="B111" s="24"/>
      <c r="C111" s="24"/>
      <c r="D111" s="24"/>
      <c r="E111" s="9"/>
      <c r="F111" s="9"/>
      <c r="G111" s="9"/>
      <c r="H111" s="9"/>
      <c r="I111" s="9"/>
      <c r="J111" s="9"/>
      <c r="K111" s="9"/>
      <c r="L111" s="9"/>
      <c r="M111" s="24"/>
      <c r="Q111" s="7" t="s">
        <v>122</v>
      </c>
    </row>
    <row r="112" spans="1:48" ht="30" customHeight="1">
      <c r="A112" s="24"/>
      <c r="B112" s="24"/>
      <c r="C112" s="24"/>
      <c r="D112" s="24"/>
      <c r="E112" s="9"/>
      <c r="F112" s="9"/>
      <c r="G112" s="9"/>
      <c r="H112" s="9"/>
      <c r="I112" s="9"/>
      <c r="J112" s="9"/>
      <c r="K112" s="9"/>
      <c r="L112" s="9"/>
      <c r="M112" s="24"/>
      <c r="Q112" s="7" t="s">
        <v>122</v>
      </c>
    </row>
    <row r="113" spans="1:17" ht="30" customHeight="1">
      <c r="A113" s="24"/>
      <c r="B113" s="24"/>
      <c r="C113" s="24"/>
      <c r="D113" s="24"/>
      <c r="E113" s="9"/>
      <c r="F113" s="9"/>
      <c r="G113" s="9"/>
      <c r="H113" s="9"/>
      <c r="I113" s="9"/>
      <c r="J113" s="9"/>
      <c r="K113" s="9"/>
      <c r="L113" s="9"/>
      <c r="M113" s="24"/>
      <c r="Q113" s="7" t="s">
        <v>122</v>
      </c>
    </row>
    <row r="114" spans="1:17" ht="30" customHeight="1">
      <c r="A114" s="24"/>
      <c r="B114" s="24"/>
      <c r="C114" s="24"/>
      <c r="D114" s="24"/>
      <c r="E114" s="9"/>
      <c r="F114" s="9"/>
      <c r="G114" s="9"/>
      <c r="H114" s="9"/>
      <c r="I114" s="9"/>
      <c r="J114" s="9"/>
      <c r="K114" s="9"/>
      <c r="L114" s="9"/>
      <c r="M114" s="24"/>
      <c r="Q114" s="7" t="s">
        <v>122</v>
      </c>
    </row>
    <row r="115" spans="1:17" ht="30" customHeight="1">
      <c r="A115" s="24"/>
      <c r="B115" s="24"/>
      <c r="C115" s="24"/>
      <c r="D115" s="24"/>
      <c r="E115" s="9"/>
      <c r="F115" s="9"/>
      <c r="G115" s="9"/>
      <c r="H115" s="9"/>
      <c r="I115" s="9"/>
      <c r="J115" s="9"/>
      <c r="K115" s="9"/>
      <c r="L115" s="9"/>
      <c r="M115" s="24"/>
      <c r="Q115" s="7" t="s">
        <v>122</v>
      </c>
    </row>
    <row r="116" spans="1:17" ht="30" customHeight="1">
      <c r="A116" s="24"/>
      <c r="B116" s="24"/>
      <c r="C116" s="24"/>
      <c r="D116" s="24"/>
      <c r="E116" s="9"/>
      <c r="F116" s="9"/>
      <c r="G116" s="9"/>
      <c r="H116" s="9"/>
      <c r="I116" s="9"/>
      <c r="J116" s="9"/>
      <c r="K116" s="9"/>
      <c r="L116" s="9"/>
      <c r="M116" s="24"/>
      <c r="Q116" s="7" t="s">
        <v>122</v>
      </c>
    </row>
    <row r="117" spans="1:17" ht="30" customHeight="1">
      <c r="A117" s="24"/>
      <c r="B117" s="24"/>
      <c r="C117" s="24"/>
      <c r="D117" s="24"/>
      <c r="E117" s="9"/>
      <c r="F117" s="9"/>
      <c r="G117" s="9"/>
      <c r="H117" s="9"/>
      <c r="I117" s="9"/>
      <c r="J117" s="9"/>
      <c r="K117" s="9"/>
      <c r="L117" s="9"/>
      <c r="M117" s="24"/>
      <c r="Q117" s="7" t="s">
        <v>122</v>
      </c>
    </row>
    <row r="118" spans="1:17" ht="30" customHeight="1">
      <c r="A118" s="24"/>
      <c r="B118" s="24"/>
      <c r="C118" s="24"/>
      <c r="D118" s="24"/>
      <c r="E118" s="9"/>
      <c r="F118" s="9"/>
      <c r="G118" s="9"/>
      <c r="H118" s="9"/>
      <c r="I118" s="9"/>
      <c r="J118" s="9"/>
      <c r="K118" s="9"/>
      <c r="L118" s="9"/>
      <c r="M118" s="24"/>
      <c r="Q118" s="7" t="s">
        <v>122</v>
      </c>
    </row>
    <row r="119" spans="1:17" ht="30" customHeight="1">
      <c r="A119" s="24"/>
      <c r="B119" s="24"/>
      <c r="C119" s="24"/>
      <c r="D119" s="24"/>
      <c r="E119" s="9"/>
      <c r="F119" s="9"/>
      <c r="G119" s="9"/>
      <c r="H119" s="9"/>
      <c r="I119" s="9"/>
      <c r="J119" s="9"/>
      <c r="K119" s="9"/>
      <c r="L119" s="9"/>
      <c r="M119" s="24"/>
      <c r="Q119" s="7" t="s">
        <v>122</v>
      </c>
    </row>
    <row r="120" spans="1:17" ht="30" customHeight="1">
      <c r="A120" s="24"/>
      <c r="B120" s="24"/>
      <c r="C120" s="24"/>
      <c r="D120" s="24"/>
      <c r="E120" s="9"/>
      <c r="F120" s="9"/>
      <c r="G120" s="9"/>
      <c r="H120" s="9"/>
      <c r="I120" s="9"/>
      <c r="J120" s="9"/>
      <c r="K120" s="9"/>
      <c r="L120" s="9"/>
      <c r="M120" s="24"/>
      <c r="Q120" s="7" t="s">
        <v>122</v>
      </c>
    </row>
    <row r="121" spans="1:17" ht="30" customHeight="1">
      <c r="A121" s="24"/>
      <c r="B121" s="24"/>
      <c r="C121" s="24"/>
      <c r="D121" s="24"/>
      <c r="E121" s="9"/>
      <c r="F121" s="9"/>
      <c r="G121" s="9"/>
      <c r="H121" s="9"/>
      <c r="I121" s="9"/>
      <c r="J121" s="9"/>
      <c r="K121" s="9"/>
      <c r="L121" s="9"/>
      <c r="M121" s="24"/>
      <c r="Q121" s="7" t="s">
        <v>122</v>
      </c>
    </row>
    <row r="122" spans="1:17" ht="30" customHeight="1">
      <c r="A122" s="24"/>
      <c r="B122" s="24"/>
      <c r="C122" s="24"/>
      <c r="D122" s="24"/>
      <c r="E122" s="9"/>
      <c r="F122" s="9"/>
      <c r="G122" s="9"/>
      <c r="H122" s="9"/>
      <c r="I122" s="9"/>
      <c r="J122" s="9"/>
      <c r="K122" s="9"/>
      <c r="L122" s="9"/>
      <c r="M122" s="24"/>
      <c r="Q122" s="7" t="s">
        <v>122</v>
      </c>
    </row>
    <row r="123" spans="1:17" ht="30" customHeight="1">
      <c r="A123" s="32" t="s">
        <v>124</v>
      </c>
      <c r="B123" s="24"/>
      <c r="C123" s="24"/>
      <c r="D123" s="24"/>
      <c r="E123" s="9"/>
      <c r="F123" s="9">
        <f>SUMIF(Q101:Q122,"0105",F101:F122)</f>
        <v>749316</v>
      </c>
      <c r="G123" s="9"/>
      <c r="H123" s="9">
        <f>SUMIF(Q101:Q122,"0105",H101:H122)</f>
        <v>0</v>
      </c>
      <c r="I123" s="9"/>
      <c r="J123" s="9">
        <f>SUMIF(Q101:Q122,"0105",J101:J122)</f>
        <v>0</v>
      </c>
      <c r="K123" s="9"/>
      <c r="L123" s="9">
        <f>SUMIF(Q101:Q122,"0105",L101:L122)</f>
        <v>749316</v>
      </c>
      <c r="M123" s="24"/>
      <c r="N123" t="s">
        <v>232</v>
      </c>
    </row>
  </sheetData>
  <mergeCells count="44">
    <mergeCell ref="AU2:AU3"/>
    <mergeCell ref="AV2:AV3"/>
    <mergeCell ref="AO2:AO3"/>
    <mergeCell ref="AP2:AP3"/>
    <mergeCell ref="AQ2:AQ3"/>
    <mergeCell ref="AR2:AR3"/>
    <mergeCell ref="AS2:AS3"/>
    <mergeCell ref="AT2:AT3"/>
    <mergeCell ref="AI2:AI3"/>
    <mergeCell ref="AJ2:AJ3"/>
    <mergeCell ref="AK2:AK3"/>
    <mergeCell ref="AL2:AL3"/>
    <mergeCell ref="AM2:AM3"/>
    <mergeCell ref="AN2:AN3"/>
    <mergeCell ref="AC2:AC3"/>
    <mergeCell ref="AD2:AD3"/>
    <mergeCell ref="AE2:AE3"/>
    <mergeCell ref="AF2:AF3"/>
    <mergeCell ref="AG2:AG3"/>
    <mergeCell ref="AH2:AH3"/>
    <mergeCell ref="W2:W3"/>
    <mergeCell ref="X2:X3"/>
    <mergeCell ref="Y2:Y3"/>
    <mergeCell ref="Z2:Z3"/>
    <mergeCell ref="AA2:AA3"/>
    <mergeCell ref="AB2:AB3"/>
    <mergeCell ref="Q2:Q3"/>
    <mergeCell ref="R2:R3"/>
    <mergeCell ref="S2:S3"/>
    <mergeCell ref="T2:T3"/>
    <mergeCell ref="U2:U3"/>
    <mergeCell ref="V2:V3"/>
    <mergeCell ref="I2:J2"/>
    <mergeCell ref="K2:L2"/>
    <mergeCell ref="M2:M3"/>
    <mergeCell ref="N2:N3"/>
    <mergeCell ref="O2:O3"/>
    <mergeCell ref="P2:P3"/>
    <mergeCell ref="A2:A3"/>
    <mergeCell ref="B2:B3"/>
    <mergeCell ref="C2:C3"/>
    <mergeCell ref="D2:D3"/>
    <mergeCell ref="E2:F2"/>
    <mergeCell ref="G2:H2"/>
  </mergeCells>
  <phoneticPr fontId="1" type="noConversion"/>
  <pageMargins left="0.59055118110236227" right="0.59055118110236227" top="0.39370078740157483" bottom="0.39370078740157483" header="0" footer="0"/>
  <pageSetup paperSize="9" scale="62" fitToHeight="0" orientation="landscape" r:id="rId1"/>
  <rowBreaks count="5" manualBreakCount="5">
    <brk id="27" max="16383" man="1"/>
    <brk id="51" max="16383" man="1"/>
    <brk id="75" max="16383" man="1"/>
    <brk id="99" max="16383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5</vt:i4>
      </vt:variant>
    </vt:vector>
  </HeadingPairs>
  <TitlesOfParts>
    <vt:vector size="8" baseType="lpstr">
      <vt:lpstr>원가계산서</vt:lpstr>
      <vt:lpstr>공종별집계표</vt:lpstr>
      <vt:lpstr>공종별내역서</vt:lpstr>
      <vt:lpstr>공종별내역서!Print_Area</vt:lpstr>
      <vt:lpstr>공종별집계표!Print_Area</vt:lpstr>
      <vt:lpstr>공종별내역서!Print_Titles</vt:lpstr>
      <vt:lpstr>공종별집계표!Print_Titles</vt:lpstr>
      <vt:lpstr>원가계산서!Print_Titles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KORAIL</dc:creator>
  <cp:lastModifiedBy>KORAIL</cp:lastModifiedBy>
  <dcterms:created xsi:type="dcterms:W3CDTF">2026-09-07T04:03:01Z</dcterms:created>
  <dcterms:modified xsi:type="dcterms:W3CDTF">2026-09-07T04:03:14Z</dcterms:modified>
</cp:coreProperties>
</file>