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강은지\01빈집관련\0빈집정비지원사업\2026\철거후공공활용\3.철거및조성\"/>
    </mc:Choice>
  </mc:AlternateContent>
  <xr:revisionPtr revIDLastSave="0" documentId="8_{007F7E75-5765-468A-BA0C-725074DA5171}" xr6:coauthVersionLast="47" xr6:coauthVersionMax="47" xr10:uidLastSave="{00000000-0000-0000-0000-000000000000}"/>
  <bookViews>
    <workbookView xWindow="28680" yWindow="750" windowWidth="19440" windowHeight="14880" xr2:uid="{DA0C1C8F-E4B8-4B8E-852A-A916396B93DD}"/>
  </bookViews>
  <sheets>
    <sheet name="원가계산서" sheetId="11" r:id="rId1"/>
    <sheet name="집계표" sheetId="10" r:id="rId2"/>
    <sheet name="내역서" sheetId="9" r:id="rId3"/>
    <sheet name="일위대가목록" sheetId="8" r:id="rId4"/>
    <sheet name="일위대가표" sheetId="7" r:id="rId5"/>
    <sheet name="단가산출서목록" sheetId="6" r:id="rId6"/>
    <sheet name="단가산출서" sheetId="5" r:id="rId7"/>
    <sheet name="중기경비목록" sheetId="4" r:id="rId8"/>
    <sheet name="중기경비" sheetId="3" r:id="rId9"/>
    <sheet name="단가대비표" sheetId="2" r:id="rId10"/>
    <sheet name="Sheet1" sheetId="1" r:id="rId11"/>
  </sheets>
  <definedNames>
    <definedName name="_xlnm.Print_Area" localSheetId="2">내역서!$A$1:$M$52</definedName>
    <definedName name="_xlnm.Print_Area" localSheetId="9">단가대비표!$A$1:$P$36</definedName>
    <definedName name="_xlnm.Print_Area" localSheetId="6">단가산출서!$A$1:$F$52</definedName>
    <definedName name="_xlnm.Print_Area" localSheetId="5">단가산출서목록!$A$1:$N$20</definedName>
    <definedName name="_xlnm.Print_Area" localSheetId="0">원가계산서!$A$1:$F$41</definedName>
    <definedName name="_xlnm.Print_Area" localSheetId="3">일위대가목록!$A$1:$N$20</definedName>
    <definedName name="_xlnm.Print_Area" localSheetId="4">일위대가표!$A$1:$M$36</definedName>
    <definedName name="_xlnm.Print_Area" localSheetId="8">중기경비!$A$1:$M$52</definedName>
    <definedName name="_xlnm.Print_Area" localSheetId="7">중기경비목록!$A$1:$N$20</definedName>
    <definedName name="_xlnm.Print_Area" localSheetId="1">집계표!$A$1:$L$52</definedName>
    <definedName name="_xlnm.Print_Titles" localSheetId="2">내역서!$1:$4</definedName>
    <definedName name="_xlnm.Print_Titles" localSheetId="9">단가대비표!$1:$4</definedName>
    <definedName name="_xlnm.Print_Titles" localSheetId="6">단가산출서!$1:$4</definedName>
    <definedName name="_xlnm.Print_Titles" localSheetId="5">단가산출서목록!$1:$4</definedName>
    <definedName name="_xlnm.Print_Titles" localSheetId="0">원가계산서!$1:$4</definedName>
    <definedName name="_xlnm.Print_Titles" localSheetId="3">일위대가목록!$1:$4</definedName>
    <definedName name="_xlnm.Print_Titles" localSheetId="4">일위대가표!$1:$4</definedName>
    <definedName name="_xlnm.Print_Titles" localSheetId="8">중기경비!$1:$4</definedName>
    <definedName name="_xlnm.Print_Titles" localSheetId="7">중기경비목록!$1:$4</definedName>
    <definedName name="_xlnm.Print_Titles" localSheetId="1">집계표!$1:$4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2" i="9" l="1"/>
  <c r="D35" i="11"/>
  <c r="D31" i="11"/>
  <c r="D28" i="11"/>
  <c r="D27" i="11"/>
  <c r="D24" i="11"/>
  <c r="D23" i="11"/>
  <c r="D22" i="11"/>
  <c r="D21" i="11"/>
  <c r="D20" i="11"/>
  <c r="D19" i="11"/>
  <c r="D14" i="11"/>
  <c r="D13" i="11"/>
  <c r="D10" i="11"/>
  <c r="AV52" i="10"/>
  <c r="AW52" i="10"/>
  <c r="AX52" i="10"/>
  <c r="S38" i="10"/>
  <c r="S52" i="10" s="1"/>
  <c r="S6" i="10" s="1"/>
  <c r="AC38" i="10"/>
  <c r="AC52" i="10" s="1"/>
  <c r="AC6" i="10" s="1"/>
  <c r="AC20" i="10" s="1"/>
  <c r="AS38" i="10"/>
  <c r="AS52" i="10" s="1"/>
  <c r="AS6" i="10" s="1"/>
  <c r="AS20" i="10" s="1"/>
  <c r="AU38" i="10"/>
  <c r="AU52" i="10" s="1"/>
  <c r="AU6" i="10" s="1"/>
  <c r="AG36" i="10"/>
  <c r="AG5" i="10" s="1"/>
  <c r="AV36" i="10"/>
  <c r="AW36" i="10"/>
  <c r="AX36" i="10"/>
  <c r="Z23" i="10"/>
  <c r="Z36" i="10" s="1"/>
  <c r="Z5" i="10" s="1"/>
  <c r="AU23" i="10"/>
  <c r="AH22" i="10"/>
  <c r="AH36" i="10" s="1"/>
  <c r="AH5" i="10" s="1"/>
  <c r="AP22" i="10"/>
  <c r="AV20" i="10"/>
  <c r="AW20" i="10"/>
  <c r="AX20" i="10"/>
  <c r="AC5" i="10"/>
  <c r="V52" i="9"/>
  <c r="U38" i="10" s="1"/>
  <c r="U52" i="10" s="1"/>
  <c r="U6" i="10" s="1"/>
  <c r="X52" i="9"/>
  <c r="W38" i="10" s="1"/>
  <c r="W52" i="10" s="1"/>
  <c r="W6" i="10" s="1"/>
  <c r="AF52" i="9"/>
  <c r="AE38" i="10" s="1"/>
  <c r="AE52" i="10" s="1"/>
  <c r="AE6" i="10" s="1"/>
  <c r="AH52" i="9"/>
  <c r="AG38" i="10" s="1"/>
  <c r="AG52" i="10" s="1"/>
  <c r="AG6" i="10" s="1"/>
  <c r="AL52" i="9"/>
  <c r="AK38" i="10" s="1"/>
  <c r="AK52" i="10" s="1"/>
  <c r="AK6" i="10" s="1"/>
  <c r="AP52" i="9"/>
  <c r="AO38" i="10" s="1"/>
  <c r="AO52" i="10" s="1"/>
  <c r="AO6" i="10" s="1"/>
  <c r="AV52" i="9"/>
  <c r="AW52" i="9"/>
  <c r="AX52" i="9"/>
  <c r="AY52" i="9"/>
  <c r="O41" i="9"/>
  <c r="S41" i="9"/>
  <c r="T41" i="9"/>
  <c r="U41" i="9"/>
  <c r="V41" i="9"/>
  <c r="W41" i="9"/>
  <c r="X41" i="9"/>
  <c r="Y41" i="9"/>
  <c r="Z41" i="9"/>
  <c r="AA41" i="9"/>
  <c r="AB41" i="9"/>
  <c r="AC41" i="9"/>
  <c r="AD41" i="9"/>
  <c r="AE41" i="9"/>
  <c r="AF41" i="9"/>
  <c r="AG41" i="9"/>
  <c r="AH41" i="9"/>
  <c r="AI41" i="9"/>
  <c r="AJ41" i="9"/>
  <c r="AK41" i="9"/>
  <c r="AL41" i="9"/>
  <c r="AM41" i="9"/>
  <c r="AN41" i="9"/>
  <c r="AO41" i="9"/>
  <c r="AP41" i="9"/>
  <c r="AQ41" i="9"/>
  <c r="AR41" i="9"/>
  <c r="AS41" i="9"/>
  <c r="AT41" i="9"/>
  <c r="AU41" i="9"/>
  <c r="O40" i="9"/>
  <c r="S40" i="9"/>
  <c r="T40" i="9"/>
  <c r="U40" i="9"/>
  <c r="V40" i="9"/>
  <c r="W40" i="9"/>
  <c r="X40" i="9"/>
  <c r="Y40" i="9"/>
  <c r="Z40" i="9"/>
  <c r="AA40" i="9"/>
  <c r="AB40" i="9"/>
  <c r="AC40" i="9"/>
  <c r="AD40" i="9"/>
  <c r="AE40" i="9"/>
  <c r="AF40" i="9"/>
  <c r="AG40" i="9"/>
  <c r="AH40" i="9"/>
  <c r="AI40" i="9"/>
  <c r="AJ40" i="9"/>
  <c r="AK40" i="9"/>
  <c r="AL40" i="9"/>
  <c r="AM40" i="9"/>
  <c r="AN40" i="9"/>
  <c r="AO40" i="9"/>
  <c r="AP40" i="9"/>
  <c r="AQ40" i="9"/>
  <c r="AR40" i="9"/>
  <c r="AS40" i="9"/>
  <c r="AT40" i="9"/>
  <c r="AU40" i="9"/>
  <c r="O39" i="9"/>
  <c r="S39" i="9"/>
  <c r="T39" i="9"/>
  <c r="T52" i="9" s="1"/>
  <c r="U39" i="9"/>
  <c r="V39" i="9"/>
  <c r="W39" i="9"/>
  <c r="X39" i="9"/>
  <c r="Y39" i="9"/>
  <c r="Z39" i="9"/>
  <c r="AA39" i="9"/>
  <c r="AB39" i="9"/>
  <c r="AB52" i="9" s="1"/>
  <c r="AA38" i="10" s="1"/>
  <c r="AA52" i="10" s="1"/>
  <c r="AA6" i="10" s="1"/>
  <c r="AC39" i="9"/>
  <c r="AD39" i="9"/>
  <c r="AE39" i="9"/>
  <c r="AF39" i="9"/>
  <c r="AG39" i="9"/>
  <c r="AH39" i="9"/>
  <c r="AI39" i="9"/>
  <c r="AJ39" i="9"/>
  <c r="AJ52" i="9" s="1"/>
  <c r="AI38" i="10" s="1"/>
  <c r="AI52" i="10" s="1"/>
  <c r="AI6" i="10" s="1"/>
  <c r="AK39" i="9"/>
  <c r="AL39" i="9"/>
  <c r="AM39" i="9"/>
  <c r="AN39" i="9"/>
  <c r="AN52" i="9" s="1"/>
  <c r="AM38" i="10" s="1"/>
  <c r="AM52" i="10" s="1"/>
  <c r="AM6" i="10" s="1"/>
  <c r="AO39" i="9"/>
  <c r="AP39" i="9"/>
  <c r="AQ39" i="9"/>
  <c r="AR39" i="9"/>
  <c r="AR52" i="9" s="1"/>
  <c r="AQ38" i="10" s="1"/>
  <c r="AQ52" i="10" s="1"/>
  <c r="AQ6" i="10" s="1"/>
  <c r="AS39" i="9"/>
  <c r="AT39" i="9"/>
  <c r="AU39" i="9"/>
  <c r="O38" i="9"/>
  <c r="S38" i="9"/>
  <c r="T38" i="9"/>
  <c r="U38" i="9"/>
  <c r="U52" i="9" s="1"/>
  <c r="T38" i="10" s="1"/>
  <c r="T52" i="10" s="1"/>
  <c r="T6" i="10" s="1"/>
  <c r="V38" i="9"/>
  <c r="W38" i="9"/>
  <c r="X38" i="9"/>
  <c r="Y38" i="9"/>
  <c r="Y52" i="9" s="1"/>
  <c r="X38" i="10" s="1"/>
  <c r="X52" i="10" s="1"/>
  <c r="X6" i="10" s="1"/>
  <c r="Z38" i="9"/>
  <c r="Z52" i="9" s="1"/>
  <c r="Y38" i="10" s="1"/>
  <c r="Y52" i="10" s="1"/>
  <c r="Y6" i="10" s="1"/>
  <c r="AA38" i="9"/>
  <c r="AB38" i="9"/>
  <c r="AC38" i="9"/>
  <c r="AC52" i="9" s="1"/>
  <c r="AB38" i="10" s="1"/>
  <c r="AB52" i="10" s="1"/>
  <c r="AB6" i="10" s="1"/>
  <c r="AD38" i="9"/>
  <c r="AD52" i="9" s="1"/>
  <c r="AE38" i="9"/>
  <c r="AF38" i="9"/>
  <c r="AG38" i="9"/>
  <c r="AG52" i="9" s="1"/>
  <c r="AF38" i="10" s="1"/>
  <c r="AF52" i="10" s="1"/>
  <c r="AF6" i="10" s="1"/>
  <c r="AH38" i="9"/>
  <c r="AI38" i="9"/>
  <c r="AJ38" i="9"/>
  <c r="AK38" i="9"/>
  <c r="AK52" i="9" s="1"/>
  <c r="AJ38" i="10" s="1"/>
  <c r="AJ52" i="10" s="1"/>
  <c r="AJ6" i="10" s="1"/>
  <c r="AL38" i="9"/>
  <c r="AM38" i="9"/>
  <c r="AN38" i="9"/>
  <c r="AO38" i="9"/>
  <c r="AO52" i="9" s="1"/>
  <c r="AN38" i="10" s="1"/>
  <c r="AN52" i="10" s="1"/>
  <c r="AN6" i="10" s="1"/>
  <c r="AP38" i="9"/>
  <c r="AQ38" i="9"/>
  <c r="AR38" i="9"/>
  <c r="AS38" i="9"/>
  <c r="AS52" i="9" s="1"/>
  <c r="AR38" i="10" s="1"/>
  <c r="AR52" i="10" s="1"/>
  <c r="AR6" i="10" s="1"/>
  <c r="AT38" i="9"/>
  <c r="AT52" i="9" s="1"/>
  <c r="AU38" i="9"/>
  <c r="V36" i="9"/>
  <c r="U23" i="10" s="1"/>
  <c r="U36" i="10" s="1"/>
  <c r="U5" i="10" s="1"/>
  <c r="AH36" i="9"/>
  <c r="AG23" i="10" s="1"/>
  <c r="AL36" i="9"/>
  <c r="AK23" i="10" s="1"/>
  <c r="AP36" i="9"/>
  <c r="AO23" i="10" s="1"/>
  <c r="AV36" i="9"/>
  <c r="AW36" i="9"/>
  <c r="AX36" i="9"/>
  <c r="AY36" i="9"/>
  <c r="O25" i="9"/>
  <c r="S25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AG25" i="9"/>
  <c r="AH25" i="9"/>
  <c r="AI25" i="9"/>
  <c r="AJ25" i="9"/>
  <c r="AK25" i="9"/>
  <c r="AL25" i="9"/>
  <c r="AM25" i="9"/>
  <c r="AN25" i="9"/>
  <c r="AO25" i="9"/>
  <c r="AP25" i="9"/>
  <c r="AQ25" i="9"/>
  <c r="AR25" i="9"/>
  <c r="AS25" i="9"/>
  <c r="AT25" i="9"/>
  <c r="AU25" i="9"/>
  <c r="O24" i="9"/>
  <c r="S24" i="9"/>
  <c r="T24" i="9"/>
  <c r="U24" i="9"/>
  <c r="U36" i="9" s="1"/>
  <c r="T23" i="10" s="1"/>
  <c r="V24" i="9"/>
  <c r="W24" i="9"/>
  <c r="X24" i="9"/>
  <c r="Y24" i="9"/>
  <c r="Z24" i="9"/>
  <c r="AA24" i="9"/>
  <c r="AB24" i="9"/>
  <c r="AC24" i="9"/>
  <c r="AC36" i="9" s="1"/>
  <c r="AB23" i="10" s="1"/>
  <c r="AD24" i="9"/>
  <c r="AE24" i="9"/>
  <c r="AF24" i="9"/>
  <c r="AG24" i="9"/>
  <c r="AH24" i="9"/>
  <c r="AI24" i="9"/>
  <c r="AJ24" i="9"/>
  <c r="AK24" i="9"/>
  <c r="AK36" i="9" s="1"/>
  <c r="AJ23" i="10" s="1"/>
  <c r="AL24" i="9"/>
  <c r="AM24" i="9"/>
  <c r="AN24" i="9"/>
  <c r="AO24" i="9"/>
  <c r="AP24" i="9"/>
  <c r="AQ24" i="9"/>
  <c r="AR24" i="9"/>
  <c r="AS24" i="9"/>
  <c r="AS36" i="9" s="1"/>
  <c r="AR23" i="10" s="1"/>
  <c r="AT24" i="9"/>
  <c r="AU24" i="9"/>
  <c r="O23" i="9"/>
  <c r="S23" i="9"/>
  <c r="T23" i="9"/>
  <c r="U23" i="9"/>
  <c r="V23" i="9"/>
  <c r="W23" i="9"/>
  <c r="X23" i="9"/>
  <c r="Y23" i="9"/>
  <c r="Z23" i="9"/>
  <c r="Z36" i="9" s="1"/>
  <c r="Y23" i="10" s="1"/>
  <c r="AA23" i="9"/>
  <c r="AB23" i="9"/>
  <c r="AC23" i="9"/>
  <c r="AD23" i="9"/>
  <c r="AE23" i="9"/>
  <c r="AF23" i="9"/>
  <c r="AG23" i="9"/>
  <c r="AH23" i="9"/>
  <c r="AI23" i="9"/>
  <c r="AJ23" i="9"/>
  <c r="AK23" i="9"/>
  <c r="AL23" i="9"/>
  <c r="AM23" i="9"/>
  <c r="AN23" i="9"/>
  <c r="AO23" i="9"/>
  <c r="AP23" i="9"/>
  <c r="AQ23" i="9"/>
  <c r="AR23" i="9"/>
  <c r="AS23" i="9"/>
  <c r="AT23" i="9"/>
  <c r="AU23" i="9"/>
  <c r="O22" i="9"/>
  <c r="S22" i="9"/>
  <c r="S36" i="9" s="1"/>
  <c r="R23" i="10" s="1"/>
  <c r="T22" i="9"/>
  <c r="T36" i="9" s="1"/>
  <c r="S23" i="10" s="1"/>
  <c r="U22" i="9"/>
  <c r="V22" i="9"/>
  <c r="W22" i="9"/>
  <c r="W36" i="9" s="1"/>
  <c r="V23" i="10" s="1"/>
  <c r="X22" i="9"/>
  <c r="X36" i="9" s="1"/>
  <c r="W23" i="10" s="1"/>
  <c r="Y22" i="9"/>
  <c r="Z22" i="9"/>
  <c r="AA22" i="9"/>
  <c r="AA36" i="9" s="1"/>
  <c r="AB22" i="9"/>
  <c r="AB36" i="9" s="1"/>
  <c r="AA23" i="10" s="1"/>
  <c r="AC22" i="9"/>
  <c r="AD22" i="9"/>
  <c r="AD36" i="9" s="1"/>
  <c r="AC23" i="10" s="1"/>
  <c r="AE22" i="9"/>
  <c r="AE36" i="9" s="1"/>
  <c r="AD23" i="10" s="1"/>
  <c r="AF22" i="9"/>
  <c r="AF36" i="9" s="1"/>
  <c r="AE23" i="10" s="1"/>
  <c r="AG22" i="9"/>
  <c r="AG36" i="9" s="1"/>
  <c r="AF23" i="10" s="1"/>
  <c r="AH22" i="9"/>
  <c r="AI22" i="9"/>
  <c r="AI36" i="9" s="1"/>
  <c r="AH23" i="10" s="1"/>
  <c r="AJ22" i="9"/>
  <c r="AJ36" i="9" s="1"/>
  <c r="AI23" i="10" s="1"/>
  <c r="AK22" i="9"/>
  <c r="AL22" i="9"/>
  <c r="AM22" i="9"/>
  <c r="AM36" i="9" s="1"/>
  <c r="AL23" i="10" s="1"/>
  <c r="AN22" i="9"/>
  <c r="AN36" i="9" s="1"/>
  <c r="AM23" i="10" s="1"/>
  <c r="AO22" i="9"/>
  <c r="AP22" i="9"/>
  <c r="AQ22" i="9"/>
  <c r="AQ36" i="9" s="1"/>
  <c r="AP23" i="10" s="1"/>
  <c r="AR22" i="9"/>
  <c r="AR36" i="9" s="1"/>
  <c r="AQ23" i="10" s="1"/>
  <c r="AS22" i="9"/>
  <c r="AT22" i="9"/>
  <c r="AT36" i="9" s="1"/>
  <c r="AS23" i="10" s="1"/>
  <c r="AU22" i="9"/>
  <c r="AU36" i="9" s="1"/>
  <c r="AT23" i="10" s="1"/>
  <c r="U20" i="9"/>
  <c r="T22" i="10" s="1"/>
  <c r="Y20" i="9"/>
  <c r="X22" i="10" s="1"/>
  <c r="Z20" i="9"/>
  <c r="Y22" i="10" s="1"/>
  <c r="AD20" i="9"/>
  <c r="AC22" i="10" s="1"/>
  <c r="AC36" i="10" s="1"/>
  <c r="AG20" i="9"/>
  <c r="AF22" i="10" s="1"/>
  <c r="AF36" i="10" s="1"/>
  <c r="AF5" i="10" s="1"/>
  <c r="AH20" i="9"/>
  <c r="AG22" i="10" s="1"/>
  <c r="AK20" i="9"/>
  <c r="AJ22" i="10" s="1"/>
  <c r="AL20" i="9"/>
  <c r="AK22" i="10" s="1"/>
  <c r="AK36" i="10" s="1"/>
  <c r="AK5" i="10" s="1"/>
  <c r="AO20" i="9"/>
  <c r="AN22" i="10" s="1"/>
  <c r="AP20" i="9"/>
  <c r="AO22" i="10" s="1"/>
  <c r="AT20" i="9"/>
  <c r="AS22" i="10" s="1"/>
  <c r="AS36" i="10" s="1"/>
  <c r="AS5" i="10" s="1"/>
  <c r="AV20" i="9"/>
  <c r="AU22" i="10" s="1"/>
  <c r="AU36" i="10" s="1"/>
  <c r="AU5" i="10" s="1"/>
  <c r="AW20" i="9"/>
  <c r="AX20" i="9"/>
  <c r="AY20" i="9"/>
  <c r="O6" i="9"/>
  <c r="S6" i="9"/>
  <c r="S20" i="9" s="1"/>
  <c r="R22" i="10" s="1"/>
  <c r="R36" i="10" s="1"/>
  <c r="R5" i="10" s="1"/>
  <c r="T6" i="9"/>
  <c r="T20" i="9" s="1"/>
  <c r="S22" i="10" s="1"/>
  <c r="U6" i="9"/>
  <c r="V6" i="9"/>
  <c r="V20" i="9" s="1"/>
  <c r="U22" i="10" s="1"/>
  <c r="W6" i="9"/>
  <c r="W20" i="9" s="1"/>
  <c r="V22" i="10" s="1"/>
  <c r="V36" i="10" s="1"/>
  <c r="V5" i="10" s="1"/>
  <c r="X6" i="9"/>
  <c r="X20" i="9" s="1"/>
  <c r="W22" i="10" s="1"/>
  <c r="Y6" i="9"/>
  <c r="Z6" i="9"/>
  <c r="AA6" i="9"/>
  <c r="AA20" i="9" s="1"/>
  <c r="Z22" i="10" s="1"/>
  <c r="AB6" i="9"/>
  <c r="AB20" i="9" s="1"/>
  <c r="AA22" i="10" s="1"/>
  <c r="AC6" i="9"/>
  <c r="AC20" i="9" s="1"/>
  <c r="AB22" i="10" s="1"/>
  <c r="AD6" i="9"/>
  <c r="AE6" i="9"/>
  <c r="AE20" i="9" s="1"/>
  <c r="AD22" i="10" s="1"/>
  <c r="AF6" i="9"/>
  <c r="AF20" i="9" s="1"/>
  <c r="AE22" i="10" s="1"/>
  <c r="AG6" i="9"/>
  <c r="AH6" i="9"/>
  <c r="AI6" i="9"/>
  <c r="AI20" i="9" s="1"/>
  <c r="AJ6" i="9"/>
  <c r="AJ20" i="9" s="1"/>
  <c r="AI22" i="10" s="1"/>
  <c r="AK6" i="9"/>
  <c r="AL6" i="9"/>
  <c r="AM6" i="9"/>
  <c r="AM20" i="9" s="1"/>
  <c r="AL22" i="10" s="1"/>
  <c r="AL36" i="10" s="1"/>
  <c r="AL5" i="10" s="1"/>
  <c r="AN6" i="9"/>
  <c r="AN20" i="9" s="1"/>
  <c r="AM22" i="10" s="1"/>
  <c r="AO6" i="9"/>
  <c r="AP6" i="9"/>
  <c r="AQ6" i="9"/>
  <c r="AQ20" i="9" s="1"/>
  <c r="AR6" i="9"/>
  <c r="AR20" i="9" s="1"/>
  <c r="AQ22" i="10" s="1"/>
  <c r="AQ36" i="10" s="1"/>
  <c r="AQ5" i="10" s="1"/>
  <c r="AQ20" i="10" s="1"/>
  <c r="AS6" i="9"/>
  <c r="AS20" i="9" s="1"/>
  <c r="AR22" i="10" s="1"/>
  <c r="AT6" i="9"/>
  <c r="AU6" i="9"/>
  <c r="AU20" i="9" s="1"/>
  <c r="AT22" i="10" s="1"/>
  <c r="J28" i="7"/>
  <c r="J7" i="8" s="1"/>
  <c r="K7" i="8" s="1"/>
  <c r="F27" i="7"/>
  <c r="J27" i="7"/>
  <c r="K27" i="7"/>
  <c r="F26" i="7"/>
  <c r="J26" i="7"/>
  <c r="H25" i="7"/>
  <c r="J25" i="7"/>
  <c r="B21" i="7"/>
  <c r="F19" i="7"/>
  <c r="J19" i="7"/>
  <c r="F18" i="7"/>
  <c r="J18" i="7"/>
  <c r="H17" i="7"/>
  <c r="J17" i="7"/>
  <c r="H16" i="7"/>
  <c r="J16" i="7"/>
  <c r="E12" i="7"/>
  <c r="F12" i="7" s="1"/>
  <c r="L12" i="7" s="1"/>
  <c r="H12" i="7"/>
  <c r="J12" i="7"/>
  <c r="E11" i="7"/>
  <c r="F11" i="7" s="1"/>
  <c r="L11" i="7" s="1"/>
  <c r="H11" i="7"/>
  <c r="J11" i="7"/>
  <c r="E10" i="7"/>
  <c r="F10" i="7" s="1"/>
  <c r="L10" i="7" s="1"/>
  <c r="H10" i="7"/>
  <c r="J10" i="7"/>
  <c r="B9" i="7"/>
  <c r="F8" i="7"/>
  <c r="J8" i="7"/>
  <c r="F7" i="7"/>
  <c r="H7" i="7"/>
  <c r="J7" i="7"/>
  <c r="H6" i="7"/>
  <c r="J6" i="7"/>
  <c r="L40" i="5"/>
  <c r="A40" i="5" s="1"/>
  <c r="A39" i="5"/>
  <c r="A38" i="5"/>
  <c r="A37" i="5"/>
  <c r="A36" i="5"/>
  <c r="A35" i="5"/>
  <c r="A34" i="5"/>
  <c r="L27" i="5"/>
  <c r="A27" i="5" s="1"/>
  <c r="A26" i="5"/>
  <c r="A25" i="5"/>
  <c r="A24" i="5"/>
  <c r="A23" i="5"/>
  <c r="A22" i="5"/>
  <c r="L12" i="5"/>
  <c r="A12" i="5" s="1"/>
  <c r="A11" i="5"/>
  <c r="A10" i="5"/>
  <c r="A9" i="5"/>
  <c r="A8" i="5"/>
  <c r="A7" i="5"/>
  <c r="F41" i="3"/>
  <c r="K41" i="3"/>
  <c r="F40" i="3"/>
  <c r="J40" i="3"/>
  <c r="J41" i="3" s="1"/>
  <c r="K40" i="3"/>
  <c r="F39" i="3"/>
  <c r="H39" i="3"/>
  <c r="J39" i="3"/>
  <c r="L39" i="3" s="1"/>
  <c r="K39" i="3"/>
  <c r="K38" i="3"/>
  <c r="B37" i="3"/>
  <c r="E36" i="3"/>
  <c r="H36" i="3"/>
  <c r="H38" i="3" s="1"/>
  <c r="J36" i="3"/>
  <c r="J38" i="3" s="1"/>
  <c r="F35" i="3"/>
  <c r="H35" i="3"/>
  <c r="L35" i="3" s="1"/>
  <c r="J35" i="3"/>
  <c r="K35" i="3"/>
  <c r="F34" i="3"/>
  <c r="K34" i="3"/>
  <c r="F33" i="3"/>
  <c r="H33" i="3"/>
  <c r="H34" i="3" s="1"/>
  <c r="F32" i="3"/>
  <c r="H32" i="3"/>
  <c r="L32" i="3" s="1"/>
  <c r="J32" i="3"/>
  <c r="K32" i="3"/>
  <c r="H28" i="3"/>
  <c r="K28" i="3"/>
  <c r="F27" i="3"/>
  <c r="F28" i="3" s="1"/>
  <c r="L28" i="3" s="1"/>
  <c r="J27" i="3"/>
  <c r="J28" i="3" s="1"/>
  <c r="K27" i="3"/>
  <c r="F26" i="3"/>
  <c r="L26" i="3" s="1"/>
  <c r="H26" i="3"/>
  <c r="J26" i="3"/>
  <c r="K26" i="3"/>
  <c r="K25" i="3"/>
  <c r="B24" i="3"/>
  <c r="E24" i="3"/>
  <c r="F24" i="3" s="1"/>
  <c r="L24" i="3" s="1"/>
  <c r="H23" i="3"/>
  <c r="H25" i="3" s="1"/>
  <c r="J23" i="3"/>
  <c r="J25" i="3" s="1"/>
  <c r="F22" i="3"/>
  <c r="H22" i="3"/>
  <c r="L22" i="3" s="1"/>
  <c r="J22" i="3"/>
  <c r="K22" i="3"/>
  <c r="H21" i="3"/>
  <c r="K21" i="3"/>
  <c r="F20" i="3"/>
  <c r="H20" i="3"/>
  <c r="H29" i="3" s="1"/>
  <c r="H6" i="4" s="1"/>
  <c r="F19" i="3"/>
  <c r="H19" i="3"/>
  <c r="J19" i="3"/>
  <c r="K19" i="3"/>
  <c r="J15" i="3"/>
  <c r="K15" i="3"/>
  <c r="F14" i="3"/>
  <c r="F15" i="3" s="1"/>
  <c r="L15" i="3" s="1"/>
  <c r="G14" i="3"/>
  <c r="K14" i="3" s="1"/>
  <c r="H14" i="3"/>
  <c r="H15" i="3" s="1"/>
  <c r="J14" i="3"/>
  <c r="F13" i="3"/>
  <c r="H13" i="3"/>
  <c r="J13" i="3"/>
  <c r="K13" i="3"/>
  <c r="L13" i="3"/>
  <c r="J12" i="3"/>
  <c r="K12" i="3"/>
  <c r="B11" i="3"/>
  <c r="E10" i="3"/>
  <c r="F10" i="3" s="1"/>
  <c r="H10" i="3"/>
  <c r="H12" i="3" s="1"/>
  <c r="J10" i="3"/>
  <c r="F9" i="3"/>
  <c r="H9" i="3"/>
  <c r="J9" i="3"/>
  <c r="K9" i="3"/>
  <c r="K8" i="3"/>
  <c r="F7" i="3"/>
  <c r="F8" i="3" s="1"/>
  <c r="H7" i="3"/>
  <c r="H8" i="3" s="1"/>
  <c r="F6" i="3"/>
  <c r="H6" i="3"/>
  <c r="J6" i="3"/>
  <c r="K6" i="3"/>
  <c r="O22" i="2"/>
  <c r="I33" i="3" s="1"/>
  <c r="J33" i="3" s="1"/>
  <c r="O21" i="2"/>
  <c r="I20" i="3" s="1"/>
  <c r="O20" i="2"/>
  <c r="I7" i="3" s="1"/>
  <c r="O19" i="2"/>
  <c r="G18" i="7" s="1"/>
  <c r="H18" i="7" s="1"/>
  <c r="O18" i="2"/>
  <c r="G7" i="7" s="1"/>
  <c r="K7" i="7" s="1"/>
  <c r="O17" i="2"/>
  <c r="G40" i="3" s="1"/>
  <c r="H40" i="3" s="1"/>
  <c r="O16" i="2"/>
  <c r="G27" i="7" s="1"/>
  <c r="H27" i="7" s="1"/>
  <c r="O15" i="2"/>
  <c r="G26" i="7" s="1"/>
  <c r="H26" i="7" s="1"/>
  <c r="O14" i="2"/>
  <c r="G27" i="3" s="1"/>
  <c r="H27" i="3" s="1"/>
  <c r="O13" i="2"/>
  <c r="E25" i="7" s="1"/>
  <c r="K25" i="7" s="1"/>
  <c r="O12" i="2"/>
  <c r="E17" i="7" s="1"/>
  <c r="F17" i="7" s="1"/>
  <c r="O11" i="2"/>
  <c r="E16" i="7" s="1"/>
  <c r="F16" i="7" s="1"/>
  <c r="L16" i="7" s="1"/>
  <c r="O10" i="2"/>
  <c r="O9" i="2"/>
  <c r="O8" i="2"/>
  <c r="O7" i="2"/>
  <c r="E6" i="7" s="1"/>
  <c r="F6" i="7" s="1"/>
  <c r="O6" i="2"/>
  <c r="O5" i="2"/>
  <c r="E23" i="3" s="1"/>
  <c r="F23" i="3" s="1"/>
  <c r="I6" i="4" l="1"/>
  <c r="G20" i="7" s="1"/>
  <c r="H20" i="7" s="1"/>
  <c r="J7" i="3"/>
  <c r="K7" i="3"/>
  <c r="L40" i="3"/>
  <c r="H41" i="3"/>
  <c r="L41" i="3" s="1"/>
  <c r="J20" i="3"/>
  <c r="K20" i="3"/>
  <c r="H28" i="7"/>
  <c r="H7" i="8" s="1"/>
  <c r="AR36" i="10"/>
  <c r="AR5" i="10" s="1"/>
  <c r="AR20" i="10" s="1"/>
  <c r="AB36" i="10"/>
  <c r="AB5" i="10" s="1"/>
  <c r="AJ36" i="10"/>
  <c r="AJ5" i="10" s="1"/>
  <c r="AK20" i="10"/>
  <c r="L18" i="7"/>
  <c r="I23" i="9"/>
  <c r="J23" i="9" s="1"/>
  <c r="R23" i="9" s="1"/>
  <c r="I39" i="9"/>
  <c r="J39" i="9" s="1"/>
  <c r="R39" i="9" s="1"/>
  <c r="AM36" i="10"/>
  <c r="AM5" i="10" s="1"/>
  <c r="AI36" i="10"/>
  <c r="AI5" i="10" s="1"/>
  <c r="AE36" i="10"/>
  <c r="AE5" i="10" s="1"/>
  <c r="AE20" i="10" s="1"/>
  <c r="E26" i="11" s="1"/>
  <c r="I26" i="11" s="1"/>
  <c r="AA36" i="10"/>
  <c r="AA5" i="10" s="1"/>
  <c r="AA20" i="10" s="1"/>
  <c r="E38" i="11" s="1"/>
  <c r="I38" i="11" s="1"/>
  <c r="W36" i="10"/>
  <c r="W5" i="10" s="1"/>
  <c r="S36" i="10"/>
  <c r="S5" i="10" s="1"/>
  <c r="S20" i="10" s="1"/>
  <c r="E7" i="11" s="1"/>
  <c r="AP36" i="10"/>
  <c r="AP5" i="10" s="1"/>
  <c r="F36" i="3"/>
  <c r="K36" i="3"/>
  <c r="L6" i="7"/>
  <c r="F13" i="7"/>
  <c r="F5" i="8" s="1"/>
  <c r="H16" i="3"/>
  <c r="H5" i="4" s="1"/>
  <c r="I5" i="4" s="1"/>
  <c r="H42" i="3"/>
  <c r="H7" i="4" s="1"/>
  <c r="I7" i="4" s="1"/>
  <c r="N33" i="5" s="1"/>
  <c r="K6" i="7"/>
  <c r="T36" i="10"/>
  <c r="T5" i="10" s="1"/>
  <c r="L17" i="7"/>
  <c r="L10" i="3"/>
  <c r="E11" i="3"/>
  <c r="K11" i="3" s="1"/>
  <c r="L19" i="3"/>
  <c r="F21" i="3"/>
  <c r="F29" i="3"/>
  <c r="L7" i="7"/>
  <c r="G8" i="7"/>
  <c r="K10" i="7"/>
  <c r="K11" i="7"/>
  <c r="K12" i="7"/>
  <c r="K18" i="7"/>
  <c r="AT36" i="10"/>
  <c r="AT5" i="10" s="1"/>
  <c r="AD36" i="10"/>
  <c r="AD5" i="10" s="1"/>
  <c r="AO36" i="10"/>
  <c r="AO5" i="10" s="1"/>
  <c r="AO20" i="10" s="1"/>
  <c r="Y36" i="10"/>
  <c r="Y5" i="10" s="1"/>
  <c r="Y20" i="10" s="1"/>
  <c r="U20" i="10"/>
  <c r="L23" i="3"/>
  <c r="L14" i="3"/>
  <c r="K23" i="3"/>
  <c r="K17" i="7"/>
  <c r="G19" i="7"/>
  <c r="H19" i="7" s="1"/>
  <c r="I21" i="7" s="1"/>
  <c r="L33" i="3"/>
  <c r="J34" i="3"/>
  <c r="L34" i="3" s="1"/>
  <c r="K33" i="3"/>
  <c r="J42" i="3"/>
  <c r="K16" i="7"/>
  <c r="L27" i="7"/>
  <c r="AO36" i="9"/>
  <c r="AN23" i="10" s="1"/>
  <c r="AN36" i="10" s="1"/>
  <c r="AN5" i="10" s="1"/>
  <c r="AN20" i="10" s="1"/>
  <c r="Y36" i="9"/>
  <c r="X23" i="10" s="1"/>
  <c r="X36" i="10" s="1"/>
  <c r="X5" i="10" s="1"/>
  <c r="X20" i="10" s="1"/>
  <c r="L6" i="3"/>
  <c r="L9" i="3"/>
  <c r="AU52" i="9"/>
  <c r="AT38" i="10" s="1"/>
  <c r="AT52" i="10" s="1"/>
  <c r="AT6" i="10" s="1"/>
  <c r="AQ52" i="9"/>
  <c r="AP38" i="10" s="1"/>
  <c r="AP52" i="10" s="1"/>
  <c r="AP6" i="10" s="1"/>
  <c r="AP20" i="10" s="1"/>
  <c r="AM52" i="9"/>
  <c r="AL38" i="10" s="1"/>
  <c r="AL52" i="10" s="1"/>
  <c r="AL6" i="10" s="1"/>
  <c r="AI52" i="9"/>
  <c r="AH38" i="10" s="1"/>
  <c r="AH52" i="10" s="1"/>
  <c r="AH6" i="10" s="1"/>
  <c r="AE52" i="9"/>
  <c r="AD38" i="10" s="1"/>
  <c r="AD52" i="10" s="1"/>
  <c r="AD6" i="10" s="1"/>
  <c r="AD20" i="10" s="1"/>
  <c r="E25" i="11" s="1"/>
  <c r="I25" i="11" s="1"/>
  <c r="AA52" i="9"/>
  <c r="Z38" i="10" s="1"/>
  <c r="Z52" i="10" s="1"/>
  <c r="Z6" i="10" s="1"/>
  <c r="Z20" i="10" s="1"/>
  <c r="E39" i="11" s="1"/>
  <c r="I39" i="11" s="1"/>
  <c r="W52" i="9"/>
  <c r="V38" i="10" s="1"/>
  <c r="V52" i="10" s="1"/>
  <c r="V6" i="10" s="1"/>
  <c r="S52" i="9"/>
  <c r="R38" i="10" s="1"/>
  <c r="R52" i="10" s="1"/>
  <c r="R6" i="10" s="1"/>
  <c r="W20" i="10"/>
  <c r="E40" i="11" s="1"/>
  <c r="I40" i="11" s="1"/>
  <c r="AU20" i="10"/>
  <c r="AI20" i="10"/>
  <c r="V20" i="10"/>
  <c r="AJ20" i="10"/>
  <c r="AB20" i="10"/>
  <c r="T20" i="10"/>
  <c r="AT20" i="10"/>
  <c r="AH20" i="10"/>
  <c r="R20" i="10"/>
  <c r="AG20" i="10"/>
  <c r="E37" i="11" s="1"/>
  <c r="I37" i="11" s="1"/>
  <c r="AF20" i="10"/>
  <c r="E32" i="11" s="1"/>
  <c r="I32" i="11" s="1"/>
  <c r="AL20" i="10"/>
  <c r="AM20" i="10"/>
  <c r="L26" i="7"/>
  <c r="K26" i="7"/>
  <c r="F25" i="7"/>
  <c r="L27" i="3"/>
  <c r="F25" i="3"/>
  <c r="L25" i="3" s="1"/>
  <c r="K24" i="3"/>
  <c r="K10" i="3"/>
  <c r="J21" i="7" l="1"/>
  <c r="L21" i="7" s="1"/>
  <c r="K21" i="7"/>
  <c r="L29" i="3"/>
  <c r="F6" i="4"/>
  <c r="N6" i="5"/>
  <c r="N21" i="5"/>
  <c r="L36" i="3"/>
  <c r="E37" i="3"/>
  <c r="J21" i="3"/>
  <c r="J29" i="3"/>
  <c r="J6" i="4" s="1"/>
  <c r="K6" i="4" s="1"/>
  <c r="I20" i="7" s="1"/>
  <c r="J16" i="3"/>
  <c r="J5" i="4" s="1"/>
  <c r="K5" i="4" s="1"/>
  <c r="J8" i="3"/>
  <c r="L8" i="3" s="1"/>
  <c r="L7" i="3"/>
  <c r="J7" i="4"/>
  <c r="K7" i="4" s="1"/>
  <c r="O33" i="5" s="1"/>
  <c r="H22" i="7"/>
  <c r="H6" i="8" s="1"/>
  <c r="I6" i="8" s="1"/>
  <c r="H8" i="7"/>
  <c r="K8" i="7"/>
  <c r="L21" i="3"/>
  <c r="K19" i="7"/>
  <c r="L25" i="7"/>
  <c r="F28" i="7"/>
  <c r="L20" i="3"/>
  <c r="C42" i="5"/>
  <c r="N42" i="5"/>
  <c r="A42" i="5" s="1"/>
  <c r="I7" i="11"/>
  <c r="I7" i="8"/>
  <c r="G5" i="8"/>
  <c r="F11" i="3"/>
  <c r="F16" i="3" s="1"/>
  <c r="L19" i="7"/>
  <c r="L11" i="3"/>
  <c r="F12" i="3"/>
  <c r="L12" i="3" s="1"/>
  <c r="L16" i="3" l="1"/>
  <c r="F5" i="4"/>
  <c r="C44" i="5"/>
  <c r="E42" i="5"/>
  <c r="G38" i="9"/>
  <c r="H38" i="9" s="1"/>
  <c r="G22" i="9"/>
  <c r="H22" i="9" s="1"/>
  <c r="F37" i="3"/>
  <c r="K37" i="3"/>
  <c r="G6" i="4"/>
  <c r="L6" i="4"/>
  <c r="O43" i="5"/>
  <c r="A43" i="5" s="1"/>
  <c r="D43" i="5"/>
  <c r="O6" i="5"/>
  <c r="O21" i="5"/>
  <c r="E6" i="9"/>
  <c r="L28" i="7"/>
  <c r="F7" i="8"/>
  <c r="J20" i="7"/>
  <c r="C29" i="5"/>
  <c r="N29" i="5"/>
  <c r="A29" i="5" s="1"/>
  <c r="G39" i="9"/>
  <c r="H39" i="9" s="1"/>
  <c r="G23" i="9"/>
  <c r="H23" i="9" s="1"/>
  <c r="L8" i="7"/>
  <c r="H13" i="7"/>
  <c r="H5" i="8" s="1"/>
  <c r="I9" i="7"/>
  <c r="C14" i="5"/>
  <c r="N14" i="5"/>
  <c r="A14" i="5" s="1"/>
  <c r="E14" i="5" l="1"/>
  <c r="C17" i="5"/>
  <c r="H5" i="6" s="1"/>
  <c r="I5" i="6" s="1"/>
  <c r="C16" i="5"/>
  <c r="J22" i="7"/>
  <c r="J6" i="8" s="1"/>
  <c r="K6" i="8" s="1"/>
  <c r="E43" i="5"/>
  <c r="D44" i="5"/>
  <c r="J9" i="7"/>
  <c r="K9" i="7"/>
  <c r="F6" i="9"/>
  <c r="L37" i="3"/>
  <c r="F38" i="3"/>
  <c r="L38" i="3" s="1"/>
  <c r="F42" i="3"/>
  <c r="I5" i="8"/>
  <c r="G7" i="8"/>
  <c r="L7" i="8"/>
  <c r="D30" i="5"/>
  <c r="O30" i="5"/>
  <c r="A30" i="5" s="1"/>
  <c r="L5" i="4"/>
  <c r="G5" i="4"/>
  <c r="E29" i="5"/>
  <c r="C45" i="5"/>
  <c r="H6" i="6" s="1"/>
  <c r="I6" i="6" s="1"/>
  <c r="C31" i="5"/>
  <c r="D15" i="5"/>
  <c r="O15" i="5"/>
  <c r="A15" i="5" s="1"/>
  <c r="M6" i="4"/>
  <c r="E20" i="7"/>
  <c r="E30" i="5" l="1"/>
  <c r="D45" i="5"/>
  <c r="J6" i="6" s="1"/>
  <c r="K6" i="6" s="1"/>
  <c r="D31" i="5"/>
  <c r="F20" i="9"/>
  <c r="D22" i="10" s="1"/>
  <c r="G40" i="9"/>
  <c r="G24" i="9"/>
  <c r="H24" i="9" s="1"/>
  <c r="L9" i="7"/>
  <c r="J13" i="7"/>
  <c r="D16" i="5"/>
  <c r="D17" i="5"/>
  <c r="E15" i="5"/>
  <c r="M5" i="4"/>
  <c r="M21" i="5"/>
  <c r="M6" i="5"/>
  <c r="G6" i="9"/>
  <c r="F20" i="7"/>
  <c r="K20" i="7"/>
  <c r="F7" i="4"/>
  <c r="L42" i="3"/>
  <c r="G41" i="9"/>
  <c r="H41" i="9" s="1"/>
  <c r="G25" i="9"/>
  <c r="H25" i="9" s="1"/>
  <c r="M7" i="8"/>
  <c r="E39" i="9"/>
  <c r="E23" i="9"/>
  <c r="I22" i="9"/>
  <c r="J22" i="9" s="1"/>
  <c r="I38" i="9"/>
  <c r="J38" i="9" s="1"/>
  <c r="L7" i="4" l="1"/>
  <c r="G7" i="4"/>
  <c r="H6" i="9"/>
  <c r="R22" i="9"/>
  <c r="B13" i="5"/>
  <c r="M13" i="5"/>
  <c r="A13" i="5" s="1"/>
  <c r="H36" i="9"/>
  <c r="F23" i="10" s="1"/>
  <c r="G23" i="10" s="1"/>
  <c r="F23" i="9"/>
  <c r="L23" i="9" s="1"/>
  <c r="K23" i="9"/>
  <c r="F22" i="7"/>
  <c r="L20" i="7"/>
  <c r="B28" i="5"/>
  <c r="M28" i="5"/>
  <c r="A28" i="5" s="1"/>
  <c r="H40" i="9"/>
  <c r="H52" i="9" s="1"/>
  <c r="F38" i="10" s="1"/>
  <c r="G38" i="10" s="1"/>
  <c r="G52" i="10" s="1"/>
  <c r="F6" i="10" s="1"/>
  <c r="G6" i="10" s="1"/>
  <c r="I41" i="9"/>
  <c r="J41" i="9" s="1"/>
  <c r="R41" i="9" s="1"/>
  <c r="I25" i="9"/>
  <c r="J25" i="9" s="1"/>
  <c r="R25" i="9" s="1"/>
  <c r="R38" i="9"/>
  <c r="E22" i="10"/>
  <c r="J5" i="6"/>
  <c r="K5" i="6" s="1"/>
  <c r="F39" i="9"/>
  <c r="L39" i="9" s="1"/>
  <c r="K39" i="9"/>
  <c r="L13" i="7"/>
  <c r="J5" i="8"/>
  <c r="L22" i="7" l="1"/>
  <c r="F6" i="8"/>
  <c r="E13" i="5"/>
  <c r="B17" i="5"/>
  <c r="B16" i="5"/>
  <c r="E16" i="5" s="1"/>
  <c r="H20" i="9"/>
  <c r="F22" i="10" s="1"/>
  <c r="E28" i="5"/>
  <c r="B31" i="5"/>
  <c r="E31" i="5" s="1"/>
  <c r="M7" i="4"/>
  <c r="M33" i="5"/>
  <c r="K5" i="8"/>
  <c r="L5" i="8"/>
  <c r="I40" i="9"/>
  <c r="J40" i="9" s="1"/>
  <c r="I24" i="9"/>
  <c r="J24" i="9" s="1"/>
  <c r="I6" i="9" l="1"/>
  <c r="M5" i="8"/>
  <c r="R24" i="9"/>
  <c r="R36" i="9" s="1"/>
  <c r="Q23" i="10" s="1"/>
  <c r="J36" i="9"/>
  <c r="B41" i="5"/>
  <c r="M41" i="5"/>
  <c r="A41" i="5" s="1"/>
  <c r="F5" i="6"/>
  <c r="E17" i="5"/>
  <c r="G6" i="8"/>
  <c r="L6" i="8"/>
  <c r="R40" i="9"/>
  <c r="R52" i="9" s="1"/>
  <c r="Q38" i="10" s="1"/>
  <c r="Q52" i="10" s="1"/>
  <c r="Q6" i="10" s="1"/>
  <c r="J52" i="9"/>
  <c r="G22" i="10"/>
  <c r="H23" i="10" l="1"/>
  <c r="I23" i="10" s="1"/>
  <c r="H38" i="10"/>
  <c r="I38" i="10" s="1"/>
  <c r="I52" i="10" s="1"/>
  <c r="L5" i="6"/>
  <c r="G5" i="6"/>
  <c r="G36" i="10"/>
  <c r="F5" i="10" s="1"/>
  <c r="G5" i="10" s="1"/>
  <c r="G20" i="10" s="1"/>
  <c r="E9" i="11" s="1"/>
  <c r="E38" i="9"/>
  <c r="E22" i="9"/>
  <c r="M6" i="8"/>
  <c r="B44" i="5"/>
  <c r="E44" i="5" s="1"/>
  <c r="E41" i="5"/>
  <c r="B45" i="5"/>
  <c r="J6" i="9"/>
  <c r="K6" i="9"/>
  <c r="H6" i="10" l="1"/>
  <c r="I6" i="10" s="1"/>
  <c r="E45" i="5"/>
  <c r="F6" i="6"/>
  <c r="F22" i="9"/>
  <c r="K22" i="9"/>
  <c r="M5" i="6"/>
  <c r="E40" i="9"/>
  <c r="E24" i="9"/>
  <c r="R6" i="9"/>
  <c r="R20" i="9" s="1"/>
  <c r="Q22" i="10" s="1"/>
  <c r="Q36" i="10" s="1"/>
  <c r="Q5" i="10" s="1"/>
  <c r="Q20" i="10" s="1"/>
  <c r="J20" i="9"/>
  <c r="L6" i="9"/>
  <c r="I9" i="11"/>
  <c r="I16" i="11"/>
  <c r="E18" i="11"/>
  <c r="I18" i="11" s="1"/>
  <c r="E11" i="11"/>
  <c r="E10" i="11"/>
  <c r="I10" i="11" s="1"/>
  <c r="F38" i="9"/>
  <c r="K38" i="9"/>
  <c r="L20" i="9" l="1"/>
  <c r="H22" i="10"/>
  <c r="L6" i="6"/>
  <c r="G6" i="6"/>
  <c r="I11" i="11"/>
  <c r="E28" i="11"/>
  <c r="I28" i="11" s="1"/>
  <c r="E14" i="11"/>
  <c r="I14" i="11" s="1"/>
  <c r="E13" i="11"/>
  <c r="I13" i="11" s="1"/>
  <c r="E27" i="11"/>
  <c r="I27" i="11" s="1"/>
  <c r="F40" i="9"/>
  <c r="L40" i="9" s="1"/>
  <c r="K40" i="9"/>
  <c r="L38" i="9"/>
  <c r="I15" i="11"/>
  <c r="I17" i="11"/>
  <c r="K24" i="9"/>
  <c r="F24" i="9"/>
  <c r="L24" i="9" s="1"/>
  <c r="L22" i="9"/>
  <c r="M6" i="6" l="1"/>
  <c r="E41" i="9"/>
  <c r="E25" i="9"/>
  <c r="I22" i="10"/>
  <c r="J22" i="10"/>
  <c r="F25" i="9" l="1"/>
  <c r="K25" i="9"/>
  <c r="F41" i="9"/>
  <c r="K41" i="9"/>
  <c r="I36" i="10"/>
  <c r="H5" i="10" s="1"/>
  <c r="I5" i="10" s="1"/>
  <c r="I20" i="10" s="1"/>
  <c r="E12" i="11" s="1"/>
  <c r="K22" i="10"/>
  <c r="L41" i="9" l="1"/>
  <c r="I12" i="11"/>
  <c r="L25" i="9"/>
  <c r="F36" i="9"/>
  <c r="D38" i="10" l="1"/>
  <c r="L52" i="9"/>
  <c r="D23" i="10"/>
  <c r="L36" i="9"/>
  <c r="E23" i="10" l="1"/>
  <c r="J23" i="10"/>
  <c r="E38" i="10"/>
  <c r="J38" i="10"/>
  <c r="E52" i="10" l="1"/>
  <c r="K38" i="10"/>
  <c r="K23" i="10"/>
  <c r="E36" i="10"/>
  <c r="D5" i="10" l="1"/>
  <c r="K36" i="10"/>
  <c r="D6" i="10"/>
  <c r="K52" i="10"/>
  <c r="E6" i="10" l="1"/>
  <c r="K6" i="10" s="1"/>
  <c r="J6" i="10"/>
  <c r="E5" i="10"/>
  <c r="J5" i="10"/>
  <c r="E20" i="10" l="1"/>
  <c r="K5" i="10"/>
  <c r="E5" i="11" l="1"/>
  <c r="K20" i="10"/>
  <c r="I5" i="11" l="1"/>
  <c r="E6" i="11"/>
  <c r="I6" i="11" s="1"/>
  <c r="E8" i="11"/>
  <c r="I8" i="11" l="1"/>
  <c r="E24" i="11"/>
  <c r="I24" i="11" s="1"/>
  <c r="E22" i="11"/>
  <c r="I22" i="11" s="1"/>
  <c r="E20" i="11"/>
  <c r="I20" i="11" s="1"/>
  <c r="E19" i="11"/>
  <c r="E21" i="11"/>
  <c r="I21" i="11" s="1"/>
  <c r="E23" i="11"/>
  <c r="I23" i="11" s="1"/>
  <c r="I19" i="11" l="1"/>
  <c r="E29" i="11"/>
  <c r="I29" i="11" l="1"/>
  <c r="E30" i="11"/>
  <c r="E31" i="11"/>
  <c r="I31" i="11" s="1"/>
  <c r="I33" i="11" s="1"/>
  <c r="I30" i="11" l="1"/>
  <c r="E34" i="11"/>
  <c r="E35" i="11" s="1"/>
  <c r="E36" i="11" s="1"/>
  <c r="I34" i="11"/>
  <c r="I35" i="11" l="1"/>
  <c r="I36" i="11" s="1"/>
  <c r="I41" i="11" l="1"/>
  <c r="E41" i="11" l="1"/>
</calcChain>
</file>

<file path=xl/sharedStrings.xml><?xml version="1.0" encoding="utf-8"?>
<sst xmlns="http://schemas.openxmlformats.org/spreadsheetml/2006/main" count="857" uniqueCount="313">
  <si>
    <t>01. 8-10번지</t>
  </si>
  <si>
    <t>02. 8-71번지</t>
  </si>
  <si>
    <t>단 가 대 비 표</t>
  </si>
  <si>
    <t>공사명 : 2026 빈집 철거 후 공공활용사업［조성공사］</t>
  </si>
  <si>
    <t>품     명</t>
  </si>
  <si>
    <t>규     격</t>
  </si>
  <si>
    <t>단위</t>
  </si>
  <si>
    <t>물가자료</t>
  </si>
  <si>
    <t>물가정보</t>
  </si>
  <si>
    <t>가격정보</t>
  </si>
  <si>
    <t>거래가격</t>
  </si>
  <si>
    <t>유통물가</t>
  </si>
  <si>
    <t>상반기</t>
  </si>
  <si>
    <t>조사단가</t>
  </si>
  <si>
    <t>적용단가</t>
  </si>
  <si>
    <t>비 고</t>
  </si>
  <si>
    <t>단가</t>
  </si>
  <si>
    <t>Page</t>
  </si>
  <si>
    <t>구분</t>
  </si>
  <si>
    <t>경유</t>
  </si>
  <si>
    <t>경유, 저유황</t>
  </si>
  <si>
    <t>L</t>
  </si>
  <si>
    <t>하권32</t>
  </si>
  <si>
    <t>1451</t>
  </si>
  <si>
    <t>1189</t>
  </si>
  <si>
    <t>공업용휘발유</t>
  </si>
  <si>
    <t>공업용휘발유, 무연</t>
  </si>
  <si>
    <t>1438</t>
  </si>
  <si>
    <t>금속문</t>
  </si>
  <si>
    <t>금속문, 철재일반도아(일반분체)문틀포함 150×45×t1.6, 1.8×2.1, 양개</t>
  </si>
  <si>
    <t>㎡</t>
  </si>
  <si>
    <t>문틀 1.6T, 문짝 0.6T</t>
  </si>
  <si>
    <t>도어스톱</t>
  </si>
  <si>
    <t>브론즈말굽형(중)</t>
  </si>
  <si>
    <t>EA</t>
  </si>
  <si>
    <t>576</t>
  </si>
  <si>
    <t>655</t>
  </si>
  <si>
    <t>455</t>
  </si>
  <si>
    <t>창호철물</t>
  </si>
  <si>
    <t>도어클로저</t>
  </si>
  <si>
    <t>도어클로저, K-630, KS3호, 표준형, 40∼60kg</t>
  </si>
  <si>
    <t>조</t>
  </si>
  <si>
    <t>545</t>
  </si>
  <si>
    <t>656</t>
  </si>
  <si>
    <t>454</t>
  </si>
  <si>
    <t>도어핸들</t>
  </si>
  <si>
    <t>도어핸들, 원통레버형(Lever Lock)</t>
  </si>
  <si>
    <t>654</t>
  </si>
  <si>
    <t>453</t>
  </si>
  <si>
    <t>사각맨홀</t>
  </si>
  <si>
    <t>600×600×1000×150T</t>
  </si>
  <si>
    <t>개</t>
  </si>
  <si>
    <t>208</t>
  </si>
  <si>
    <t>스틸그레이팅</t>
  </si>
  <si>
    <t>I-50×5×3, 600×1000×50</t>
  </si>
  <si>
    <t>239</t>
  </si>
  <si>
    <t>일반용경질폴리염화비닐관</t>
  </si>
  <si>
    <t>PVC관(VG1) 접착제접합, Φ150mm, VG1</t>
  </si>
  <si>
    <t>m</t>
  </si>
  <si>
    <t>754</t>
  </si>
  <si>
    <t>721</t>
  </si>
  <si>
    <t>793</t>
  </si>
  <si>
    <t>554</t>
  </si>
  <si>
    <t>VN SDR 17</t>
  </si>
  <si>
    <t>건설기계운전사</t>
  </si>
  <si>
    <t>일반공사 직종</t>
  </si>
  <si>
    <t>인</t>
  </si>
  <si>
    <t>건설기계운전기사</t>
  </si>
  <si>
    <t>배관공(수도)</t>
  </si>
  <si>
    <t>보통인부</t>
  </si>
  <si>
    <t>일반기계운전사</t>
  </si>
  <si>
    <t>운전사(기계)</t>
  </si>
  <si>
    <t>창호공</t>
  </si>
  <si>
    <t>창호목공</t>
  </si>
  <si>
    <t>특별인부</t>
  </si>
  <si>
    <t>굴착기(유압식백호우)</t>
  </si>
  <si>
    <t>0.2 ㎥</t>
  </si>
  <si>
    <t>대</t>
  </si>
  <si>
    <t>공통8-5-1(0201)</t>
  </si>
  <si>
    <t>무한궤도 크레인</t>
  </si>
  <si>
    <t>10 ton (0.29 ㎥)</t>
  </si>
  <si>
    <t>공통8-5-3(2101)</t>
  </si>
  <si>
    <t>플레이트 콤팩터</t>
  </si>
  <si>
    <t>1.5 ton</t>
  </si>
  <si>
    <t>공통8-5-2(1730)</t>
  </si>
  <si>
    <t>중 기 경 비 내 역 서</t>
  </si>
  <si>
    <t>품          명</t>
  </si>
  <si>
    <t>규          격</t>
  </si>
  <si>
    <t>수  량</t>
  </si>
  <si>
    <t>재   료   비</t>
  </si>
  <si>
    <t>노   무   비</t>
  </si>
  <si>
    <t>경        비</t>
  </si>
  <si>
    <t>합        계</t>
  </si>
  <si>
    <t>비  고</t>
  </si>
  <si>
    <t>단  가</t>
  </si>
  <si>
    <t>금   액</t>
  </si>
  <si>
    <t>손료요율</t>
  </si>
  <si>
    <t>손료구분</t>
  </si>
  <si>
    <t>적용구분</t>
  </si>
  <si>
    <t>합계구분</t>
  </si>
  <si>
    <t>품목구분</t>
  </si>
  <si>
    <t>조달코드</t>
  </si>
  <si>
    <t>[중기  1호] - [굴착기(무한궤도)  0.2㎥  HR]</t>
  </si>
  <si>
    <t>공통8-4-1,8-3-1(0201)</t>
  </si>
  <si>
    <t>[경  비]</t>
  </si>
  <si>
    <t/>
  </si>
  <si>
    <t>03</t>
  </si>
  <si>
    <t>기계경비</t>
  </si>
  <si>
    <t>소  계</t>
  </si>
  <si>
    <t>[재료비]</t>
  </si>
  <si>
    <t>01</t>
  </si>
  <si>
    <t>잡품</t>
  </si>
  <si>
    <t>식</t>
  </si>
  <si>
    <t>재료비-&gt;재료비</t>
  </si>
  <si>
    <t>20</t>
  </si>
  <si>
    <t>A0100000000</t>
  </si>
  <si>
    <t>재료비</t>
  </si>
  <si>
    <t>[노무비]</t>
  </si>
  <si>
    <t>02</t>
  </si>
  <si>
    <t>합  계</t>
  </si>
  <si>
    <t>[중기  2호] - [크레인(무한궤도)  10ton(0.29㎥)  HR]</t>
  </si>
  <si>
    <t>공통8-4-3,8-3-3(2101)</t>
  </si>
  <si>
    <t>[중기  3호] - [플레이트 콤팩터  1.5ton  HR]</t>
  </si>
  <si>
    <t>공통8-4-2,8-3-2(1730)</t>
  </si>
  <si>
    <t>중 기 경 비 목 록</t>
  </si>
  <si>
    <t>호 표</t>
  </si>
  <si>
    <t>수량</t>
  </si>
  <si>
    <t>재 료 비</t>
  </si>
  <si>
    <t>노 무 비</t>
  </si>
  <si>
    <t>경    비</t>
  </si>
  <si>
    <t>합    계</t>
  </si>
  <si>
    <t>중기  1호</t>
  </si>
  <si>
    <t>굴착기(무한궤도)</t>
  </si>
  <si>
    <t>0.2㎥</t>
  </si>
  <si>
    <t>HR</t>
  </si>
  <si>
    <t>중기  2호</t>
  </si>
  <si>
    <t>크레인(무한궤도)</t>
  </si>
  <si>
    <t>10ton(0.29㎥)</t>
  </si>
  <si>
    <t>중기  3호</t>
  </si>
  <si>
    <t>1.5ton</t>
  </si>
  <si>
    <t>단 가 산 출 서</t>
  </si>
  <si>
    <t>산   출   근   거</t>
  </si>
  <si>
    <t>비    고</t>
  </si>
  <si>
    <t>[단산  1호] - [터파기(기계)  보통, 유압식백호 0.2m3, 모래  M3]</t>
  </si>
  <si>
    <t>공통8-2-3</t>
  </si>
  <si>
    <t>굴착기(무한궤도) 0.2㎥ HR</t>
  </si>
  <si>
    <t>q9</t>
  </si>
  <si>
    <t>k</t>
  </si>
  <si>
    <t>f</t>
  </si>
  <si>
    <t>E</t>
  </si>
  <si>
    <t>Cm</t>
  </si>
  <si>
    <t>Q</t>
  </si>
  <si>
    <t>[단산  2호] - [되메우고다지기  백호우(0.2M3)+콤펙트1.5톤  M3]</t>
  </si>
  <si>
    <t>1.굴삭기백호우</t>
  </si>
  <si>
    <t xml:space="preserve"> 굴착기(무한궤도) 0.2㎥ HR</t>
  </si>
  <si>
    <t>q1</t>
  </si>
  <si>
    <t xml:space="preserve"> 소  계</t>
  </si>
  <si>
    <t>2.다짐(유압식콤펙터1.5ton)</t>
  </si>
  <si>
    <t xml:space="preserve"> 플레이트 콤팩터 1.5ton HR</t>
  </si>
  <si>
    <t>V</t>
  </si>
  <si>
    <t>W</t>
  </si>
  <si>
    <t>D</t>
  </si>
  <si>
    <t>N</t>
  </si>
  <si>
    <t>단 가 산 출 목 록</t>
  </si>
  <si>
    <t>품    명</t>
  </si>
  <si>
    <t>규    격</t>
  </si>
  <si>
    <t>단산  1호</t>
  </si>
  <si>
    <t>터파기(기계)</t>
  </si>
  <si>
    <t>보통, 유압식백호 0.2m3, 모래</t>
  </si>
  <si>
    <t>M3</t>
  </si>
  <si>
    <t>단산  2호</t>
  </si>
  <si>
    <t>되메우고다지기</t>
  </si>
  <si>
    <t>백호우(0.2M3)+콤펙트1.5톤</t>
  </si>
  <si>
    <t>일 위 대 가 내 역 서</t>
  </si>
  <si>
    <t>품        명</t>
  </si>
  <si>
    <t>규        격</t>
  </si>
  <si>
    <t>재  료  비</t>
  </si>
  <si>
    <t>노  무  비</t>
  </si>
  <si>
    <t>경      비</t>
  </si>
  <si>
    <t>합      계</t>
  </si>
  <si>
    <t>[일위  1호] - [철제여닫이문 설치  1000*2100(편개), 분체도장  개소]</t>
  </si>
  <si>
    <t>건축10-1-2참고</t>
  </si>
  <si>
    <t>공구손료 및 경장비의 기계경비</t>
  </si>
  <si>
    <t>25</t>
  </si>
  <si>
    <t>A0200000000</t>
  </si>
  <si>
    <t>경비</t>
  </si>
  <si>
    <t>[일위  2호] - [각형맨홀설치  600*600*1000(기성품)  개소]</t>
  </si>
  <si>
    <t>공구손료</t>
  </si>
  <si>
    <t>[일위  3호] - [P.V.C관 부설 및 접합  T.S접합, 150mm  M]</t>
  </si>
  <si>
    <t>일 위 대 가 목 록</t>
  </si>
  <si>
    <t>금    액</t>
  </si>
  <si>
    <t>일위  1호</t>
  </si>
  <si>
    <t>철제여닫이문 설치</t>
  </si>
  <si>
    <t>1000*2100(편개), 분체도장</t>
  </si>
  <si>
    <t>개소</t>
  </si>
  <si>
    <t>PK적산</t>
  </si>
  <si>
    <t>일위  2호</t>
  </si>
  <si>
    <t>각형맨홀설치</t>
  </si>
  <si>
    <t>600*600*1000(기성품)</t>
  </si>
  <si>
    <t>일위  3호</t>
  </si>
  <si>
    <t>P.V.C관 부설 및 접합</t>
  </si>
  <si>
    <t>T.S접합, 150mm</t>
  </si>
  <si>
    <t>M</t>
  </si>
  <si>
    <t>공 사 내 역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</si>
  <si>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</si>
  <si>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</si>
  <si>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</si>
  <si>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</si>
  <si>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</si>
  <si>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</si>
  <si>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</si>
  <si>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</si>
  <si>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</si>
  <si>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</si>
  <si>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</si>
  <si>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</si>
  <si>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</si>
  <si>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사용자항목1</t>
  </si>
  <si>
    <t>사용자항목2</t>
  </si>
  <si>
    <t>안전관리비</t>
  </si>
  <si>
    <t>품질관리비</t>
  </si>
  <si>
    <t>작업부산물(철거해체)</t>
  </si>
  <si>
    <t>재해예방기술지도비</t>
  </si>
  <si>
    <t>사용자항목7</t>
  </si>
  <si>
    <t>석면분담금</t>
  </si>
  <si>
    <t>임금채권분담금</t>
  </si>
  <si>
    <t>사용자항목10</t>
  </si>
  <si>
    <t>사용자항목11</t>
  </si>
  <si>
    <t>사용자항목12</t>
  </si>
  <si>
    <t>사용자항목13</t>
  </si>
  <si>
    <t>사용자항목14</t>
  </si>
  <si>
    <t>사용자항목15</t>
  </si>
  <si>
    <t>사용자항목16</t>
  </si>
  <si>
    <t>사용자항목17</t>
  </si>
  <si>
    <t>사용자항목18</t>
  </si>
  <si>
    <t>사용자항목19</t>
  </si>
  <si>
    <t>간접재료비</t>
  </si>
  <si>
    <t>0101. 금속공사</t>
  </si>
  <si>
    <t>0102. 토공사</t>
  </si>
  <si>
    <t>0201. 토공사</t>
  </si>
  <si>
    <t>공 사 집 계 표</t>
  </si>
  <si>
    <t>공 사 원 가 계 산 서</t>
  </si>
  <si>
    <t xml:space="preserve">                     구  분
  비   목</t>
  </si>
  <si>
    <t>구    성   비</t>
  </si>
  <si>
    <t>금      액</t>
  </si>
  <si>
    <t>직   접   재  료  비</t>
  </si>
  <si>
    <t>A1</t>
  </si>
  <si>
    <t>간   접   재  료  비</t>
  </si>
  <si>
    <t>A2</t>
  </si>
  <si>
    <t>작업설.부산물 등(△)</t>
  </si>
  <si>
    <t>A3</t>
  </si>
  <si>
    <t>소                계</t>
  </si>
  <si>
    <t>A</t>
  </si>
  <si>
    <t>직   접   노  무  비</t>
  </si>
  <si>
    <t>B1</t>
  </si>
  <si>
    <t>간   접   노  무  비</t>
  </si>
  <si>
    <t>B2</t>
  </si>
  <si>
    <t>B</t>
  </si>
  <si>
    <t>기    계    경    비</t>
  </si>
  <si>
    <t>C4</t>
  </si>
  <si>
    <t>산  재  보   험   료</t>
  </si>
  <si>
    <t>C10</t>
  </si>
  <si>
    <t>고  용  보   험   료</t>
  </si>
  <si>
    <t>C11</t>
  </si>
  <si>
    <t>건  강  보   험   료</t>
  </si>
  <si>
    <t>C12</t>
  </si>
  <si>
    <t>연  금  보   험   료</t>
  </si>
  <si>
    <t>C13</t>
  </si>
  <si>
    <t>노인 장기 요양보험료</t>
  </si>
  <si>
    <t>C14</t>
  </si>
  <si>
    <t>퇴 직 공 제 부 금 비</t>
  </si>
  <si>
    <t>C15</t>
  </si>
  <si>
    <t>산업 안전 보건관리비</t>
  </si>
  <si>
    <t>51,116 &lt; 61,339</t>
  </si>
  <si>
    <t>C16</t>
  </si>
  <si>
    <t>기    타    경    비</t>
  </si>
  <si>
    <t>C20</t>
  </si>
  <si>
    <t>환  경  보   전   비</t>
  </si>
  <si>
    <t>C25</t>
  </si>
  <si>
    <t>건설하도급보증수수료</t>
  </si>
  <si>
    <t>C30</t>
  </si>
  <si>
    <t>공사 이행 보증수수료</t>
  </si>
  <si>
    <t>C31</t>
  </si>
  <si>
    <t>건설기계대여보증수수료</t>
  </si>
  <si>
    <t>C32</t>
  </si>
  <si>
    <t>안  전  관   리   비</t>
  </si>
  <si>
    <t>C17</t>
  </si>
  <si>
    <t>품  질  관   리   비</t>
  </si>
  <si>
    <t>C18</t>
  </si>
  <si>
    <t>C34</t>
  </si>
  <si>
    <t>C33</t>
  </si>
  <si>
    <t>C</t>
  </si>
  <si>
    <t xml:space="preserve">         계</t>
  </si>
  <si>
    <t>X</t>
  </si>
  <si>
    <t>일  반   관   리  비</t>
  </si>
  <si>
    <t>M2</t>
  </si>
  <si>
    <t>이                윤</t>
  </si>
  <si>
    <t>총       원       가</t>
  </si>
  <si>
    <t>F</t>
  </si>
  <si>
    <t>부   가   가  치  세</t>
  </si>
  <si>
    <t>H</t>
  </si>
  <si>
    <t>도    급    금    액</t>
  </si>
  <si>
    <t>Y</t>
  </si>
  <si>
    <t>관   급  자   재  대</t>
  </si>
  <si>
    <t>J</t>
  </si>
  <si>
    <t>사   급   자  재  대</t>
  </si>
  <si>
    <t>K</t>
  </si>
  <si>
    <t>폐  기  물  처 리 비</t>
  </si>
  <si>
    <t>총   공   사  금  액</t>
  </si>
  <si>
    <t>노무비</t>
  </si>
  <si>
    <t>경  비</t>
  </si>
  <si>
    <t>순  공  사  원  가</t>
  </si>
  <si>
    <t>(노+경+일)*12.9%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</si>
</sst>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b/>
      <u/>
      <sz val="9"/>
      <color rgb="FF0000FF"/>
      <name val="굴림체"/>
      <family val="3"/>
      <charset val="129"/>
    </font>
    <font>
      <b/>
      <u/>
      <sz val="9"/>
      <color rgb="FF0000FF"/>
      <name val="맑은 고딕"/>
      <family val="2"/>
      <charset val="129"/>
      <scheme val="minor"/>
    </font>
    <font>
      <sz val="7"/>
      <color rgb="FF000080"/>
      <name val="굴림체"/>
      <family val="3"/>
      <charset val="129"/>
    </font>
    <font>
      <sz val="7"/>
      <color theme="1"/>
      <name val="굴림체"/>
      <family val="3"/>
      <charset val="129"/>
    </font>
    <font>
      <sz val="8"/>
      <color rgb="FF000080"/>
      <name val="굴림체"/>
      <family val="3"/>
      <charset val="129"/>
    </font>
    <font>
      <b/>
      <sz val="8"/>
      <color rgb="FF0000FF"/>
      <name val="굴림체"/>
      <family val="3"/>
      <charset val="129"/>
    </font>
    <font>
      <sz val="8"/>
      <color theme="1"/>
      <name val="굴림체"/>
      <family val="3"/>
      <charset val="129"/>
    </font>
    <font>
      <sz val="8"/>
      <color rgb="FF000000"/>
      <name val="굴림체"/>
      <family val="3"/>
      <charset val="129"/>
    </font>
    <font>
      <b/>
      <sz val="8"/>
      <color rgb="FF8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0FFFF"/>
        <bgColor indexed="64"/>
      </patternFill>
    </fill>
    <fill>
      <patternFill patternType="solid">
        <fgColor rgb="FFF4F4FD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right" vertical="center" shrinkToFit="1"/>
    </xf>
    <xf numFmtId="0" fontId="6" fillId="0" borderId="1" xfId="0" quotePrefix="1" applyFont="1" applyBorder="1" applyAlignment="1">
      <alignment horizontal="righ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0" quotePrefix="1" applyFont="1" applyFill="1" applyBorder="1" applyAlignment="1">
      <alignment horizontal="left" vertical="center" shrinkToFit="1"/>
    </xf>
    <xf numFmtId="0" fontId="9" fillId="0" borderId="1" xfId="0" quotePrefix="1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1" xfId="0" quotePrefix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right" vertical="center" shrinkToFit="1"/>
    </xf>
    <xf numFmtId="0" fontId="10" fillId="2" borderId="1" xfId="0" quotePrefix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left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right" vertical="center" shrinkToFit="1"/>
    </xf>
    <xf numFmtId="0" fontId="9" fillId="0" borderId="1" xfId="0" applyFont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left" vertical="center" shrinkToFit="1"/>
    </xf>
    <xf numFmtId="0" fontId="8" fillId="4" borderId="1" xfId="0" quotePrefix="1" applyFont="1" applyFill="1" applyBorder="1" applyAlignment="1">
      <alignment horizontal="right" vertical="center" shrinkToFit="1"/>
    </xf>
    <xf numFmtId="0" fontId="9" fillId="0" borderId="1" xfId="0" quotePrefix="1" applyFont="1" applyBorder="1" applyAlignment="1">
      <alignment horizontal="right" vertical="center" shrinkToFit="1"/>
    </xf>
    <xf numFmtId="0" fontId="8" fillId="4" borderId="1" xfId="0" applyFont="1" applyFill="1" applyBorder="1" applyAlignment="1">
      <alignment horizontal="right" vertical="center" shrinkToFit="1"/>
    </xf>
    <xf numFmtId="0" fontId="10" fillId="0" borderId="11" xfId="0" quotePrefix="1" applyFont="1" applyBorder="1" applyAlignment="1">
      <alignment horizontal="left" vertical="center" shrinkToFit="1"/>
    </xf>
    <xf numFmtId="0" fontId="10" fillId="0" borderId="11" xfId="0" applyFont="1" applyBorder="1" applyAlignment="1">
      <alignment horizontal="right" vertical="center" shrinkToFit="1"/>
    </xf>
    <xf numFmtId="0" fontId="10" fillId="0" borderId="12" xfId="0" quotePrefix="1" applyFont="1" applyBorder="1" applyAlignment="1">
      <alignment horizontal="left" vertical="center" shrinkToFit="1"/>
    </xf>
    <xf numFmtId="0" fontId="10" fillId="0" borderId="12" xfId="0" applyFont="1" applyBorder="1" applyAlignment="1">
      <alignment horizontal="right" vertical="center" shrinkToFit="1"/>
    </xf>
    <xf numFmtId="0" fontId="10" fillId="0" borderId="13" xfId="0" quotePrefix="1" applyFont="1" applyBorder="1" applyAlignment="1">
      <alignment horizontal="left" vertical="center" shrinkToFit="1"/>
    </xf>
    <xf numFmtId="0" fontId="10" fillId="0" borderId="13" xfId="0" applyFont="1" applyBorder="1" applyAlignment="1">
      <alignment horizontal="right" vertical="center" shrinkToFit="1"/>
    </xf>
    <xf numFmtId="0" fontId="10" fillId="2" borderId="1" xfId="0" quotePrefix="1" applyFont="1" applyFill="1" applyBorder="1" applyAlignment="1">
      <alignment horizontal="left" vertical="center" shrinkToFit="1"/>
    </xf>
    <xf numFmtId="0" fontId="10" fillId="0" borderId="13" xfId="0" applyFont="1" applyBorder="1" applyAlignment="1">
      <alignment horizontal="left" vertical="center" shrinkToFit="1"/>
    </xf>
    <xf numFmtId="0" fontId="10" fillId="0" borderId="12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right" vertical="center" shrinkToFit="1"/>
    </xf>
    <xf numFmtId="0" fontId="10" fillId="0" borderId="1" xfId="0" quotePrefix="1" applyFont="1" applyBorder="1" applyAlignment="1">
      <alignment horizontal="left" vertical="center" shrinkToFit="1"/>
    </xf>
    <xf numFmtId="0" fontId="9" fillId="0" borderId="11" xfId="0" quotePrefix="1" applyFont="1" applyBorder="1" applyAlignment="1">
      <alignment horizontal="center" vertical="center" textRotation="255" shrinkToFit="1"/>
    </xf>
    <xf numFmtId="0" fontId="9" fillId="0" borderId="12" xfId="0" applyFont="1" applyBorder="1" applyAlignment="1">
      <alignment horizontal="center" vertical="center" textRotation="255" shrinkToFit="1"/>
    </xf>
    <xf numFmtId="0" fontId="9" fillId="0" borderId="13" xfId="0" applyFont="1" applyBorder="1" applyAlignment="1">
      <alignment horizontal="center" vertical="center" textRotation="255" shrinkToFit="1"/>
    </xf>
    <xf numFmtId="0" fontId="9" fillId="0" borderId="1" xfId="0" applyFont="1" applyBorder="1" applyAlignment="1">
      <alignment horizontal="center" vertical="center" textRotation="255" shrinkToFit="1"/>
    </xf>
    <xf numFmtId="0" fontId="9" fillId="0" borderId="11" xfId="0" applyFont="1" applyBorder="1" applyAlignment="1">
      <alignment horizontal="center" vertical="center" textRotation="255" shrinkToFi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2" borderId="1" xfId="0" quotePrefix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9" fillId="0" borderId="1" xfId="0" quotePrefix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1" fillId="5" borderId="3" xfId="0" quotePrefix="1" applyFont="1" applyFill="1" applyBorder="1" applyAlignment="1">
      <alignment horizontal="left" vertical="center" shrinkToFit="1"/>
    </xf>
    <xf numFmtId="0" fontId="11" fillId="5" borderId="4" xfId="0" quotePrefix="1" applyFont="1" applyFill="1" applyBorder="1" applyAlignment="1">
      <alignment horizontal="left" vertical="center" shrinkToFit="1"/>
    </xf>
    <xf numFmtId="0" fontId="11" fillId="5" borderId="5" xfId="0" quotePrefix="1" applyFont="1" applyFill="1" applyBorder="1" applyAlignment="1">
      <alignment horizontal="left" vertical="center" shrinkToFit="1"/>
    </xf>
    <xf numFmtId="0" fontId="11" fillId="5" borderId="1" xfId="0" quotePrefix="1" applyFont="1" applyFill="1" applyBorder="1" applyAlignment="1">
      <alignment horizontal="left" vertical="center" shrinkToFit="1"/>
    </xf>
    <xf numFmtId="0" fontId="11" fillId="5" borderId="1" xfId="0" applyFont="1" applyFill="1" applyBorder="1" applyAlignment="1">
      <alignment horizontal="left" vertical="center" shrinkToFit="1"/>
    </xf>
    <xf numFmtId="0" fontId="8" fillId="4" borderId="3" xfId="0" quotePrefix="1" applyFont="1" applyFill="1" applyBorder="1" applyAlignment="1">
      <alignment horizontal="left" vertical="center" shrinkToFit="1"/>
    </xf>
    <xf numFmtId="0" fontId="8" fillId="4" borderId="4" xfId="0" quotePrefix="1" applyFont="1" applyFill="1" applyBorder="1" applyAlignment="1">
      <alignment horizontal="left" vertical="center" shrinkToFit="1"/>
    </xf>
    <xf numFmtId="0" fontId="8" fillId="4" borderId="5" xfId="0" quotePrefix="1" applyFont="1" applyFill="1" applyBorder="1" applyAlignment="1">
      <alignment horizontal="left" vertical="center" shrinkToFit="1"/>
    </xf>
    <xf numFmtId="0" fontId="8" fillId="4" borderId="1" xfId="0" quotePrefix="1" applyFont="1" applyFill="1" applyBorder="1" applyAlignment="1">
      <alignment horizontal="left" vertical="center" shrinkToFit="1"/>
    </xf>
    <xf numFmtId="0" fontId="8" fillId="4" borderId="1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center" vertical="center" wrapText="1"/>
    </xf>
    <xf numFmtId="41" fontId="10" fillId="0" borderId="12" xfId="0" applyNumberFormat="1" applyFont="1" applyBorder="1" applyAlignment="1">
      <alignment horizontal="right" vertical="center" shrinkToFit="1"/>
    </xf>
    <xf numFmtId="41" fontId="10" fillId="0" borderId="1" xfId="1" applyFont="1" applyBorder="1" applyAlignment="1">
      <alignment horizontal="right" vertical="center" shrinkToFit="1"/>
    </xf>
    <xf numFmtId="41" fontId="10" fillId="2" borderId="1" xfId="1" applyFont="1" applyFill="1" applyBorder="1" applyAlignment="1">
      <alignment horizontal="right" vertical="center" shrinkToFit="1"/>
    </xf>
  </cellXfs>
  <cellStyles count="2">
    <cellStyle name="쉼표 [0]" xfId="1" builtinId="6"/>
    <cellStyle name="표준" xfId="0" builtinId="0"/>
  </cellStyles>
  <dxfs count="32"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  <dxf>
      <numFmt numFmtId="176" formatCode="#,###"/>
    </dxf>
    <dxf>
      <numFmt numFmtId="177" formatCode="#,##0.0####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3B5F-47FB-4D8C-8E37-2B7E03522F9B}">
  <sheetPr>
    <tabColor rgb="FFF19D86"/>
  </sheetPr>
  <dimension ref="A1:J41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14" sqref="D14"/>
    </sheetView>
  </sheetViews>
  <sheetFormatPr defaultRowHeight="16.5" x14ac:dyDescent="0.3"/>
  <cols>
    <col min="1" max="2" width="3.75" customWidth="1"/>
    <col min="3" max="3" width="15.75" style="2" customWidth="1"/>
    <col min="4" max="4" width="55.75" style="2" customWidth="1"/>
    <col min="5" max="5" width="25.75" style="4" customWidth="1"/>
    <col min="6" max="6" width="19.75" style="2" customWidth="1"/>
    <col min="7" max="10" width="8.75" hidden="1" customWidth="1"/>
    <col min="11" max="11" width="8.75" customWidth="1"/>
  </cols>
  <sheetData>
    <row r="1" spans="1:9" ht="30" customHeight="1" x14ac:dyDescent="0.3">
      <c r="A1" s="44" t="s">
        <v>241</v>
      </c>
      <c r="B1" s="44"/>
      <c r="C1" s="44"/>
      <c r="D1" s="44"/>
      <c r="E1" s="44"/>
      <c r="F1" s="44"/>
    </row>
    <row r="2" spans="1:9" ht="16.149999999999999" customHeight="1" x14ac:dyDescent="0.3">
      <c r="A2" s="45" t="s">
        <v>3</v>
      </c>
      <c r="B2" s="46"/>
      <c r="C2" s="46"/>
      <c r="D2" s="46"/>
      <c r="E2" s="46"/>
      <c r="F2" s="46"/>
    </row>
    <row r="3" spans="1:9" ht="12" customHeight="1" x14ac:dyDescent="0.3">
      <c r="A3" s="47" t="s">
        <v>242</v>
      </c>
      <c r="B3" s="48"/>
      <c r="C3" s="49"/>
      <c r="D3" s="53" t="s">
        <v>243</v>
      </c>
      <c r="E3" s="53" t="s">
        <v>244</v>
      </c>
      <c r="F3" s="53" t="s">
        <v>142</v>
      </c>
    </row>
    <row r="4" spans="1:9" ht="12" customHeight="1" x14ac:dyDescent="0.3">
      <c r="A4" s="50"/>
      <c r="B4" s="51"/>
      <c r="C4" s="52"/>
      <c r="D4" s="53"/>
      <c r="E4" s="53"/>
      <c r="F4" s="53"/>
    </row>
    <row r="5" spans="1:9" ht="13.15" customHeight="1" x14ac:dyDescent="0.3">
      <c r="A5" s="39" t="s">
        <v>311</v>
      </c>
      <c r="B5" s="39" t="s">
        <v>116</v>
      </c>
      <c r="C5" s="27" t="s">
        <v>245</v>
      </c>
      <c r="D5" s="27" t="s">
        <v>105</v>
      </c>
      <c r="E5" s="28">
        <f>ROUNDDOWN(집계표!E20-집계표!AU20, 0)</f>
        <v>1137024</v>
      </c>
      <c r="F5" s="27" t="s">
        <v>105</v>
      </c>
      <c r="G5" s="1" t="s">
        <v>246</v>
      </c>
      <c r="H5">
        <v>0</v>
      </c>
      <c r="I5">
        <f t="shared" ref="I5:I32" si="0">E5</f>
        <v>1137024</v>
      </c>
    </row>
    <row r="6" spans="1:9" ht="13.15" customHeight="1" x14ac:dyDescent="0.3">
      <c r="A6" s="40"/>
      <c r="B6" s="40"/>
      <c r="C6" s="29" t="s">
        <v>247</v>
      </c>
      <c r="D6" s="29" t="s">
        <v>105</v>
      </c>
      <c r="E6" s="30">
        <f>ROUNDDOWN(E5*H6, 0)</f>
        <v>0</v>
      </c>
      <c r="F6" s="29" t="s">
        <v>105</v>
      </c>
      <c r="G6" s="1" t="s">
        <v>248</v>
      </c>
      <c r="H6">
        <v>0</v>
      </c>
      <c r="I6">
        <f t="shared" si="0"/>
        <v>0</v>
      </c>
    </row>
    <row r="7" spans="1:9" ht="13.15" customHeight="1" x14ac:dyDescent="0.3">
      <c r="A7" s="41"/>
      <c r="B7" s="41"/>
      <c r="C7" s="31" t="s">
        <v>249</v>
      </c>
      <c r="D7" s="31" t="s">
        <v>105</v>
      </c>
      <c r="E7" s="32">
        <f>집계표!S20</f>
        <v>0</v>
      </c>
      <c r="F7" s="31" t="s">
        <v>105</v>
      </c>
      <c r="G7" s="1" t="s">
        <v>250</v>
      </c>
      <c r="H7">
        <v>0</v>
      </c>
      <c r="I7">
        <f t="shared" si="0"/>
        <v>0</v>
      </c>
    </row>
    <row r="8" spans="1:9" ht="13.15" customHeight="1" x14ac:dyDescent="0.3">
      <c r="A8" s="42"/>
      <c r="B8" s="42"/>
      <c r="C8" s="33" t="s">
        <v>251</v>
      </c>
      <c r="D8" s="33" t="s">
        <v>105</v>
      </c>
      <c r="E8" s="21">
        <f>SUM(E5:E6)-ABS(E7)</f>
        <v>1137024</v>
      </c>
      <c r="F8" s="33" t="s">
        <v>105</v>
      </c>
      <c r="G8" s="1" t="s">
        <v>252</v>
      </c>
      <c r="H8">
        <v>0</v>
      </c>
      <c r="I8">
        <f t="shared" si="0"/>
        <v>1137024</v>
      </c>
    </row>
    <row r="9" spans="1:9" ht="13.15" customHeight="1" x14ac:dyDescent="0.3">
      <c r="A9" s="43"/>
      <c r="B9" s="39" t="s">
        <v>309</v>
      </c>
      <c r="C9" s="27" t="s">
        <v>253</v>
      </c>
      <c r="D9" s="27" t="s">
        <v>105</v>
      </c>
      <c r="E9" s="28">
        <f>ROUNDDOWN(집계표!G20, 0)</f>
        <v>506580</v>
      </c>
      <c r="F9" s="27" t="s">
        <v>105</v>
      </c>
      <c r="G9" s="1" t="s">
        <v>254</v>
      </c>
      <c r="H9">
        <v>0</v>
      </c>
      <c r="I9">
        <f t="shared" si="0"/>
        <v>506580</v>
      </c>
    </row>
    <row r="10" spans="1:9" ht="13.15" customHeight="1" x14ac:dyDescent="0.3">
      <c r="A10" s="41"/>
      <c r="B10" s="41"/>
      <c r="C10" s="31" t="s">
        <v>255</v>
      </c>
      <c r="D10" s="34" t="str">
        <f>"직.노*"&amp;H10*100&amp;"%"</f>
        <v>직.노*17.5%</v>
      </c>
      <c r="E10" s="32">
        <f>ROUNDDOWN(E9*H10, 0)</f>
        <v>88651</v>
      </c>
      <c r="F10" s="31" t="s">
        <v>105</v>
      </c>
      <c r="G10" s="1" t="s">
        <v>256</v>
      </c>
      <c r="H10">
        <v>0.17499999999999999</v>
      </c>
      <c r="I10">
        <f t="shared" si="0"/>
        <v>88651</v>
      </c>
    </row>
    <row r="11" spans="1:9" ht="13.15" customHeight="1" x14ac:dyDescent="0.3">
      <c r="A11" s="42"/>
      <c r="B11" s="42"/>
      <c r="C11" s="33" t="s">
        <v>251</v>
      </c>
      <c r="D11" s="33" t="s">
        <v>105</v>
      </c>
      <c r="E11" s="21">
        <f>SUM(E9:E10)</f>
        <v>595231</v>
      </c>
      <c r="F11" s="33" t="s">
        <v>105</v>
      </c>
      <c r="G11" s="1" t="s">
        <v>257</v>
      </c>
      <c r="H11">
        <v>0</v>
      </c>
      <c r="I11">
        <f t="shared" si="0"/>
        <v>595231</v>
      </c>
    </row>
    <row r="12" spans="1:9" ht="13.15" customHeight="1" x14ac:dyDescent="0.3">
      <c r="A12" s="43"/>
      <c r="B12" s="39" t="s">
        <v>310</v>
      </c>
      <c r="C12" s="27" t="s">
        <v>258</v>
      </c>
      <c r="D12" s="27" t="s">
        <v>105</v>
      </c>
      <c r="E12" s="28">
        <f>ROUNDDOWN(집계표!I20, 0)</f>
        <v>30610</v>
      </c>
      <c r="F12" s="27" t="s">
        <v>105</v>
      </c>
      <c r="G12" s="1" t="s">
        <v>259</v>
      </c>
      <c r="H12">
        <v>0</v>
      </c>
      <c r="I12">
        <f t="shared" si="0"/>
        <v>30610</v>
      </c>
    </row>
    <row r="13" spans="1:9" ht="13.15" customHeight="1" x14ac:dyDescent="0.3">
      <c r="A13" s="40"/>
      <c r="B13" s="40"/>
      <c r="C13" s="29" t="s">
        <v>260</v>
      </c>
      <c r="D13" s="35" t="str">
        <f>"(노)*"&amp;H13*100&amp;"%"</f>
        <v>(노)*3.56%</v>
      </c>
      <c r="E13" s="30">
        <f>ROUNDDOWN((E11)*H13, 0)</f>
        <v>21190</v>
      </c>
      <c r="F13" s="29" t="s">
        <v>105</v>
      </c>
      <c r="G13" s="1" t="s">
        <v>261</v>
      </c>
      <c r="H13">
        <v>3.56E-2</v>
      </c>
      <c r="I13">
        <f t="shared" si="0"/>
        <v>21190</v>
      </c>
    </row>
    <row r="14" spans="1:9" ht="13.15" customHeight="1" x14ac:dyDescent="0.3">
      <c r="A14" s="40"/>
      <c r="B14" s="40"/>
      <c r="C14" s="29" t="s">
        <v>262</v>
      </c>
      <c r="D14" s="35" t="str">
        <f>"(노)*"&amp;H14*100&amp;"%"</f>
        <v>(노)*1.01%</v>
      </c>
      <c r="E14" s="30">
        <f>ROUNDDOWN((E11)*H14, 0)</f>
        <v>6011</v>
      </c>
      <c r="F14" s="29" t="s">
        <v>105</v>
      </c>
      <c r="G14" s="1" t="s">
        <v>263</v>
      </c>
      <c r="H14">
        <v>1.01E-2</v>
      </c>
      <c r="I14">
        <f t="shared" si="0"/>
        <v>6011</v>
      </c>
    </row>
    <row r="15" spans="1:9" ht="13.15" customHeight="1" x14ac:dyDescent="0.3">
      <c r="A15" s="40"/>
      <c r="B15" s="40"/>
      <c r="C15" s="29" t="s">
        <v>264</v>
      </c>
      <c r="D15" s="29" t="s">
        <v>105</v>
      </c>
      <c r="E15" s="69">
        <v>18211</v>
      </c>
      <c r="F15" s="29" t="s">
        <v>105</v>
      </c>
      <c r="G15" s="1" t="s">
        <v>265</v>
      </c>
      <c r="H15">
        <v>0</v>
      </c>
      <c r="I15">
        <f t="shared" si="0"/>
        <v>18211</v>
      </c>
    </row>
    <row r="16" spans="1:9" ht="13.15" customHeight="1" x14ac:dyDescent="0.3">
      <c r="A16" s="40"/>
      <c r="B16" s="40"/>
      <c r="C16" s="29" t="s">
        <v>266</v>
      </c>
      <c r="D16" s="29" t="s">
        <v>105</v>
      </c>
      <c r="E16" s="69">
        <v>24062</v>
      </c>
      <c r="F16" s="29" t="s">
        <v>105</v>
      </c>
      <c r="G16" s="1" t="s">
        <v>267</v>
      </c>
      <c r="H16">
        <v>0</v>
      </c>
      <c r="I16">
        <f t="shared" si="0"/>
        <v>24062</v>
      </c>
    </row>
    <row r="17" spans="1:9" ht="13.15" customHeight="1" x14ac:dyDescent="0.3">
      <c r="A17" s="40"/>
      <c r="B17" s="40"/>
      <c r="C17" s="29" t="s">
        <v>268</v>
      </c>
      <c r="D17" s="29" t="s">
        <v>105</v>
      </c>
      <c r="E17" s="69">
        <v>2392</v>
      </c>
      <c r="F17" s="29" t="s">
        <v>105</v>
      </c>
      <c r="G17" s="1" t="s">
        <v>269</v>
      </c>
      <c r="H17">
        <v>0</v>
      </c>
      <c r="I17">
        <f t="shared" si="0"/>
        <v>2392</v>
      </c>
    </row>
    <row r="18" spans="1:9" ht="13.15" customHeight="1" x14ac:dyDescent="0.3">
      <c r="A18" s="40"/>
      <c r="B18" s="40"/>
      <c r="C18" s="29" t="s">
        <v>270</v>
      </c>
      <c r="D18" s="29" t="s">
        <v>105</v>
      </c>
      <c r="E18" s="30">
        <f>ROUNDDOWN((E9)*H18, 0)</f>
        <v>0</v>
      </c>
      <c r="F18" s="29" t="s">
        <v>105</v>
      </c>
      <c r="G18" s="1" t="s">
        <v>271</v>
      </c>
      <c r="H18">
        <v>0</v>
      </c>
      <c r="I18">
        <f t="shared" si="0"/>
        <v>0</v>
      </c>
    </row>
    <row r="19" spans="1:9" ht="13.15" customHeight="1" x14ac:dyDescent="0.3">
      <c r="A19" s="40"/>
      <c r="B19" s="40"/>
      <c r="C19" s="29" t="s">
        <v>272</v>
      </c>
      <c r="D19" s="35" t="str">
        <f>"(재+직.노+(관급-0)/1.1)*"&amp;H19*100&amp;"%"&amp;" &lt; (재+직.노)*3.11%*1.2"</f>
        <v>(재+직.노+(관급-0)/1.1)*3.11% &lt; (재+직.노)*3.11%*1.2</v>
      </c>
      <c r="E19" s="30">
        <f>ROUNDDOWN((E8+E9+(E38-0)/1.1)*H19, 0)</f>
        <v>51116</v>
      </c>
      <c r="F19" s="29" t="s">
        <v>273</v>
      </c>
      <c r="G19" s="1" t="s">
        <v>274</v>
      </c>
      <c r="H19">
        <v>3.1099999999999999E-2</v>
      </c>
      <c r="I19">
        <f t="shared" si="0"/>
        <v>51116</v>
      </c>
    </row>
    <row r="20" spans="1:9" ht="13.15" customHeight="1" x14ac:dyDescent="0.3">
      <c r="A20" s="40"/>
      <c r="B20" s="40"/>
      <c r="C20" s="29" t="s">
        <v>275</v>
      </c>
      <c r="D20" s="35" t="str">
        <f>"(재+노)*"&amp;H20*100&amp;"%"</f>
        <v>(재+노)*5%</v>
      </c>
      <c r="E20" s="30">
        <f>ROUNDDOWN((E8+E11)*H20, 0)</f>
        <v>86612</v>
      </c>
      <c r="F20" s="29" t="s">
        <v>105</v>
      </c>
      <c r="G20" s="1" t="s">
        <v>276</v>
      </c>
      <c r="H20">
        <v>0.05</v>
      </c>
      <c r="I20">
        <f t="shared" si="0"/>
        <v>86612</v>
      </c>
    </row>
    <row r="21" spans="1:9" ht="13.15" customHeight="1" x14ac:dyDescent="0.3">
      <c r="A21" s="40"/>
      <c r="B21" s="40"/>
      <c r="C21" s="29" t="s">
        <v>277</v>
      </c>
      <c r="D21" s="35" t="str">
        <f>"(재+직.노+기.경)*"&amp;H21*100&amp;"%"</f>
        <v>(재+직.노+기.경)*0.3%</v>
      </c>
      <c r="E21" s="30">
        <f>ROUNDDOWN((E8+E9+E12)*H21, 0)</f>
        <v>5022</v>
      </c>
      <c r="F21" s="29" t="s">
        <v>105</v>
      </c>
      <c r="G21" s="1" t="s">
        <v>278</v>
      </c>
      <c r="H21">
        <v>3.0000000000000001E-3</v>
      </c>
      <c r="I21">
        <f t="shared" si="0"/>
        <v>5022</v>
      </c>
    </row>
    <row r="22" spans="1:9" ht="13.15" customHeight="1" x14ac:dyDescent="0.3">
      <c r="A22" s="40"/>
      <c r="B22" s="40"/>
      <c r="C22" s="29" t="s">
        <v>279</v>
      </c>
      <c r="D22" s="35" t="str">
        <f>"(재+직.노+기.경)*"&amp;H22*100&amp;"%"</f>
        <v>(재+직.노+기.경)*0.081%</v>
      </c>
      <c r="E22" s="30">
        <f>ROUNDDOWN((E8+E9+E12)*H22, 0)</f>
        <v>1356</v>
      </c>
      <c r="F22" s="29" t="s">
        <v>105</v>
      </c>
      <c r="G22" s="1" t="s">
        <v>280</v>
      </c>
      <c r="H22">
        <v>8.1000000000000006E-4</v>
      </c>
      <c r="I22">
        <f t="shared" si="0"/>
        <v>1356</v>
      </c>
    </row>
    <row r="23" spans="1:9" ht="13.15" customHeight="1" x14ac:dyDescent="0.3">
      <c r="A23" s="40"/>
      <c r="B23" s="40"/>
      <c r="C23" s="29" t="s">
        <v>281</v>
      </c>
      <c r="D23" s="35" t="str">
        <f>"(재+직.노+기.경)*"&amp;H23*100&amp;"%"&amp;"*(6/12)"</f>
        <v>(재+직.노+기.경)*0.0108%*(6/12)</v>
      </c>
      <c r="E23" s="30">
        <f>ROUNDDOWN((E8+E9+E12)*H23*(6/12), 0)</f>
        <v>90</v>
      </c>
      <c r="F23" s="29" t="s">
        <v>105</v>
      </c>
      <c r="G23" s="1" t="s">
        <v>282</v>
      </c>
      <c r="H23">
        <v>1.0800000000000001E-4</v>
      </c>
      <c r="I23">
        <f t="shared" si="0"/>
        <v>90</v>
      </c>
    </row>
    <row r="24" spans="1:9" ht="13.15" customHeight="1" x14ac:dyDescent="0.3">
      <c r="A24" s="40"/>
      <c r="B24" s="40"/>
      <c r="C24" s="29" t="s">
        <v>283</v>
      </c>
      <c r="D24" s="35" t="str">
        <f>"(재+직.노+기.경)*"&amp;H24*100&amp;"%"</f>
        <v>(재+직.노+기.경)*0.07%</v>
      </c>
      <c r="E24" s="30">
        <f>ROUNDDOWN((E8+E9+E12)*H24, 0)</f>
        <v>1171</v>
      </c>
      <c r="F24" s="29" t="s">
        <v>105</v>
      </c>
      <c r="G24" s="1" t="s">
        <v>284</v>
      </c>
      <c r="H24">
        <v>6.9999999999999999E-4</v>
      </c>
      <c r="I24">
        <f t="shared" si="0"/>
        <v>1171</v>
      </c>
    </row>
    <row r="25" spans="1:9" ht="13.15" customHeight="1" x14ac:dyDescent="0.3">
      <c r="A25" s="40"/>
      <c r="B25" s="40"/>
      <c r="C25" s="29" t="s">
        <v>285</v>
      </c>
      <c r="D25" s="29" t="s">
        <v>105</v>
      </c>
      <c r="E25" s="30">
        <f>집계표!AD20</f>
        <v>0</v>
      </c>
      <c r="F25" s="29" t="s">
        <v>105</v>
      </c>
      <c r="G25" s="1" t="s">
        <v>286</v>
      </c>
      <c r="H25">
        <v>0</v>
      </c>
      <c r="I25">
        <f t="shared" si="0"/>
        <v>0</v>
      </c>
    </row>
    <row r="26" spans="1:9" ht="13.15" customHeight="1" x14ac:dyDescent="0.3">
      <c r="A26" s="40"/>
      <c r="B26" s="40"/>
      <c r="C26" s="29" t="s">
        <v>287</v>
      </c>
      <c r="D26" s="29" t="s">
        <v>105</v>
      </c>
      <c r="E26" s="30">
        <f>집계표!AE20</f>
        <v>0</v>
      </c>
      <c r="F26" s="29" t="s">
        <v>105</v>
      </c>
      <c r="G26" s="1" t="s">
        <v>288</v>
      </c>
      <c r="H26">
        <v>0</v>
      </c>
      <c r="I26">
        <f t="shared" si="0"/>
        <v>0</v>
      </c>
    </row>
    <row r="27" spans="1:9" ht="13.15" customHeight="1" x14ac:dyDescent="0.3">
      <c r="A27" s="40"/>
      <c r="B27" s="40"/>
      <c r="C27" s="29" t="s">
        <v>225</v>
      </c>
      <c r="D27" s="35" t="str">
        <f>"(노)*"&amp;H27*100&amp;"%"</f>
        <v>(노)*0.09%</v>
      </c>
      <c r="E27" s="30">
        <f>ROUNDDOWN((E11)*H27, 0)</f>
        <v>535</v>
      </c>
      <c r="F27" s="29" t="s">
        <v>105</v>
      </c>
      <c r="G27" s="1" t="s">
        <v>289</v>
      </c>
      <c r="H27">
        <v>8.9999999999999998E-4</v>
      </c>
      <c r="I27">
        <f t="shared" si="0"/>
        <v>535</v>
      </c>
    </row>
    <row r="28" spans="1:9" ht="13.15" customHeight="1" x14ac:dyDescent="0.3">
      <c r="A28" s="41"/>
      <c r="B28" s="41"/>
      <c r="C28" s="31" t="s">
        <v>224</v>
      </c>
      <c r="D28" s="34" t="str">
        <f>"(노)*"&amp;H28*100&amp;"%"</f>
        <v>(노)*0.006%</v>
      </c>
      <c r="E28" s="32">
        <f>ROUNDDOWN((E11)*H28, 0)</f>
        <v>35</v>
      </c>
      <c r="F28" s="31" t="s">
        <v>105</v>
      </c>
      <c r="G28" s="1" t="s">
        <v>290</v>
      </c>
      <c r="H28">
        <v>6.0000000000000002E-5</v>
      </c>
      <c r="I28">
        <f t="shared" si="0"/>
        <v>35</v>
      </c>
    </row>
    <row r="29" spans="1:9" ht="13.15" customHeight="1" x14ac:dyDescent="0.3">
      <c r="A29" s="42"/>
      <c r="B29" s="42"/>
      <c r="C29" s="33" t="s">
        <v>251</v>
      </c>
      <c r="D29" s="33" t="s">
        <v>105</v>
      </c>
      <c r="E29" s="21">
        <f>SUM(E12:E28)</f>
        <v>248413</v>
      </c>
      <c r="F29" s="33" t="s">
        <v>105</v>
      </c>
      <c r="G29" s="1" t="s">
        <v>291</v>
      </c>
      <c r="H29">
        <v>0</v>
      </c>
      <c r="I29">
        <f t="shared" si="0"/>
        <v>248413</v>
      </c>
    </row>
    <row r="30" spans="1:9" ht="13.15" customHeight="1" x14ac:dyDescent="0.3">
      <c r="A30" s="42"/>
      <c r="B30" s="54" t="s">
        <v>292</v>
      </c>
      <c r="C30" s="55"/>
      <c r="D30" s="33" t="s">
        <v>105</v>
      </c>
      <c r="E30" s="21">
        <f>E8+E11+E29</f>
        <v>1980668</v>
      </c>
      <c r="F30" s="33" t="s">
        <v>105</v>
      </c>
      <c r="G30" s="1" t="s">
        <v>293</v>
      </c>
      <c r="H30">
        <v>0</v>
      </c>
      <c r="I30">
        <f t="shared" si="0"/>
        <v>1980668</v>
      </c>
    </row>
    <row r="31" spans="1:9" ht="13.15" customHeight="1" x14ac:dyDescent="0.3">
      <c r="A31" s="56" t="s">
        <v>294</v>
      </c>
      <c r="B31" s="57"/>
      <c r="C31" s="57"/>
      <c r="D31" s="36" t="str">
        <f>"(재+노+경)*"&amp;H31*100&amp;"%"</f>
        <v>(재+노+경)*8%</v>
      </c>
      <c r="E31" s="37">
        <f>ROUNDDOWN((E8+E11+E29)*H31, 0)</f>
        <v>158453</v>
      </c>
      <c r="F31" s="38" t="s">
        <v>105</v>
      </c>
      <c r="G31" s="1" t="s">
        <v>161</v>
      </c>
      <c r="H31">
        <v>0.08</v>
      </c>
      <c r="I31">
        <f t="shared" si="0"/>
        <v>158453</v>
      </c>
    </row>
    <row r="32" spans="1:9" ht="13.15" customHeight="1" x14ac:dyDescent="0.3">
      <c r="A32" s="56" t="s">
        <v>249</v>
      </c>
      <c r="B32" s="57"/>
      <c r="C32" s="57"/>
      <c r="D32" s="38" t="s">
        <v>105</v>
      </c>
      <c r="E32" s="37">
        <f>집계표!AF20</f>
        <v>0</v>
      </c>
      <c r="F32" s="38" t="s">
        <v>105</v>
      </c>
      <c r="G32" s="1" t="s">
        <v>295</v>
      </c>
      <c r="H32">
        <v>0</v>
      </c>
      <c r="I32">
        <f t="shared" si="0"/>
        <v>0</v>
      </c>
    </row>
    <row r="33" spans="1:10" ht="13.15" customHeight="1" x14ac:dyDescent="0.3">
      <c r="A33" s="56" t="s">
        <v>296</v>
      </c>
      <c r="B33" s="57"/>
      <c r="C33" s="57"/>
      <c r="D33" s="36" t="s">
        <v>312</v>
      </c>
      <c r="E33" s="37">
        <v>129270</v>
      </c>
      <c r="F33" s="38" t="s">
        <v>105</v>
      </c>
      <c r="G33" s="1" t="s">
        <v>149</v>
      </c>
      <c r="H33">
        <v>0.1</v>
      </c>
      <c r="I33">
        <f>(I11+I29+I31)*H33</f>
        <v>100209.70000000001</v>
      </c>
    </row>
    <row r="34" spans="1:10" ht="13.15" customHeight="1" x14ac:dyDescent="0.3">
      <c r="A34" s="56" t="s">
        <v>297</v>
      </c>
      <c r="B34" s="57"/>
      <c r="C34" s="57"/>
      <c r="D34" s="38" t="s">
        <v>105</v>
      </c>
      <c r="E34" s="70">
        <f>ROUNDDOWN(SUM(E30:E33),-3)</f>
        <v>2268000</v>
      </c>
      <c r="F34" s="38" t="s">
        <v>105</v>
      </c>
      <c r="G34" s="1" t="s">
        <v>298</v>
      </c>
      <c r="H34">
        <v>0</v>
      </c>
      <c r="I34">
        <f>SUM(I30:I33)</f>
        <v>2239330.7000000002</v>
      </c>
    </row>
    <row r="35" spans="1:10" ht="13.15" customHeight="1" x14ac:dyDescent="0.3">
      <c r="A35" s="56" t="s">
        <v>299</v>
      </c>
      <c r="B35" s="57"/>
      <c r="C35" s="57"/>
      <c r="D35" s="36" t="str">
        <f>"(총원가)*"&amp;H35*100&amp;"%"</f>
        <v>(총원가)*10%</v>
      </c>
      <c r="E35" s="70">
        <f t="shared" ref="E35" si="1">ROUNDDOWN((E34*0.1),-3)</f>
        <v>226000</v>
      </c>
      <c r="F35" s="38" t="s">
        <v>105</v>
      </c>
      <c r="G35" s="1" t="s">
        <v>300</v>
      </c>
      <c r="H35">
        <v>0.1</v>
      </c>
      <c r="I35">
        <f>ROUNDDOWN((I34)*H35, 0)+22</f>
        <v>223955</v>
      </c>
      <c r="J35">
        <v>22</v>
      </c>
    </row>
    <row r="36" spans="1:10" ht="13.15" customHeight="1" x14ac:dyDescent="0.3">
      <c r="A36" s="54" t="s">
        <v>301</v>
      </c>
      <c r="B36" s="55"/>
      <c r="C36" s="55"/>
      <c r="D36" s="33" t="s">
        <v>105</v>
      </c>
      <c r="E36" s="71">
        <f t="shared" ref="E36" si="2">ROUNDDOWN(SUM(E34:E35),-3)</f>
        <v>2494000</v>
      </c>
      <c r="F36" s="33" t="s">
        <v>105</v>
      </c>
      <c r="G36" s="1" t="s">
        <v>302</v>
      </c>
      <c r="H36">
        <v>0</v>
      </c>
      <c r="I36">
        <f>I34+I35</f>
        <v>2463285.7000000002</v>
      </c>
    </row>
    <row r="37" spans="1:10" ht="13.15" customHeight="1" x14ac:dyDescent="0.3">
      <c r="A37" s="56" t="s">
        <v>222</v>
      </c>
      <c r="B37" s="57"/>
      <c r="C37" s="57"/>
      <c r="D37" s="38" t="s">
        <v>105</v>
      </c>
      <c r="E37" s="37">
        <f>집계표!AG20</f>
        <v>0</v>
      </c>
      <c r="F37" s="38" t="s">
        <v>105</v>
      </c>
      <c r="G37" s="1" t="s">
        <v>169</v>
      </c>
      <c r="H37">
        <v>0</v>
      </c>
      <c r="I37">
        <f>E37</f>
        <v>0</v>
      </c>
    </row>
    <row r="38" spans="1:10" ht="13.15" customHeight="1" x14ac:dyDescent="0.3">
      <c r="A38" s="56" t="s">
        <v>303</v>
      </c>
      <c r="B38" s="57"/>
      <c r="C38" s="57"/>
      <c r="D38" s="38" t="s">
        <v>105</v>
      </c>
      <c r="E38" s="37">
        <f>집계표!AA20</f>
        <v>0</v>
      </c>
      <c r="F38" s="38" t="s">
        <v>105</v>
      </c>
      <c r="G38" s="1" t="s">
        <v>304</v>
      </c>
      <c r="H38">
        <v>0</v>
      </c>
      <c r="I38">
        <f>E38</f>
        <v>0</v>
      </c>
    </row>
    <row r="39" spans="1:10" ht="13.15" customHeight="1" x14ac:dyDescent="0.3">
      <c r="A39" s="56" t="s">
        <v>305</v>
      </c>
      <c r="B39" s="57"/>
      <c r="C39" s="57"/>
      <c r="D39" s="38" t="s">
        <v>105</v>
      </c>
      <c r="E39" s="37">
        <f>집계표!Z20</f>
        <v>0</v>
      </c>
      <c r="F39" s="38" t="s">
        <v>105</v>
      </c>
      <c r="G39" s="1" t="s">
        <v>306</v>
      </c>
      <c r="H39">
        <v>0</v>
      </c>
      <c r="I39">
        <f>E39</f>
        <v>0</v>
      </c>
    </row>
    <row r="40" spans="1:10" ht="13.15" customHeight="1" x14ac:dyDescent="0.3">
      <c r="A40" s="56" t="s">
        <v>307</v>
      </c>
      <c r="B40" s="57"/>
      <c r="C40" s="57"/>
      <c r="D40" s="38" t="s">
        <v>105</v>
      </c>
      <c r="E40" s="37">
        <f>집계표!W20</f>
        <v>0</v>
      </c>
      <c r="F40" s="38" t="s">
        <v>105</v>
      </c>
      <c r="G40" s="1" t="s">
        <v>21</v>
      </c>
      <c r="H40">
        <v>0</v>
      </c>
      <c r="I40">
        <f>E40</f>
        <v>0</v>
      </c>
    </row>
    <row r="41" spans="1:10" ht="13.15" customHeight="1" x14ac:dyDescent="0.3">
      <c r="A41" s="54" t="s">
        <v>308</v>
      </c>
      <c r="B41" s="55"/>
      <c r="C41" s="55"/>
      <c r="D41" s="33" t="s">
        <v>105</v>
      </c>
      <c r="E41" s="21">
        <f>ROUNDDOWN(E36+E37+E38+E39+E40, 0)</f>
        <v>2494000</v>
      </c>
      <c r="F41" s="33" t="s">
        <v>105</v>
      </c>
      <c r="H41">
        <v>0</v>
      </c>
      <c r="I41">
        <f>I36+I37+I38+I39+I40</f>
        <v>2463285.7000000002</v>
      </c>
    </row>
  </sheetData>
  <mergeCells count="22">
    <mergeCell ref="A41:C41"/>
    <mergeCell ref="B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B5:B8"/>
    <mergeCell ref="B9:B11"/>
    <mergeCell ref="B12:B29"/>
    <mergeCell ref="A5:A30"/>
    <mergeCell ref="A1:F1"/>
    <mergeCell ref="A2:F2"/>
    <mergeCell ref="A3:C4"/>
    <mergeCell ref="D3:D4"/>
    <mergeCell ref="E3:E4"/>
    <mergeCell ref="F3:F4"/>
  </mergeCells>
  <phoneticPr fontId="1" type="noConversion"/>
  <conditionalFormatting sqref="A5:F33 A37:F41 A34:D36 F34:F36">
    <cfRule type="containsText" dxfId="31" priority="5" stopIfTrue="1" operator="containsText" text=".">
      <formula>NOT(ISERROR(SEARCH(".",A5)))</formula>
    </cfRule>
    <cfRule type="notContainsText" dxfId="30" priority="6" stopIfTrue="1" operator="notContains" text=".">
      <formula>ISERROR(SEARCH(".",A5))</formula>
    </cfRule>
  </conditionalFormatting>
  <conditionalFormatting sqref="E34:E36">
    <cfRule type="containsText" dxfId="1" priority="1" stopIfTrue="1" operator="containsText" text="=">
      <formula>"="</formula>
    </cfRule>
    <cfRule type="containsText" dxfId="0" priority="2" stopIfTrue="1" operator="containsText" text="=">
      <formula>"="</formula>
    </cfRule>
  </conditionalFormatting>
  <pageMargins left="0.74555149110298213" right="0" top="0.54870109740219475" bottom="0.1388888888888889" header="0.3" footer="0.1388888888888889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62D9-1DCE-4531-9EB1-4020BE13DFB9}">
  <sheetPr>
    <tabColor rgb="FFFFFFB7"/>
  </sheetPr>
  <dimension ref="A1:Q36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P1"/>
    </sheetView>
  </sheetViews>
  <sheetFormatPr defaultRowHeight="16.5" x14ac:dyDescent="0.3"/>
  <cols>
    <col min="1" max="2" width="17.75" style="2" customWidth="1"/>
    <col min="3" max="3" width="3.75" style="3" customWidth="1"/>
    <col min="4" max="4" width="6.75" style="4" customWidth="1"/>
    <col min="5" max="5" width="4.75" style="4" customWidth="1"/>
    <col min="6" max="6" width="6.75" style="4" customWidth="1"/>
    <col min="7" max="7" width="4.75" style="4" customWidth="1"/>
    <col min="8" max="9" width="6.75" style="4" customWidth="1"/>
    <col min="10" max="10" width="4.75" style="4" customWidth="1"/>
    <col min="11" max="11" width="6.75" style="4" customWidth="1"/>
    <col min="12" max="12" width="4.75" style="4" customWidth="1"/>
    <col min="13" max="14" width="6.75" style="4" customWidth="1"/>
    <col min="15" max="15" width="7.75" style="4" customWidth="1"/>
    <col min="16" max="16" width="7.75" style="2" customWidth="1"/>
    <col min="17" max="17" width="0" hidden="1" customWidth="1"/>
  </cols>
  <sheetData>
    <row r="1" spans="1:17" ht="30" customHeight="1" x14ac:dyDescent="0.3">
      <c r="A1" s="44" t="s">
        <v>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7" ht="22.9" customHeight="1" x14ac:dyDescent="0.3">
      <c r="A2" s="45" t="s">
        <v>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2.9" customHeight="1" x14ac:dyDescent="0.3">
      <c r="A3" s="68" t="s">
        <v>4</v>
      </c>
      <c r="B3" s="68" t="s">
        <v>5</v>
      </c>
      <c r="C3" s="68" t="s">
        <v>6</v>
      </c>
      <c r="D3" s="68" t="s">
        <v>7</v>
      </c>
      <c r="E3" s="68"/>
      <c r="F3" s="68" t="s">
        <v>8</v>
      </c>
      <c r="G3" s="68"/>
      <c r="H3" s="5" t="s">
        <v>9</v>
      </c>
      <c r="I3" s="68" t="s">
        <v>10</v>
      </c>
      <c r="J3" s="68"/>
      <c r="K3" s="68" t="s">
        <v>11</v>
      </c>
      <c r="L3" s="68"/>
      <c r="M3" s="5" t="s">
        <v>12</v>
      </c>
      <c r="N3" s="5" t="s">
        <v>13</v>
      </c>
      <c r="O3" s="68" t="s">
        <v>14</v>
      </c>
      <c r="P3" s="68" t="s">
        <v>15</v>
      </c>
    </row>
    <row r="4" spans="1:17" ht="22.9" customHeight="1" x14ac:dyDescent="0.3">
      <c r="A4" s="68"/>
      <c r="B4" s="68"/>
      <c r="C4" s="68"/>
      <c r="D4" s="5" t="s">
        <v>16</v>
      </c>
      <c r="E4" s="5" t="s">
        <v>17</v>
      </c>
      <c r="F4" s="5" t="s">
        <v>16</v>
      </c>
      <c r="G4" s="5" t="s">
        <v>17</v>
      </c>
      <c r="H4" s="5" t="s">
        <v>16</v>
      </c>
      <c r="I4" s="5" t="s">
        <v>16</v>
      </c>
      <c r="J4" s="5" t="s">
        <v>17</v>
      </c>
      <c r="K4" s="5" t="s">
        <v>16</v>
      </c>
      <c r="L4" s="5" t="s">
        <v>17</v>
      </c>
      <c r="M4" s="5" t="s">
        <v>16</v>
      </c>
      <c r="N4" s="5" t="s">
        <v>16</v>
      </c>
      <c r="O4" s="68"/>
      <c r="P4" s="68"/>
      <c r="Q4" t="s">
        <v>18</v>
      </c>
    </row>
    <row r="5" spans="1:17" ht="22.9" customHeight="1" x14ac:dyDescent="0.3">
      <c r="A5" s="6" t="s">
        <v>19</v>
      </c>
      <c r="B5" s="6" t="s">
        <v>20</v>
      </c>
      <c r="C5" s="7" t="s">
        <v>21</v>
      </c>
      <c r="D5" s="8">
        <v>1745</v>
      </c>
      <c r="E5" s="9" t="s">
        <v>22</v>
      </c>
      <c r="F5" s="8"/>
      <c r="G5" s="8"/>
      <c r="H5" s="8">
        <v>1657</v>
      </c>
      <c r="I5" s="8">
        <v>1864</v>
      </c>
      <c r="J5" s="9" t="s">
        <v>23</v>
      </c>
      <c r="K5" s="8">
        <v>1748</v>
      </c>
      <c r="L5" s="9" t="s">
        <v>24</v>
      </c>
      <c r="M5" s="8"/>
      <c r="N5" s="8"/>
      <c r="O5" s="8">
        <f t="shared" ref="O5:O13" si="0">MIN(D5,F5,H5,I5,K5,M5,N5)</f>
        <v>1657</v>
      </c>
      <c r="P5" s="10"/>
    </row>
    <row r="6" spans="1:17" ht="22.9" customHeight="1" x14ac:dyDescent="0.3">
      <c r="A6" s="6" t="s">
        <v>25</v>
      </c>
      <c r="B6" s="6" t="s">
        <v>26</v>
      </c>
      <c r="C6" s="7" t="s">
        <v>21</v>
      </c>
      <c r="D6" s="8">
        <v>1781</v>
      </c>
      <c r="E6" s="9" t="s">
        <v>22</v>
      </c>
      <c r="F6" s="8">
        <v>1861</v>
      </c>
      <c r="G6" s="9" t="s">
        <v>27</v>
      </c>
      <c r="H6" s="8">
        <v>1676</v>
      </c>
      <c r="I6" s="8">
        <v>1834</v>
      </c>
      <c r="J6" s="9" t="s">
        <v>23</v>
      </c>
      <c r="K6" s="8">
        <v>1755</v>
      </c>
      <c r="L6" s="9" t="s">
        <v>24</v>
      </c>
      <c r="M6" s="8"/>
      <c r="N6" s="8"/>
      <c r="O6" s="8">
        <f t="shared" si="0"/>
        <v>1676</v>
      </c>
      <c r="P6" s="10"/>
    </row>
    <row r="7" spans="1:17" ht="22.9" customHeight="1" x14ac:dyDescent="0.3">
      <c r="A7" s="6" t="s">
        <v>28</v>
      </c>
      <c r="B7" s="6" t="s">
        <v>29</v>
      </c>
      <c r="C7" s="7" t="s">
        <v>30</v>
      </c>
      <c r="D7" s="8"/>
      <c r="E7" s="8"/>
      <c r="F7" s="8"/>
      <c r="G7" s="8"/>
      <c r="H7" s="8">
        <v>169800</v>
      </c>
      <c r="I7" s="8"/>
      <c r="J7" s="8"/>
      <c r="K7" s="8"/>
      <c r="L7" s="8"/>
      <c r="M7" s="8"/>
      <c r="N7" s="8"/>
      <c r="O7" s="8">
        <f t="shared" si="0"/>
        <v>169800</v>
      </c>
      <c r="P7" s="6" t="s">
        <v>31</v>
      </c>
    </row>
    <row r="8" spans="1:17" ht="22.9" customHeight="1" x14ac:dyDescent="0.3">
      <c r="A8" s="6" t="s">
        <v>32</v>
      </c>
      <c r="B8" s="6" t="s">
        <v>33</v>
      </c>
      <c r="C8" s="7" t="s">
        <v>34</v>
      </c>
      <c r="D8" s="8">
        <v>2500</v>
      </c>
      <c r="E8" s="9" t="s">
        <v>35</v>
      </c>
      <c r="F8" s="8"/>
      <c r="G8" s="8"/>
      <c r="H8" s="8"/>
      <c r="I8" s="8">
        <v>3000</v>
      </c>
      <c r="J8" s="9" t="s">
        <v>36</v>
      </c>
      <c r="K8" s="8">
        <v>2500</v>
      </c>
      <c r="L8" s="9" t="s">
        <v>37</v>
      </c>
      <c r="M8" s="8"/>
      <c r="N8" s="8"/>
      <c r="O8" s="8">
        <f t="shared" si="0"/>
        <v>2500</v>
      </c>
      <c r="P8" s="6" t="s">
        <v>38</v>
      </c>
    </row>
    <row r="9" spans="1:17" ht="22.9" customHeight="1" x14ac:dyDescent="0.3">
      <c r="A9" s="6" t="s">
        <v>39</v>
      </c>
      <c r="B9" s="6" t="s">
        <v>40</v>
      </c>
      <c r="C9" s="7" t="s">
        <v>41</v>
      </c>
      <c r="D9" s="8"/>
      <c r="E9" s="8"/>
      <c r="F9" s="8">
        <v>45000</v>
      </c>
      <c r="G9" s="9" t="s">
        <v>42</v>
      </c>
      <c r="H9" s="8">
        <v>45000</v>
      </c>
      <c r="I9" s="8">
        <v>45000</v>
      </c>
      <c r="J9" s="9" t="s">
        <v>43</v>
      </c>
      <c r="K9" s="8">
        <v>45000</v>
      </c>
      <c r="L9" s="9" t="s">
        <v>44</v>
      </c>
      <c r="M9" s="8"/>
      <c r="N9" s="8"/>
      <c r="O9" s="8">
        <f t="shared" si="0"/>
        <v>45000</v>
      </c>
      <c r="P9" s="10"/>
    </row>
    <row r="10" spans="1:17" ht="22.9" customHeight="1" x14ac:dyDescent="0.3">
      <c r="A10" s="6" t="s">
        <v>45</v>
      </c>
      <c r="B10" s="6" t="s">
        <v>46</v>
      </c>
      <c r="C10" s="7" t="s">
        <v>41</v>
      </c>
      <c r="D10" s="8">
        <v>28000</v>
      </c>
      <c r="E10" s="9" t="s">
        <v>35</v>
      </c>
      <c r="F10" s="8"/>
      <c r="G10" s="8"/>
      <c r="H10" s="8"/>
      <c r="I10" s="8">
        <v>28000</v>
      </c>
      <c r="J10" s="9" t="s">
        <v>47</v>
      </c>
      <c r="K10" s="8">
        <v>28000</v>
      </c>
      <c r="L10" s="9" t="s">
        <v>48</v>
      </c>
      <c r="M10" s="8"/>
      <c r="N10" s="8"/>
      <c r="O10" s="8">
        <f t="shared" si="0"/>
        <v>28000</v>
      </c>
      <c r="P10" s="10"/>
    </row>
    <row r="11" spans="1:17" ht="22.9" customHeight="1" x14ac:dyDescent="0.3">
      <c r="A11" s="6" t="s">
        <v>49</v>
      </c>
      <c r="B11" s="6" t="s">
        <v>50</v>
      </c>
      <c r="C11" s="7" t="s">
        <v>51</v>
      </c>
      <c r="D11" s="8"/>
      <c r="E11" s="8"/>
      <c r="F11" s="8">
        <v>110000</v>
      </c>
      <c r="G11" s="9" t="s">
        <v>52</v>
      </c>
      <c r="H11" s="8"/>
      <c r="I11" s="8"/>
      <c r="J11" s="8"/>
      <c r="K11" s="8"/>
      <c r="L11" s="8"/>
      <c r="M11" s="8"/>
      <c r="N11" s="8"/>
      <c r="O11" s="8">
        <f t="shared" si="0"/>
        <v>110000</v>
      </c>
      <c r="P11" s="10"/>
    </row>
    <row r="12" spans="1:17" ht="22.9" customHeight="1" x14ac:dyDescent="0.3">
      <c r="A12" s="6" t="s">
        <v>53</v>
      </c>
      <c r="B12" s="6" t="s">
        <v>54</v>
      </c>
      <c r="C12" s="7" t="s">
        <v>34</v>
      </c>
      <c r="D12" s="8"/>
      <c r="E12" s="8"/>
      <c r="F12" s="8"/>
      <c r="G12" s="8"/>
      <c r="H12" s="8"/>
      <c r="I12" s="8">
        <v>95800</v>
      </c>
      <c r="J12" s="9" t="s">
        <v>55</v>
      </c>
      <c r="K12" s="8"/>
      <c r="L12" s="8"/>
      <c r="M12" s="8"/>
      <c r="N12" s="8"/>
      <c r="O12" s="8">
        <f t="shared" si="0"/>
        <v>95800</v>
      </c>
      <c r="P12" s="10"/>
    </row>
    <row r="13" spans="1:17" ht="22.9" customHeight="1" x14ac:dyDescent="0.3">
      <c r="A13" s="6" t="s">
        <v>56</v>
      </c>
      <c r="B13" s="6" t="s">
        <v>57</v>
      </c>
      <c r="C13" s="7" t="s">
        <v>58</v>
      </c>
      <c r="D13" s="8">
        <v>27347</v>
      </c>
      <c r="E13" s="9" t="s">
        <v>59</v>
      </c>
      <c r="F13" s="8">
        <v>31417</v>
      </c>
      <c r="G13" s="9" t="s">
        <v>60</v>
      </c>
      <c r="H13" s="8"/>
      <c r="I13" s="8">
        <v>31117</v>
      </c>
      <c r="J13" s="9" t="s">
        <v>61</v>
      </c>
      <c r="K13" s="8">
        <v>42275</v>
      </c>
      <c r="L13" s="9" t="s">
        <v>62</v>
      </c>
      <c r="M13" s="8"/>
      <c r="N13" s="8"/>
      <c r="O13" s="8">
        <f t="shared" si="0"/>
        <v>27347</v>
      </c>
      <c r="P13" s="6" t="s">
        <v>63</v>
      </c>
    </row>
    <row r="14" spans="1:17" ht="22.9" customHeight="1" x14ac:dyDescent="0.3">
      <c r="A14" s="6" t="s">
        <v>64</v>
      </c>
      <c r="B14" s="6" t="s">
        <v>65</v>
      </c>
      <c r="C14" s="7" t="s">
        <v>66</v>
      </c>
      <c r="D14" s="8"/>
      <c r="E14" s="8"/>
      <c r="F14" s="8"/>
      <c r="G14" s="8"/>
      <c r="H14" s="8"/>
      <c r="I14" s="8"/>
      <c r="J14" s="8"/>
      <c r="K14" s="8"/>
      <c r="L14" s="8"/>
      <c r="M14" s="8">
        <v>283297</v>
      </c>
      <c r="N14" s="8"/>
      <c r="O14" s="8">
        <f t="shared" ref="O14:O19" si="1">M14</f>
        <v>283297</v>
      </c>
      <c r="P14" s="6" t="s">
        <v>67</v>
      </c>
    </row>
    <row r="15" spans="1:17" ht="22.9" customHeight="1" x14ac:dyDescent="0.3">
      <c r="A15" s="6" t="s">
        <v>68</v>
      </c>
      <c r="B15" s="6" t="s">
        <v>65</v>
      </c>
      <c r="C15" s="7" t="s">
        <v>66</v>
      </c>
      <c r="D15" s="8"/>
      <c r="E15" s="8"/>
      <c r="F15" s="8"/>
      <c r="G15" s="8"/>
      <c r="H15" s="8"/>
      <c r="I15" s="8"/>
      <c r="J15" s="8"/>
      <c r="K15" s="8"/>
      <c r="L15" s="8"/>
      <c r="M15" s="8">
        <v>262580</v>
      </c>
      <c r="N15" s="8"/>
      <c r="O15" s="8">
        <f t="shared" si="1"/>
        <v>262580</v>
      </c>
      <c r="P15" s="10"/>
    </row>
    <row r="16" spans="1:17" ht="22.9" customHeight="1" x14ac:dyDescent="0.3">
      <c r="A16" s="6" t="s">
        <v>69</v>
      </c>
      <c r="B16" s="6" t="s">
        <v>65</v>
      </c>
      <c r="C16" s="7" t="s">
        <v>66</v>
      </c>
      <c r="D16" s="8"/>
      <c r="E16" s="8"/>
      <c r="F16" s="8"/>
      <c r="G16" s="8"/>
      <c r="H16" s="8"/>
      <c r="I16" s="8"/>
      <c r="J16" s="8"/>
      <c r="K16" s="8"/>
      <c r="L16" s="8"/>
      <c r="M16" s="8">
        <v>172068</v>
      </c>
      <c r="N16" s="8"/>
      <c r="O16" s="8">
        <f t="shared" si="1"/>
        <v>172068</v>
      </c>
      <c r="P16" s="10"/>
    </row>
    <row r="17" spans="1:16" ht="22.9" customHeight="1" x14ac:dyDescent="0.3">
      <c r="A17" s="6" t="s">
        <v>70</v>
      </c>
      <c r="B17" s="6" t="s">
        <v>65</v>
      </c>
      <c r="C17" s="7" t="s">
        <v>66</v>
      </c>
      <c r="D17" s="8"/>
      <c r="E17" s="8"/>
      <c r="F17" s="8"/>
      <c r="G17" s="8"/>
      <c r="H17" s="8"/>
      <c r="I17" s="8"/>
      <c r="J17" s="8"/>
      <c r="K17" s="8"/>
      <c r="L17" s="8"/>
      <c r="M17" s="8">
        <v>173995</v>
      </c>
      <c r="N17" s="8"/>
      <c r="O17" s="8">
        <f t="shared" si="1"/>
        <v>173995</v>
      </c>
      <c r="P17" s="6" t="s">
        <v>71</v>
      </c>
    </row>
    <row r="18" spans="1:16" ht="22.9" customHeight="1" x14ac:dyDescent="0.3">
      <c r="A18" s="6" t="s">
        <v>72</v>
      </c>
      <c r="B18" s="6" t="s">
        <v>65</v>
      </c>
      <c r="C18" s="7" t="s">
        <v>66</v>
      </c>
      <c r="D18" s="8"/>
      <c r="E18" s="8"/>
      <c r="F18" s="8"/>
      <c r="G18" s="8"/>
      <c r="H18" s="8"/>
      <c r="I18" s="8"/>
      <c r="J18" s="8"/>
      <c r="K18" s="8"/>
      <c r="L18" s="8"/>
      <c r="M18" s="8">
        <v>247188</v>
      </c>
      <c r="N18" s="8"/>
      <c r="O18" s="8">
        <f t="shared" si="1"/>
        <v>247188</v>
      </c>
      <c r="P18" s="6" t="s">
        <v>73</v>
      </c>
    </row>
    <row r="19" spans="1:16" ht="22.9" customHeight="1" x14ac:dyDescent="0.3">
      <c r="A19" s="6" t="s">
        <v>74</v>
      </c>
      <c r="B19" s="6" t="s">
        <v>65</v>
      </c>
      <c r="C19" s="7" t="s">
        <v>66</v>
      </c>
      <c r="D19" s="8"/>
      <c r="E19" s="8"/>
      <c r="F19" s="8"/>
      <c r="G19" s="8"/>
      <c r="H19" s="8"/>
      <c r="I19" s="8"/>
      <c r="J19" s="8"/>
      <c r="K19" s="8"/>
      <c r="L19" s="8"/>
      <c r="M19" s="8">
        <v>226122</v>
      </c>
      <c r="N19" s="8"/>
      <c r="O19" s="8">
        <f t="shared" si="1"/>
        <v>226122</v>
      </c>
      <c r="P19" s="10"/>
    </row>
    <row r="20" spans="1:16" ht="22.9" customHeight="1" x14ac:dyDescent="0.3">
      <c r="A20" s="6" t="s">
        <v>75</v>
      </c>
      <c r="B20" s="6" t="s">
        <v>76</v>
      </c>
      <c r="C20" s="7" t="s">
        <v>77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>
        <v>66538000</v>
      </c>
      <c r="O20" s="8">
        <f>MIN(D20,F20,H20,I20,K20,M20,N20)</f>
        <v>66538000</v>
      </c>
      <c r="P20" s="6" t="s">
        <v>78</v>
      </c>
    </row>
    <row r="21" spans="1:16" ht="22.9" customHeight="1" x14ac:dyDescent="0.3">
      <c r="A21" s="6" t="s">
        <v>79</v>
      </c>
      <c r="B21" s="6" t="s">
        <v>80</v>
      </c>
      <c r="C21" s="7" t="s">
        <v>77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>
        <v>78059000</v>
      </c>
      <c r="O21" s="8">
        <f>MIN(D21,F21,H21,I21,K21,M21,N21)</f>
        <v>78059000</v>
      </c>
      <c r="P21" s="6" t="s">
        <v>81</v>
      </c>
    </row>
    <row r="22" spans="1:16" ht="22.9" customHeight="1" x14ac:dyDescent="0.3">
      <c r="A22" s="6" t="s">
        <v>82</v>
      </c>
      <c r="B22" s="6" t="s">
        <v>83</v>
      </c>
      <c r="C22" s="7" t="s">
        <v>77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>
        <v>1673000</v>
      </c>
      <c r="O22" s="8">
        <f>MIN(D22,F22,H22,I22,K22,M22,N22)</f>
        <v>1673000</v>
      </c>
      <c r="P22" s="6" t="s">
        <v>84</v>
      </c>
    </row>
    <row r="23" spans="1:16" ht="22.9" customHeight="1" x14ac:dyDescent="0.3">
      <c r="A23" s="10"/>
      <c r="B23" s="10"/>
      <c r="C23" s="11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10"/>
    </row>
    <row r="24" spans="1:16" ht="22.9" customHeight="1" x14ac:dyDescent="0.3">
      <c r="A24" s="10"/>
      <c r="B24" s="10"/>
      <c r="C24" s="11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10"/>
    </row>
    <row r="25" spans="1:16" ht="22.9" customHeight="1" x14ac:dyDescent="0.3">
      <c r="A25" s="10"/>
      <c r="B25" s="10"/>
      <c r="C25" s="11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10"/>
    </row>
    <row r="26" spans="1:16" ht="22.9" customHeight="1" x14ac:dyDescent="0.3">
      <c r="A26" s="10"/>
      <c r="B26" s="10"/>
      <c r="C26" s="11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10"/>
    </row>
    <row r="27" spans="1:16" ht="22.9" customHeight="1" x14ac:dyDescent="0.3">
      <c r="A27" s="10"/>
      <c r="B27" s="10"/>
      <c r="C27" s="11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10"/>
    </row>
    <row r="28" spans="1:16" ht="22.9" customHeight="1" x14ac:dyDescent="0.3">
      <c r="A28" s="10"/>
      <c r="B28" s="10"/>
      <c r="C28" s="11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10"/>
    </row>
    <row r="29" spans="1:16" ht="22.9" customHeight="1" x14ac:dyDescent="0.3">
      <c r="A29" s="10"/>
      <c r="B29" s="10"/>
      <c r="C29" s="11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10"/>
    </row>
    <row r="30" spans="1:16" ht="22.9" customHeight="1" x14ac:dyDescent="0.3">
      <c r="A30" s="10"/>
      <c r="B30" s="10"/>
      <c r="C30" s="11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10"/>
    </row>
    <row r="31" spans="1:16" ht="22.9" customHeight="1" x14ac:dyDescent="0.3">
      <c r="A31" s="10"/>
      <c r="B31" s="10"/>
      <c r="C31" s="11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10"/>
    </row>
    <row r="32" spans="1:16" ht="22.9" customHeight="1" x14ac:dyDescent="0.3">
      <c r="A32" s="10"/>
      <c r="B32" s="10"/>
      <c r="C32" s="11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10"/>
    </row>
    <row r="33" spans="1:16" ht="22.9" customHeight="1" x14ac:dyDescent="0.3">
      <c r="A33" s="10"/>
      <c r="B33" s="10"/>
      <c r="C33" s="11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10"/>
    </row>
    <row r="34" spans="1:16" ht="22.9" customHeight="1" x14ac:dyDescent="0.3">
      <c r="A34" s="10"/>
      <c r="B34" s="10"/>
      <c r="C34" s="11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10"/>
    </row>
    <row r="35" spans="1:16" ht="22.9" customHeight="1" x14ac:dyDescent="0.3">
      <c r="A35" s="10"/>
      <c r="B35" s="10"/>
      <c r="C35" s="11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10"/>
    </row>
    <row r="36" spans="1:16" ht="22.9" customHeight="1" x14ac:dyDescent="0.3">
      <c r="A36" s="10"/>
      <c r="B36" s="10"/>
      <c r="C36" s="11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10"/>
    </row>
  </sheetData>
  <mergeCells count="11">
    <mergeCell ref="K3:L3"/>
    <mergeCell ref="A1:P1"/>
    <mergeCell ref="A2:P2"/>
    <mergeCell ref="A3:A4"/>
    <mergeCell ref="B3:B4"/>
    <mergeCell ref="C3:C4"/>
    <mergeCell ref="O3:O4"/>
    <mergeCell ref="P3:P4"/>
    <mergeCell ref="D3:E3"/>
    <mergeCell ref="F3:G3"/>
    <mergeCell ref="I3:J3"/>
  </mergeCells>
  <phoneticPr fontId="1" type="noConversion"/>
  <conditionalFormatting sqref="A5:P36">
    <cfRule type="containsText" dxfId="13" priority="1" stopIfTrue="1" operator="containsText" text=".">
      <formula>NOT(ISERROR(SEARCH(".",A5)))</formula>
    </cfRule>
    <cfRule type="notContainsText" dxfId="12" priority="2" stopIfTrue="1" operator="notContains" text=".">
      <formula>ISERROR(SEARCH(".",A5))</formula>
    </cfRule>
  </conditionalFormatting>
  <pageMargins left="0.74555149110298213" right="0" top="0.54870109740219475" bottom="0.1388888888888889" header="0.3" footer="0.1388888888888889"/>
  <pageSetup paperSize="9" orientation="landscape" r:id="rId1"/>
  <rowBreaks count="2" manualBreakCount="2">
    <brk id="20" max="16383" man="1"/>
    <brk id="3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A0DBA-7548-45A4-9F3A-94C1077C7007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CF99-5E1B-4023-83FD-CAFFE4A8E6AA}">
  <sheetPr>
    <tabColor rgb="FFF19D86"/>
  </sheetPr>
  <dimension ref="A1:AX52"/>
  <sheetViews>
    <sheetView workbookViewId="0">
      <pane xSplit="3" ySplit="4" topLeftCell="D35" activePane="bottomRight" state="frozen"/>
      <selection pane="topRight" activeCell="D1" sqref="D1"/>
      <selection pane="bottomLeft" activeCell="A5" sqref="A5"/>
      <selection pane="bottomRight" activeCell="D48" sqref="D48"/>
    </sheetView>
  </sheetViews>
  <sheetFormatPr defaultRowHeight="16.5" x14ac:dyDescent="0.3"/>
  <cols>
    <col min="1" max="1" width="41.75" style="2" customWidth="1"/>
    <col min="2" max="3" width="4.75" style="3" customWidth="1"/>
    <col min="4" max="4" width="7.75" style="4" customWidth="1"/>
    <col min="5" max="5" width="9.75" style="4" customWidth="1"/>
    <col min="6" max="6" width="7.75" style="4" customWidth="1"/>
    <col min="7" max="7" width="9.75" style="4" customWidth="1"/>
    <col min="8" max="8" width="7.75" style="4" customWidth="1"/>
    <col min="9" max="9" width="9.75" style="4" customWidth="1"/>
    <col min="10" max="10" width="7.75" style="4" customWidth="1"/>
    <col min="11" max="11" width="9.75" style="4" customWidth="1"/>
    <col min="12" max="12" width="6.75" style="2" customWidth="1"/>
    <col min="13" max="50" width="0" hidden="1" customWidth="1"/>
  </cols>
  <sheetData>
    <row r="1" spans="1:50" ht="30" customHeight="1" x14ac:dyDescent="0.3">
      <c r="A1" s="44" t="s">
        <v>240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50" ht="22.9" customHeight="1" x14ac:dyDescent="0.3">
      <c r="A2" s="45" t="s">
        <v>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50" ht="22.9" customHeight="1" x14ac:dyDescent="0.3">
      <c r="A3" s="53" t="s">
        <v>204</v>
      </c>
      <c r="B3" s="53" t="s">
        <v>6</v>
      </c>
      <c r="C3" s="53" t="s">
        <v>126</v>
      </c>
      <c r="D3" s="53" t="s">
        <v>176</v>
      </c>
      <c r="E3" s="53"/>
      <c r="F3" s="53" t="s">
        <v>177</v>
      </c>
      <c r="G3" s="53"/>
      <c r="H3" s="53" t="s">
        <v>178</v>
      </c>
      <c r="I3" s="53"/>
      <c r="J3" s="53" t="s">
        <v>179</v>
      </c>
      <c r="K3" s="53"/>
      <c r="L3" s="53" t="s">
        <v>206</v>
      </c>
    </row>
    <row r="4" spans="1:50" ht="22.9" customHeight="1" x14ac:dyDescent="0.3">
      <c r="A4" s="53"/>
      <c r="B4" s="53"/>
      <c r="C4" s="53"/>
      <c r="D4" s="12" t="s">
        <v>94</v>
      </c>
      <c r="E4" s="12" t="s">
        <v>190</v>
      </c>
      <c r="F4" s="12" t="s">
        <v>94</v>
      </c>
      <c r="G4" s="12" t="s">
        <v>190</v>
      </c>
      <c r="H4" s="12" t="s">
        <v>94</v>
      </c>
      <c r="I4" s="12" t="s">
        <v>190</v>
      </c>
      <c r="J4" s="12" t="s">
        <v>94</v>
      </c>
      <c r="K4" s="12" t="s">
        <v>190</v>
      </c>
      <c r="L4" s="53"/>
      <c r="M4" t="s">
        <v>96</v>
      </c>
      <c r="N4" t="s">
        <v>97</v>
      </c>
      <c r="O4" t="s">
        <v>98</v>
      </c>
      <c r="P4" t="s">
        <v>99</v>
      </c>
      <c r="Q4" t="s">
        <v>107</v>
      </c>
      <c r="R4" t="s">
        <v>207</v>
      </c>
      <c r="S4" t="s">
        <v>208</v>
      </c>
      <c r="T4" t="s">
        <v>209</v>
      </c>
      <c r="U4" t="s">
        <v>210</v>
      </c>
      <c r="V4" t="s">
        <v>211</v>
      </c>
      <c r="W4" t="s">
        <v>212</v>
      </c>
      <c r="X4" t="s">
        <v>213</v>
      </c>
      <c r="Y4" t="s">
        <v>214</v>
      </c>
      <c r="Z4" t="s">
        <v>215</v>
      </c>
      <c r="AA4" t="s">
        <v>216</v>
      </c>
      <c r="AB4" t="s">
        <v>217</v>
      </c>
      <c r="AC4" t="s">
        <v>218</v>
      </c>
      <c r="AD4" t="s">
        <v>219</v>
      </c>
      <c r="AE4" t="s">
        <v>220</v>
      </c>
      <c r="AF4" t="s">
        <v>221</v>
      </c>
      <c r="AG4" t="s">
        <v>222</v>
      </c>
      <c r="AH4" t="s">
        <v>223</v>
      </c>
      <c r="AI4" t="s">
        <v>224</v>
      </c>
      <c r="AJ4" t="s">
        <v>225</v>
      </c>
      <c r="AK4" t="s">
        <v>226</v>
      </c>
      <c r="AL4" t="s">
        <v>227</v>
      </c>
      <c r="AM4" t="s">
        <v>228</v>
      </c>
      <c r="AN4" t="s">
        <v>229</v>
      </c>
      <c r="AO4" t="s">
        <v>230</v>
      </c>
      <c r="AP4" t="s">
        <v>231</v>
      </c>
      <c r="AQ4" t="s">
        <v>232</v>
      </c>
      <c r="AR4" t="s">
        <v>233</v>
      </c>
      <c r="AS4" t="s">
        <v>234</v>
      </c>
      <c r="AT4" t="s">
        <v>235</v>
      </c>
      <c r="AU4" t="s">
        <v>236</v>
      </c>
      <c r="AV4" t="s">
        <v>100</v>
      </c>
      <c r="AW4" t="s">
        <v>101</v>
      </c>
      <c r="AX4" t="s">
        <v>18</v>
      </c>
    </row>
    <row r="5" spans="1:50" ht="22.9" customHeight="1" x14ac:dyDescent="0.3">
      <c r="A5" s="14" t="s">
        <v>0</v>
      </c>
      <c r="B5" s="16" t="s">
        <v>112</v>
      </c>
      <c r="C5" s="22">
        <v>1</v>
      </c>
      <c r="D5" s="17">
        <f>E36</f>
        <v>784552</v>
      </c>
      <c r="E5" s="17">
        <f>C5*D5</f>
        <v>784552</v>
      </c>
      <c r="F5" s="17">
        <f>G36</f>
        <v>334031</v>
      </c>
      <c r="G5" s="17">
        <f>C5*F5</f>
        <v>334031</v>
      </c>
      <c r="H5" s="17">
        <f>I36</f>
        <v>17727</v>
      </c>
      <c r="I5" s="17">
        <f>C5*H5</f>
        <v>17727</v>
      </c>
      <c r="J5" s="17">
        <f>D5+F5+H5</f>
        <v>1136310</v>
      </c>
      <c r="K5" s="17">
        <f>E5+G5+I5</f>
        <v>1136310</v>
      </c>
      <c r="L5" s="15"/>
      <c r="P5">
        <v>1</v>
      </c>
      <c r="Q5">
        <f>C5*Q36</f>
        <v>17727</v>
      </c>
      <c r="R5">
        <f>C5*R36</f>
        <v>0</v>
      </c>
      <c r="S5">
        <f>C5*S36</f>
        <v>0</v>
      </c>
      <c r="T5">
        <f>C5*T36</f>
        <v>0</v>
      </c>
      <c r="U5">
        <f>C5*U36</f>
        <v>0</v>
      </c>
      <c r="V5">
        <f>C5*V36</f>
        <v>0</v>
      </c>
      <c r="W5">
        <f>C5*W36</f>
        <v>0</v>
      </c>
      <c r="X5">
        <f>C5*X36</f>
        <v>0</v>
      </c>
      <c r="Y5">
        <f>C5*Y36</f>
        <v>0</v>
      </c>
      <c r="Z5">
        <f>C5*Z36</f>
        <v>0</v>
      </c>
      <c r="AA5">
        <f>C5*AA36</f>
        <v>0</v>
      </c>
      <c r="AB5">
        <f>C5*AB36</f>
        <v>0</v>
      </c>
      <c r="AC5">
        <f>C5*AC36</f>
        <v>0</v>
      </c>
      <c r="AD5">
        <f>C5*AD36</f>
        <v>0</v>
      </c>
      <c r="AE5">
        <f>C5*AE36</f>
        <v>0</v>
      </c>
      <c r="AF5">
        <f>C5*AF36</f>
        <v>0</v>
      </c>
      <c r="AG5">
        <f>C5*AG36</f>
        <v>0</v>
      </c>
      <c r="AH5">
        <f>C5*AH36</f>
        <v>0</v>
      </c>
      <c r="AI5">
        <f>C5*AI36</f>
        <v>0</v>
      </c>
      <c r="AJ5">
        <f>C5*AJ36</f>
        <v>0</v>
      </c>
      <c r="AK5">
        <f>C5*AK36</f>
        <v>0</v>
      </c>
      <c r="AL5">
        <f>C5*AL36</f>
        <v>0</v>
      </c>
      <c r="AM5">
        <f>C5*AM36</f>
        <v>0</v>
      </c>
      <c r="AN5">
        <f>C5*AN36</f>
        <v>0</v>
      </c>
      <c r="AO5">
        <f>C5*AO36</f>
        <v>0</v>
      </c>
      <c r="AP5">
        <f>C5*AP36</f>
        <v>0</v>
      </c>
      <c r="AQ5">
        <f>C5*AQ36</f>
        <v>0</v>
      </c>
      <c r="AR5">
        <f>C5*AR36</f>
        <v>0</v>
      </c>
      <c r="AS5">
        <f>C5*AS36</f>
        <v>0</v>
      </c>
      <c r="AT5">
        <f>C5*AT36</f>
        <v>0</v>
      </c>
      <c r="AU5">
        <f>C5*AU36</f>
        <v>0</v>
      </c>
    </row>
    <row r="6" spans="1:50" ht="22.9" customHeight="1" x14ac:dyDescent="0.3">
      <c r="A6" s="14" t="s">
        <v>1</v>
      </c>
      <c r="B6" s="16" t="s">
        <v>112</v>
      </c>
      <c r="C6" s="22">
        <v>1</v>
      </c>
      <c r="D6" s="17">
        <f>E52</f>
        <v>352472</v>
      </c>
      <c r="E6" s="17">
        <f>C6*D6</f>
        <v>352472</v>
      </c>
      <c r="F6" s="17">
        <f>G52</f>
        <v>172549</v>
      </c>
      <c r="G6" s="17">
        <f>C6*F6</f>
        <v>172549</v>
      </c>
      <c r="H6" s="17">
        <f>I52</f>
        <v>12883</v>
      </c>
      <c r="I6" s="17">
        <f>C6*H6</f>
        <v>12883</v>
      </c>
      <c r="J6" s="17">
        <f>D6+F6+H6</f>
        <v>537904</v>
      </c>
      <c r="K6" s="17">
        <f>E6+G6+I6</f>
        <v>537904</v>
      </c>
      <c r="L6" s="15"/>
      <c r="P6">
        <v>1</v>
      </c>
      <c r="Q6">
        <f>C6*Q52</f>
        <v>12883</v>
      </c>
      <c r="R6">
        <f>C6*R52</f>
        <v>0</v>
      </c>
      <c r="S6">
        <f>C6*S52</f>
        <v>0</v>
      </c>
      <c r="T6">
        <f>C6*T52</f>
        <v>0</v>
      </c>
      <c r="U6">
        <f>C6*U52</f>
        <v>0</v>
      </c>
      <c r="V6">
        <f>C6*V52</f>
        <v>0</v>
      </c>
      <c r="W6">
        <f>C6*W52</f>
        <v>0</v>
      </c>
      <c r="X6">
        <f>C6*X52</f>
        <v>0</v>
      </c>
      <c r="Y6">
        <f>C6*Y52</f>
        <v>0</v>
      </c>
      <c r="Z6">
        <f>C6*Z52</f>
        <v>0</v>
      </c>
      <c r="AA6">
        <f>C6*AA52</f>
        <v>0</v>
      </c>
      <c r="AB6">
        <f>C6*AB52</f>
        <v>0</v>
      </c>
      <c r="AC6">
        <f>C6*AC52</f>
        <v>0</v>
      </c>
      <c r="AD6">
        <f>C6*AD52</f>
        <v>0</v>
      </c>
      <c r="AE6">
        <f>C6*AE52</f>
        <v>0</v>
      </c>
      <c r="AF6">
        <f>C6*AF52</f>
        <v>0</v>
      </c>
      <c r="AG6">
        <f>C6*AG52</f>
        <v>0</v>
      </c>
      <c r="AH6">
        <f>C6*AH52</f>
        <v>0</v>
      </c>
      <c r="AI6">
        <f>C6*AI52</f>
        <v>0</v>
      </c>
      <c r="AJ6">
        <f>C6*AJ52</f>
        <v>0</v>
      </c>
      <c r="AK6">
        <f>C6*AK52</f>
        <v>0</v>
      </c>
      <c r="AL6">
        <f>C6*AL52</f>
        <v>0</v>
      </c>
      <c r="AM6">
        <f>C6*AM52</f>
        <v>0</v>
      </c>
      <c r="AN6">
        <f>C6*AN52</f>
        <v>0</v>
      </c>
      <c r="AO6">
        <f>C6*AO52</f>
        <v>0</v>
      </c>
      <c r="AP6">
        <f>C6*AP52</f>
        <v>0</v>
      </c>
      <c r="AQ6">
        <f>C6*AQ52</f>
        <v>0</v>
      </c>
      <c r="AR6">
        <f>C6*AR52</f>
        <v>0</v>
      </c>
      <c r="AS6">
        <f>C6*AS52</f>
        <v>0</v>
      </c>
      <c r="AT6">
        <f>C6*AT52</f>
        <v>0</v>
      </c>
      <c r="AU6">
        <f>C6*AU52</f>
        <v>0</v>
      </c>
    </row>
    <row r="7" spans="1:50" ht="22.9" customHeight="1" x14ac:dyDescent="0.3">
      <c r="A7" s="15"/>
      <c r="B7" s="22"/>
      <c r="C7" s="22"/>
      <c r="D7" s="17"/>
      <c r="E7" s="17"/>
      <c r="F7" s="17"/>
      <c r="G7" s="17"/>
      <c r="H7" s="17"/>
      <c r="I7" s="17"/>
      <c r="J7" s="17"/>
      <c r="K7" s="17"/>
      <c r="L7" s="15"/>
    </row>
    <row r="8" spans="1:50" ht="22.9" customHeight="1" x14ac:dyDescent="0.3">
      <c r="A8" s="15"/>
      <c r="B8" s="22"/>
      <c r="C8" s="22"/>
      <c r="D8" s="17"/>
      <c r="E8" s="17"/>
      <c r="F8" s="17"/>
      <c r="G8" s="17"/>
      <c r="H8" s="17"/>
      <c r="I8" s="17"/>
      <c r="J8" s="17"/>
      <c r="K8" s="17"/>
      <c r="L8" s="15"/>
    </row>
    <row r="9" spans="1:50" ht="22.9" customHeight="1" x14ac:dyDescent="0.3">
      <c r="A9" s="15"/>
      <c r="B9" s="22"/>
      <c r="C9" s="22"/>
      <c r="D9" s="17"/>
      <c r="E9" s="17"/>
      <c r="F9" s="17"/>
      <c r="G9" s="17"/>
      <c r="H9" s="17"/>
      <c r="I9" s="17"/>
      <c r="J9" s="17"/>
      <c r="K9" s="17"/>
      <c r="L9" s="15"/>
    </row>
    <row r="10" spans="1:50" ht="22.9" customHeight="1" x14ac:dyDescent="0.3">
      <c r="A10" s="15"/>
      <c r="B10" s="22"/>
      <c r="C10" s="22"/>
      <c r="D10" s="17"/>
      <c r="E10" s="17"/>
      <c r="F10" s="17"/>
      <c r="G10" s="17"/>
      <c r="H10" s="17"/>
      <c r="I10" s="17"/>
      <c r="J10" s="17"/>
      <c r="K10" s="17"/>
      <c r="L10" s="15"/>
    </row>
    <row r="11" spans="1:50" ht="22.9" customHeight="1" x14ac:dyDescent="0.3">
      <c r="A11" s="15"/>
      <c r="B11" s="22"/>
      <c r="C11" s="22"/>
      <c r="D11" s="17"/>
      <c r="E11" s="17"/>
      <c r="F11" s="17"/>
      <c r="G11" s="17"/>
      <c r="H11" s="17"/>
      <c r="I11" s="17"/>
      <c r="J11" s="17"/>
      <c r="K11" s="17"/>
      <c r="L11" s="15"/>
    </row>
    <row r="12" spans="1:50" ht="22.9" customHeight="1" x14ac:dyDescent="0.3">
      <c r="A12" s="15"/>
      <c r="B12" s="22"/>
      <c r="C12" s="22"/>
      <c r="D12" s="17"/>
      <c r="E12" s="17"/>
      <c r="F12" s="17"/>
      <c r="G12" s="17"/>
      <c r="H12" s="17"/>
      <c r="I12" s="17"/>
      <c r="J12" s="17"/>
      <c r="K12" s="17"/>
      <c r="L12" s="15"/>
    </row>
    <row r="13" spans="1:50" ht="22.9" customHeight="1" x14ac:dyDescent="0.3">
      <c r="A13" s="15"/>
      <c r="B13" s="22"/>
      <c r="C13" s="22"/>
      <c r="D13" s="17"/>
      <c r="E13" s="17"/>
      <c r="F13" s="17"/>
      <c r="G13" s="17"/>
      <c r="H13" s="17"/>
      <c r="I13" s="17"/>
      <c r="J13" s="17"/>
      <c r="K13" s="17"/>
      <c r="L13" s="15"/>
    </row>
    <row r="14" spans="1:50" ht="22.9" customHeight="1" x14ac:dyDescent="0.3">
      <c r="A14" s="15"/>
      <c r="B14" s="22"/>
      <c r="C14" s="22"/>
      <c r="D14" s="17"/>
      <c r="E14" s="17"/>
      <c r="F14" s="17"/>
      <c r="G14" s="17"/>
      <c r="H14" s="17"/>
      <c r="I14" s="17"/>
      <c r="J14" s="17"/>
      <c r="K14" s="17"/>
      <c r="L14" s="15"/>
    </row>
    <row r="15" spans="1:50" ht="22.9" customHeight="1" x14ac:dyDescent="0.3">
      <c r="A15" s="15"/>
      <c r="B15" s="22"/>
      <c r="C15" s="22"/>
      <c r="D15" s="17"/>
      <c r="E15" s="17"/>
      <c r="F15" s="17"/>
      <c r="G15" s="17"/>
      <c r="H15" s="17"/>
      <c r="I15" s="17"/>
      <c r="J15" s="17"/>
      <c r="K15" s="17"/>
      <c r="L15" s="15"/>
    </row>
    <row r="16" spans="1:50" ht="22.9" customHeight="1" x14ac:dyDescent="0.3">
      <c r="A16" s="15"/>
      <c r="B16" s="22"/>
      <c r="C16" s="22"/>
      <c r="D16" s="17"/>
      <c r="E16" s="17"/>
      <c r="F16" s="17"/>
      <c r="G16" s="17"/>
      <c r="H16" s="17"/>
      <c r="I16" s="17"/>
      <c r="J16" s="17"/>
      <c r="K16" s="17"/>
      <c r="L16" s="15"/>
    </row>
    <row r="17" spans="1:50" ht="22.9" customHeight="1" x14ac:dyDescent="0.3">
      <c r="A17" s="15"/>
      <c r="B17" s="22"/>
      <c r="C17" s="22"/>
      <c r="D17" s="17"/>
      <c r="E17" s="17"/>
      <c r="F17" s="17"/>
      <c r="G17" s="17"/>
      <c r="H17" s="17"/>
      <c r="I17" s="17"/>
      <c r="J17" s="17"/>
      <c r="K17" s="17"/>
      <c r="L17" s="15"/>
    </row>
    <row r="18" spans="1:50" ht="22.9" customHeight="1" x14ac:dyDescent="0.3">
      <c r="A18" s="15"/>
      <c r="B18" s="22"/>
      <c r="C18" s="22"/>
      <c r="D18" s="17"/>
      <c r="E18" s="17"/>
      <c r="F18" s="17"/>
      <c r="G18" s="17"/>
      <c r="H18" s="17"/>
      <c r="I18" s="17"/>
      <c r="J18" s="17"/>
      <c r="K18" s="17"/>
      <c r="L18" s="15"/>
    </row>
    <row r="19" spans="1:50" ht="22.9" customHeight="1" x14ac:dyDescent="0.3">
      <c r="A19" s="15"/>
      <c r="B19" s="22"/>
      <c r="C19" s="22"/>
      <c r="D19" s="17"/>
      <c r="E19" s="17"/>
      <c r="F19" s="17"/>
      <c r="G19" s="17"/>
      <c r="H19" s="17"/>
      <c r="I19" s="17"/>
      <c r="J19" s="17"/>
      <c r="K19" s="17"/>
      <c r="L19" s="15"/>
    </row>
    <row r="20" spans="1:50" ht="22.9" customHeight="1" x14ac:dyDescent="0.3">
      <c r="A20" s="18" t="s">
        <v>119</v>
      </c>
      <c r="B20" s="20"/>
      <c r="C20" s="20"/>
      <c r="D20" s="21"/>
      <c r="E20" s="21">
        <f>SUMIF(P5:P6, "1", E5:E6)</f>
        <v>1137024</v>
      </c>
      <c r="F20" s="21"/>
      <c r="G20" s="21">
        <f>SUMIF(P5:P6, "1", G5:G6)</f>
        <v>506580</v>
      </c>
      <c r="H20" s="21"/>
      <c r="I20" s="21">
        <f>SUMIF(P5:P6, "1", I5:I6)</f>
        <v>30610</v>
      </c>
      <c r="J20" s="21"/>
      <c r="K20" s="21">
        <f>E20+G20+I20</f>
        <v>1674214</v>
      </c>
      <c r="L20" s="19"/>
      <c r="Q20">
        <f t="shared" ref="Q20:AX20" si="0">SUM(Q5:Q6)</f>
        <v>30610</v>
      </c>
      <c r="R20">
        <f t="shared" si="0"/>
        <v>0</v>
      </c>
      <c r="S20">
        <f t="shared" si="0"/>
        <v>0</v>
      </c>
      <c r="T20">
        <f t="shared" si="0"/>
        <v>0</v>
      </c>
      <c r="U20">
        <f t="shared" si="0"/>
        <v>0</v>
      </c>
      <c r="V20">
        <f t="shared" si="0"/>
        <v>0</v>
      </c>
      <c r="W20">
        <f t="shared" si="0"/>
        <v>0</v>
      </c>
      <c r="X20">
        <f t="shared" si="0"/>
        <v>0</v>
      </c>
      <c r="Y20">
        <f t="shared" si="0"/>
        <v>0</v>
      </c>
      <c r="Z20">
        <f t="shared" si="0"/>
        <v>0</v>
      </c>
      <c r="AA20">
        <f t="shared" si="0"/>
        <v>0</v>
      </c>
      <c r="AB20">
        <f t="shared" si="0"/>
        <v>0</v>
      </c>
      <c r="AC20">
        <f t="shared" si="0"/>
        <v>0</v>
      </c>
      <c r="AD20">
        <f t="shared" si="0"/>
        <v>0</v>
      </c>
      <c r="AE20">
        <f t="shared" si="0"/>
        <v>0</v>
      </c>
      <c r="AF20">
        <f t="shared" si="0"/>
        <v>0</v>
      </c>
      <c r="AG20">
        <f t="shared" si="0"/>
        <v>0</v>
      </c>
      <c r="AH20">
        <f t="shared" si="0"/>
        <v>0</v>
      </c>
      <c r="AI20">
        <f t="shared" si="0"/>
        <v>0</v>
      </c>
      <c r="AJ20">
        <f t="shared" si="0"/>
        <v>0</v>
      </c>
      <c r="AK20">
        <f t="shared" si="0"/>
        <v>0</v>
      </c>
      <c r="AL20">
        <f t="shared" si="0"/>
        <v>0</v>
      </c>
      <c r="AM20">
        <f t="shared" si="0"/>
        <v>0</v>
      </c>
      <c r="AN20">
        <f t="shared" si="0"/>
        <v>0</v>
      </c>
      <c r="AO20">
        <f t="shared" si="0"/>
        <v>0</v>
      </c>
      <c r="AP20">
        <f t="shared" si="0"/>
        <v>0</v>
      </c>
      <c r="AQ20">
        <f t="shared" si="0"/>
        <v>0</v>
      </c>
      <c r="AR20">
        <f t="shared" si="0"/>
        <v>0</v>
      </c>
      <c r="AS20">
        <f t="shared" si="0"/>
        <v>0</v>
      </c>
      <c r="AT20">
        <f t="shared" si="0"/>
        <v>0</v>
      </c>
      <c r="AU20">
        <f t="shared" si="0"/>
        <v>0</v>
      </c>
      <c r="AV20">
        <f t="shared" si="0"/>
        <v>0</v>
      </c>
      <c r="AW20">
        <f t="shared" si="0"/>
        <v>0</v>
      </c>
      <c r="AX20">
        <f t="shared" si="0"/>
        <v>0</v>
      </c>
    </row>
    <row r="21" spans="1:50" ht="22.9" customHeight="1" x14ac:dyDescent="0.3">
      <c r="A21" s="14" t="s">
        <v>0</v>
      </c>
      <c r="B21" s="22"/>
      <c r="C21" s="22"/>
      <c r="D21" s="17"/>
      <c r="E21" s="17"/>
      <c r="F21" s="17"/>
      <c r="G21" s="17"/>
      <c r="H21" s="17"/>
      <c r="I21" s="17"/>
      <c r="J21" s="17"/>
      <c r="K21" s="17"/>
      <c r="L21" s="15"/>
    </row>
    <row r="22" spans="1:50" ht="22.9" customHeight="1" x14ac:dyDescent="0.3">
      <c r="A22" s="14" t="s">
        <v>237</v>
      </c>
      <c r="B22" s="16" t="s">
        <v>112</v>
      </c>
      <c r="C22" s="22">
        <v>1</v>
      </c>
      <c r="D22" s="17">
        <f>내역서!F20</f>
        <v>432080</v>
      </c>
      <c r="E22" s="17">
        <f>C22*D22</f>
        <v>432080</v>
      </c>
      <c r="F22" s="17">
        <f>내역서!H20</f>
        <v>161482</v>
      </c>
      <c r="G22" s="17">
        <f>C22*F22</f>
        <v>161482</v>
      </c>
      <c r="H22" s="17">
        <f>내역서!J20</f>
        <v>4844</v>
      </c>
      <c r="I22" s="17">
        <f>C22*H22</f>
        <v>4844</v>
      </c>
      <c r="J22" s="17">
        <f>D22+F22+H22</f>
        <v>598406</v>
      </c>
      <c r="K22" s="17">
        <f>E22+G22+I22</f>
        <v>598406</v>
      </c>
      <c r="L22" s="15"/>
      <c r="P22">
        <v>1</v>
      </c>
      <c r="Q22">
        <f>C22*내역서!R20</f>
        <v>4844</v>
      </c>
      <c r="R22">
        <f>C22*내역서!S20</f>
        <v>0</v>
      </c>
      <c r="S22">
        <f>C22*내역서!T20</f>
        <v>0</v>
      </c>
      <c r="T22">
        <f>C22*내역서!U20</f>
        <v>0</v>
      </c>
      <c r="U22">
        <f>C22*내역서!V20</f>
        <v>0</v>
      </c>
      <c r="V22">
        <f>C22*내역서!W20</f>
        <v>0</v>
      </c>
      <c r="W22">
        <f>C22*내역서!X20</f>
        <v>0</v>
      </c>
      <c r="X22">
        <f>C22*내역서!Y20</f>
        <v>0</v>
      </c>
      <c r="Y22">
        <f>C22*내역서!Z20</f>
        <v>0</v>
      </c>
      <c r="Z22">
        <f>C22*내역서!AA20</f>
        <v>0</v>
      </c>
      <c r="AA22">
        <f>C22*내역서!AB20</f>
        <v>0</v>
      </c>
      <c r="AB22">
        <f>C22*내역서!AC20</f>
        <v>0</v>
      </c>
      <c r="AC22">
        <f>C22*내역서!AD20</f>
        <v>0</v>
      </c>
      <c r="AD22">
        <f>C22*내역서!AE20</f>
        <v>0</v>
      </c>
      <c r="AE22">
        <f>C22*내역서!AF20</f>
        <v>0</v>
      </c>
      <c r="AF22">
        <f>C22*내역서!AG20</f>
        <v>0</v>
      </c>
      <c r="AG22">
        <f>C22*내역서!AH20</f>
        <v>0</v>
      </c>
      <c r="AH22">
        <f>C22*내역서!AI20</f>
        <v>0</v>
      </c>
      <c r="AI22">
        <f>C22*내역서!AJ20</f>
        <v>0</v>
      </c>
      <c r="AJ22">
        <f>C22*내역서!AK20</f>
        <v>0</v>
      </c>
      <c r="AK22">
        <f>C22*내역서!AL20</f>
        <v>0</v>
      </c>
      <c r="AL22">
        <f>C22*내역서!AM20</f>
        <v>0</v>
      </c>
      <c r="AM22">
        <f>C22*내역서!AN20</f>
        <v>0</v>
      </c>
      <c r="AN22">
        <f>C22*내역서!AO20</f>
        <v>0</v>
      </c>
      <c r="AO22">
        <f>C22*내역서!AP20</f>
        <v>0</v>
      </c>
      <c r="AP22">
        <f>C22*내역서!AQ20</f>
        <v>0</v>
      </c>
      <c r="AQ22">
        <f>C22*내역서!AR20</f>
        <v>0</v>
      </c>
      <c r="AR22">
        <f>C22*내역서!AS20</f>
        <v>0</v>
      </c>
      <c r="AS22">
        <f>C22*내역서!AT20</f>
        <v>0</v>
      </c>
      <c r="AT22">
        <f>C22*내역서!AU20</f>
        <v>0</v>
      </c>
      <c r="AU22">
        <f>C22*내역서!AV20</f>
        <v>0</v>
      </c>
    </row>
    <row r="23" spans="1:50" ht="22.9" customHeight="1" x14ac:dyDescent="0.3">
      <c r="A23" s="14" t="s">
        <v>238</v>
      </c>
      <c r="B23" s="16" t="s">
        <v>112</v>
      </c>
      <c r="C23" s="22">
        <v>1</v>
      </c>
      <c r="D23" s="17">
        <f>내역서!F36</f>
        <v>352472</v>
      </c>
      <c r="E23" s="17">
        <f>C23*D23</f>
        <v>352472</v>
      </c>
      <c r="F23" s="17">
        <f>내역서!H36</f>
        <v>172549</v>
      </c>
      <c r="G23" s="17">
        <f>C23*F23</f>
        <v>172549</v>
      </c>
      <c r="H23" s="17">
        <f>내역서!J36</f>
        <v>12883</v>
      </c>
      <c r="I23" s="17">
        <f>C23*H23</f>
        <v>12883</v>
      </c>
      <c r="J23" s="17">
        <f>D23+F23+H23</f>
        <v>537904</v>
      </c>
      <c r="K23" s="17">
        <f>E23+G23+I23</f>
        <v>537904</v>
      </c>
      <c r="L23" s="15"/>
      <c r="P23">
        <v>1</v>
      </c>
      <c r="Q23">
        <f>C23*내역서!R36</f>
        <v>12883</v>
      </c>
      <c r="R23">
        <f>C23*내역서!S36</f>
        <v>0</v>
      </c>
      <c r="S23">
        <f>C23*내역서!T36</f>
        <v>0</v>
      </c>
      <c r="T23">
        <f>C23*내역서!U36</f>
        <v>0</v>
      </c>
      <c r="U23">
        <f>C23*내역서!V36</f>
        <v>0</v>
      </c>
      <c r="V23">
        <f>C23*내역서!W36</f>
        <v>0</v>
      </c>
      <c r="W23">
        <f>C23*내역서!X36</f>
        <v>0</v>
      </c>
      <c r="X23">
        <f>C23*내역서!Y36</f>
        <v>0</v>
      </c>
      <c r="Y23">
        <f>C23*내역서!Z36</f>
        <v>0</v>
      </c>
      <c r="Z23">
        <f>C23*내역서!AA36</f>
        <v>0</v>
      </c>
      <c r="AA23">
        <f>C23*내역서!AB36</f>
        <v>0</v>
      </c>
      <c r="AB23">
        <f>C23*내역서!AC36</f>
        <v>0</v>
      </c>
      <c r="AC23">
        <f>C23*내역서!AD36</f>
        <v>0</v>
      </c>
      <c r="AD23">
        <f>C23*내역서!AE36</f>
        <v>0</v>
      </c>
      <c r="AE23">
        <f>C23*내역서!AF36</f>
        <v>0</v>
      </c>
      <c r="AF23">
        <f>C23*내역서!AG36</f>
        <v>0</v>
      </c>
      <c r="AG23">
        <f>C23*내역서!AH36</f>
        <v>0</v>
      </c>
      <c r="AH23">
        <f>C23*내역서!AI36</f>
        <v>0</v>
      </c>
      <c r="AI23">
        <f>C23*내역서!AJ36</f>
        <v>0</v>
      </c>
      <c r="AJ23">
        <f>C23*내역서!AK36</f>
        <v>0</v>
      </c>
      <c r="AK23">
        <f>C23*내역서!AL36</f>
        <v>0</v>
      </c>
      <c r="AL23">
        <f>C23*내역서!AM36</f>
        <v>0</v>
      </c>
      <c r="AM23">
        <f>C23*내역서!AN36</f>
        <v>0</v>
      </c>
      <c r="AN23">
        <f>C23*내역서!AO36</f>
        <v>0</v>
      </c>
      <c r="AO23">
        <f>C23*내역서!AP36</f>
        <v>0</v>
      </c>
      <c r="AP23">
        <f>C23*내역서!AQ36</f>
        <v>0</v>
      </c>
      <c r="AQ23">
        <f>C23*내역서!AR36</f>
        <v>0</v>
      </c>
      <c r="AR23">
        <f>C23*내역서!AS36</f>
        <v>0</v>
      </c>
      <c r="AS23">
        <f>C23*내역서!AT36</f>
        <v>0</v>
      </c>
      <c r="AT23">
        <f>C23*내역서!AU36</f>
        <v>0</v>
      </c>
      <c r="AU23">
        <f>C23*내역서!AV36</f>
        <v>0</v>
      </c>
    </row>
    <row r="24" spans="1:50" ht="22.9" customHeight="1" x14ac:dyDescent="0.3">
      <c r="A24" s="15"/>
      <c r="B24" s="22"/>
      <c r="C24" s="22"/>
      <c r="D24" s="17"/>
      <c r="E24" s="17"/>
      <c r="F24" s="17"/>
      <c r="G24" s="17"/>
      <c r="H24" s="17"/>
      <c r="I24" s="17"/>
      <c r="J24" s="17"/>
      <c r="K24" s="17"/>
      <c r="L24" s="15"/>
    </row>
    <row r="25" spans="1:50" ht="22.9" customHeight="1" x14ac:dyDescent="0.3">
      <c r="A25" s="15"/>
      <c r="B25" s="22"/>
      <c r="C25" s="22"/>
      <c r="D25" s="17"/>
      <c r="E25" s="17"/>
      <c r="F25" s="17"/>
      <c r="G25" s="17"/>
      <c r="H25" s="17"/>
      <c r="I25" s="17"/>
      <c r="J25" s="17"/>
      <c r="K25" s="17"/>
      <c r="L25" s="15"/>
    </row>
    <row r="26" spans="1:50" ht="22.9" customHeight="1" x14ac:dyDescent="0.3">
      <c r="A26" s="15"/>
      <c r="B26" s="22"/>
      <c r="C26" s="22"/>
      <c r="D26" s="17"/>
      <c r="E26" s="17"/>
      <c r="F26" s="17"/>
      <c r="G26" s="17"/>
      <c r="H26" s="17"/>
      <c r="I26" s="17"/>
      <c r="J26" s="17"/>
      <c r="K26" s="17"/>
      <c r="L26" s="15"/>
    </row>
    <row r="27" spans="1:50" ht="22.9" customHeight="1" x14ac:dyDescent="0.3">
      <c r="A27" s="15"/>
      <c r="B27" s="22"/>
      <c r="C27" s="22"/>
      <c r="D27" s="17"/>
      <c r="E27" s="17"/>
      <c r="F27" s="17"/>
      <c r="G27" s="17"/>
      <c r="H27" s="17"/>
      <c r="I27" s="17"/>
      <c r="J27" s="17"/>
      <c r="K27" s="17"/>
      <c r="L27" s="15"/>
    </row>
    <row r="28" spans="1:50" ht="22.9" customHeight="1" x14ac:dyDescent="0.3">
      <c r="A28" s="15"/>
      <c r="B28" s="22"/>
      <c r="C28" s="22"/>
      <c r="D28" s="17"/>
      <c r="E28" s="17"/>
      <c r="F28" s="17"/>
      <c r="G28" s="17"/>
      <c r="H28" s="17"/>
      <c r="I28" s="17"/>
      <c r="J28" s="17"/>
      <c r="K28" s="17"/>
      <c r="L28" s="15"/>
    </row>
    <row r="29" spans="1:50" ht="22.9" customHeight="1" x14ac:dyDescent="0.3">
      <c r="A29" s="15"/>
      <c r="B29" s="22"/>
      <c r="C29" s="22"/>
      <c r="D29" s="17"/>
      <c r="E29" s="17"/>
      <c r="F29" s="17"/>
      <c r="G29" s="17"/>
      <c r="H29" s="17"/>
      <c r="I29" s="17"/>
      <c r="J29" s="17"/>
      <c r="K29" s="17"/>
      <c r="L29" s="15"/>
    </row>
    <row r="30" spans="1:50" ht="22.9" customHeight="1" x14ac:dyDescent="0.3">
      <c r="A30" s="15"/>
      <c r="B30" s="22"/>
      <c r="C30" s="22"/>
      <c r="D30" s="17"/>
      <c r="E30" s="17"/>
      <c r="F30" s="17"/>
      <c r="G30" s="17"/>
      <c r="H30" s="17"/>
      <c r="I30" s="17"/>
      <c r="J30" s="17"/>
      <c r="K30" s="17"/>
      <c r="L30" s="15"/>
    </row>
    <row r="31" spans="1:50" ht="22.9" customHeight="1" x14ac:dyDescent="0.3">
      <c r="A31" s="15"/>
      <c r="B31" s="22"/>
      <c r="C31" s="22"/>
      <c r="D31" s="17"/>
      <c r="E31" s="17"/>
      <c r="F31" s="17"/>
      <c r="G31" s="17"/>
      <c r="H31" s="17"/>
      <c r="I31" s="17"/>
      <c r="J31" s="17"/>
      <c r="K31" s="17"/>
      <c r="L31" s="15"/>
    </row>
    <row r="32" spans="1:50" ht="22.9" customHeight="1" x14ac:dyDescent="0.3">
      <c r="A32" s="15"/>
      <c r="B32" s="22"/>
      <c r="C32" s="22"/>
      <c r="D32" s="17"/>
      <c r="E32" s="17"/>
      <c r="F32" s="17"/>
      <c r="G32" s="17"/>
      <c r="H32" s="17"/>
      <c r="I32" s="17"/>
      <c r="J32" s="17"/>
      <c r="K32" s="17"/>
      <c r="L32" s="15"/>
    </row>
    <row r="33" spans="1:50" ht="22.9" customHeight="1" x14ac:dyDescent="0.3">
      <c r="A33" s="15"/>
      <c r="B33" s="22"/>
      <c r="C33" s="22"/>
      <c r="D33" s="17"/>
      <c r="E33" s="17"/>
      <c r="F33" s="17"/>
      <c r="G33" s="17"/>
      <c r="H33" s="17"/>
      <c r="I33" s="17"/>
      <c r="J33" s="17"/>
      <c r="K33" s="17"/>
      <c r="L33" s="15"/>
    </row>
    <row r="34" spans="1:50" ht="22.9" customHeight="1" x14ac:dyDescent="0.3">
      <c r="A34" s="15"/>
      <c r="B34" s="22"/>
      <c r="C34" s="22"/>
      <c r="D34" s="17"/>
      <c r="E34" s="17"/>
      <c r="F34" s="17"/>
      <c r="G34" s="17"/>
      <c r="H34" s="17"/>
      <c r="I34" s="17"/>
      <c r="J34" s="17"/>
      <c r="K34" s="17"/>
      <c r="L34" s="15"/>
    </row>
    <row r="35" spans="1:50" ht="22.9" customHeight="1" x14ac:dyDescent="0.3">
      <c r="A35" s="15"/>
      <c r="B35" s="22"/>
      <c r="C35" s="22"/>
      <c r="D35" s="17"/>
      <c r="E35" s="17"/>
      <c r="F35" s="17"/>
      <c r="G35" s="17"/>
      <c r="H35" s="17"/>
      <c r="I35" s="17"/>
      <c r="J35" s="17"/>
      <c r="K35" s="17"/>
      <c r="L35" s="15"/>
    </row>
    <row r="36" spans="1:50" ht="22.9" customHeight="1" x14ac:dyDescent="0.3">
      <c r="A36" s="18" t="s">
        <v>119</v>
      </c>
      <c r="B36" s="20"/>
      <c r="C36" s="20"/>
      <c r="D36" s="21"/>
      <c r="E36" s="21">
        <f>SUMIF(P22:P23, "1", E22:E23)</f>
        <v>784552</v>
      </c>
      <c r="F36" s="21"/>
      <c r="G36" s="21">
        <f>SUMIF(P22:P23, "1", G22:G23)</f>
        <v>334031</v>
      </c>
      <c r="H36" s="21"/>
      <c r="I36" s="21">
        <f>SUMIF(P22:P23, "1", I22:I23)</f>
        <v>17727</v>
      </c>
      <c r="J36" s="21"/>
      <c r="K36" s="21">
        <f>E36+G36+I36</f>
        <v>1136310</v>
      </c>
      <c r="L36" s="19"/>
      <c r="Q36">
        <f t="shared" ref="Q36:AX36" si="1">SUM(Q22:Q23)</f>
        <v>17727</v>
      </c>
      <c r="R36">
        <f t="shared" si="1"/>
        <v>0</v>
      </c>
      <c r="S36">
        <f t="shared" si="1"/>
        <v>0</v>
      </c>
      <c r="T36">
        <f t="shared" si="1"/>
        <v>0</v>
      </c>
      <c r="U36">
        <f t="shared" si="1"/>
        <v>0</v>
      </c>
      <c r="V36">
        <f t="shared" si="1"/>
        <v>0</v>
      </c>
      <c r="W36">
        <f t="shared" si="1"/>
        <v>0</v>
      </c>
      <c r="X36">
        <f t="shared" si="1"/>
        <v>0</v>
      </c>
      <c r="Y36">
        <f t="shared" si="1"/>
        <v>0</v>
      </c>
      <c r="Z36">
        <f t="shared" si="1"/>
        <v>0</v>
      </c>
      <c r="AA36">
        <f t="shared" si="1"/>
        <v>0</v>
      </c>
      <c r="AB36">
        <f t="shared" si="1"/>
        <v>0</v>
      </c>
      <c r="AC36">
        <f t="shared" si="1"/>
        <v>0</v>
      </c>
      <c r="AD36">
        <f t="shared" si="1"/>
        <v>0</v>
      </c>
      <c r="AE36">
        <f t="shared" si="1"/>
        <v>0</v>
      </c>
      <c r="AF36">
        <f t="shared" si="1"/>
        <v>0</v>
      </c>
      <c r="AG36">
        <f t="shared" si="1"/>
        <v>0</v>
      </c>
      <c r="AH36">
        <f t="shared" si="1"/>
        <v>0</v>
      </c>
      <c r="AI36">
        <f t="shared" si="1"/>
        <v>0</v>
      </c>
      <c r="AJ36">
        <f t="shared" si="1"/>
        <v>0</v>
      </c>
      <c r="AK36">
        <f t="shared" si="1"/>
        <v>0</v>
      </c>
      <c r="AL36">
        <f t="shared" si="1"/>
        <v>0</v>
      </c>
      <c r="AM36">
        <f t="shared" si="1"/>
        <v>0</v>
      </c>
      <c r="AN36">
        <f t="shared" si="1"/>
        <v>0</v>
      </c>
      <c r="AO36">
        <f t="shared" si="1"/>
        <v>0</v>
      </c>
      <c r="AP36">
        <f t="shared" si="1"/>
        <v>0</v>
      </c>
      <c r="AQ36">
        <f t="shared" si="1"/>
        <v>0</v>
      </c>
      <c r="AR36">
        <f t="shared" si="1"/>
        <v>0</v>
      </c>
      <c r="AS36">
        <f t="shared" si="1"/>
        <v>0</v>
      </c>
      <c r="AT36">
        <f t="shared" si="1"/>
        <v>0</v>
      </c>
      <c r="AU36">
        <f t="shared" si="1"/>
        <v>0</v>
      </c>
      <c r="AV36">
        <f t="shared" si="1"/>
        <v>0</v>
      </c>
      <c r="AW36">
        <f t="shared" si="1"/>
        <v>0</v>
      </c>
      <c r="AX36">
        <f t="shared" si="1"/>
        <v>0</v>
      </c>
    </row>
    <row r="37" spans="1:50" ht="22.9" customHeight="1" x14ac:dyDescent="0.3">
      <c r="A37" s="14" t="s">
        <v>1</v>
      </c>
      <c r="B37" s="22"/>
      <c r="C37" s="22"/>
      <c r="D37" s="17"/>
      <c r="E37" s="17"/>
      <c r="F37" s="17"/>
      <c r="G37" s="17"/>
      <c r="H37" s="17"/>
      <c r="I37" s="17"/>
      <c r="J37" s="17"/>
      <c r="K37" s="17"/>
      <c r="L37" s="15"/>
    </row>
    <row r="38" spans="1:50" ht="22.9" customHeight="1" x14ac:dyDescent="0.3">
      <c r="A38" s="14" t="s">
        <v>239</v>
      </c>
      <c r="B38" s="16" t="s">
        <v>112</v>
      </c>
      <c r="C38" s="22">
        <v>1</v>
      </c>
      <c r="D38" s="17">
        <f>내역서!F52</f>
        <v>352472</v>
      </c>
      <c r="E38" s="17">
        <f>C38*D38</f>
        <v>352472</v>
      </c>
      <c r="F38" s="17">
        <f>내역서!H52</f>
        <v>172549</v>
      </c>
      <c r="G38" s="17">
        <f>C38*F38</f>
        <v>172549</v>
      </c>
      <c r="H38" s="17">
        <f>내역서!J52</f>
        <v>12883</v>
      </c>
      <c r="I38" s="17">
        <f>C38*H38</f>
        <v>12883</v>
      </c>
      <c r="J38" s="17">
        <f>D38+F38+H38</f>
        <v>537904</v>
      </c>
      <c r="K38" s="17">
        <f>E38+G38+I38</f>
        <v>537904</v>
      </c>
      <c r="L38" s="15"/>
      <c r="P38">
        <v>1</v>
      </c>
      <c r="Q38">
        <f>C38*내역서!R52</f>
        <v>12883</v>
      </c>
      <c r="R38">
        <f>C38*내역서!S52</f>
        <v>0</v>
      </c>
      <c r="S38">
        <f>C38*내역서!T52</f>
        <v>0</v>
      </c>
      <c r="T38">
        <f>C38*내역서!U52</f>
        <v>0</v>
      </c>
      <c r="U38">
        <f>C38*내역서!V52</f>
        <v>0</v>
      </c>
      <c r="V38">
        <f>C38*내역서!W52</f>
        <v>0</v>
      </c>
      <c r="W38">
        <f>C38*내역서!X52</f>
        <v>0</v>
      </c>
      <c r="X38">
        <f>C38*내역서!Y52</f>
        <v>0</v>
      </c>
      <c r="Y38">
        <f>C38*내역서!Z52</f>
        <v>0</v>
      </c>
      <c r="Z38">
        <f>C38*내역서!AA52</f>
        <v>0</v>
      </c>
      <c r="AA38">
        <f>C38*내역서!AB52</f>
        <v>0</v>
      </c>
      <c r="AB38">
        <f>C38*내역서!AC52</f>
        <v>0</v>
      </c>
      <c r="AC38">
        <f>C38*내역서!AD52</f>
        <v>0</v>
      </c>
      <c r="AD38">
        <f>C38*내역서!AE52</f>
        <v>0</v>
      </c>
      <c r="AE38">
        <f>C38*내역서!AF52</f>
        <v>0</v>
      </c>
      <c r="AF38">
        <f>C38*내역서!AG52</f>
        <v>0</v>
      </c>
      <c r="AG38">
        <f>C38*내역서!AH52</f>
        <v>0</v>
      </c>
      <c r="AH38">
        <f>C38*내역서!AI52</f>
        <v>0</v>
      </c>
      <c r="AI38">
        <f>C38*내역서!AJ52</f>
        <v>0</v>
      </c>
      <c r="AJ38">
        <f>C38*내역서!AK52</f>
        <v>0</v>
      </c>
      <c r="AK38">
        <f>C38*내역서!AL52</f>
        <v>0</v>
      </c>
      <c r="AL38">
        <f>C38*내역서!AM52</f>
        <v>0</v>
      </c>
      <c r="AM38">
        <f>C38*내역서!AN52</f>
        <v>0</v>
      </c>
      <c r="AN38">
        <f>C38*내역서!AO52</f>
        <v>0</v>
      </c>
      <c r="AO38">
        <f>C38*내역서!AP52</f>
        <v>0</v>
      </c>
      <c r="AP38">
        <f>C38*내역서!AQ52</f>
        <v>0</v>
      </c>
      <c r="AQ38">
        <f>C38*내역서!AR52</f>
        <v>0</v>
      </c>
      <c r="AR38">
        <f>C38*내역서!AS52</f>
        <v>0</v>
      </c>
      <c r="AS38">
        <f>C38*내역서!AT52</f>
        <v>0</v>
      </c>
      <c r="AT38">
        <f>C38*내역서!AU52</f>
        <v>0</v>
      </c>
      <c r="AU38">
        <f>C38*내역서!AV52</f>
        <v>0</v>
      </c>
    </row>
    <row r="39" spans="1:50" ht="22.9" customHeight="1" x14ac:dyDescent="0.3">
      <c r="A39" s="15"/>
      <c r="B39" s="22"/>
      <c r="C39" s="22"/>
      <c r="D39" s="17"/>
      <c r="E39" s="17"/>
      <c r="F39" s="17"/>
      <c r="G39" s="17"/>
      <c r="H39" s="17"/>
      <c r="I39" s="17"/>
      <c r="J39" s="17"/>
      <c r="K39" s="17"/>
      <c r="L39" s="15"/>
    </row>
    <row r="40" spans="1:50" ht="22.9" customHeight="1" x14ac:dyDescent="0.3">
      <c r="A40" s="15"/>
      <c r="B40" s="22"/>
      <c r="C40" s="22"/>
      <c r="D40" s="17"/>
      <c r="E40" s="17"/>
      <c r="F40" s="17"/>
      <c r="G40" s="17"/>
      <c r="H40" s="17"/>
      <c r="I40" s="17"/>
      <c r="J40" s="17"/>
      <c r="K40" s="17"/>
      <c r="L40" s="15"/>
    </row>
    <row r="41" spans="1:50" ht="22.9" customHeight="1" x14ac:dyDescent="0.3">
      <c r="A41" s="15"/>
      <c r="B41" s="22"/>
      <c r="C41" s="22"/>
      <c r="D41" s="17"/>
      <c r="E41" s="17"/>
      <c r="F41" s="17"/>
      <c r="G41" s="17"/>
      <c r="H41" s="17"/>
      <c r="I41" s="17"/>
      <c r="J41" s="17"/>
      <c r="K41" s="17"/>
      <c r="L41" s="15"/>
    </row>
    <row r="42" spans="1:50" ht="22.9" customHeight="1" x14ac:dyDescent="0.3">
      <c r="A42" s="15"/>
      <c r="B42" s="22"/>
      <c r="C42" s="22"/>
      <c r="D42" s="17"/>
      <c r="E42" s="17"/>
      <c r="F42" s="17"/>
      <c r="G42" s="17"/>
      <c r="H42" s="17"/>
      <c r="I42" s="17"/>
      <c r="J42" s="17"/>
      <c r="K42" s="17"/>
      <c r="L42" s="15"/>
    </row>
    <row r="43" spans="1:50" ht="22.9" customHeight="1" x14ac:dyDescent="0.3">
      <c r="A43" s="15"/>
      <c r="B43" s="22"/>
      <c r="C43" s="22"/>
      <c r="D43" s="17"/>
      <c r="E43" s="17"/>
      <c r="F43" s="17"/>
      <c r="G43" s="17"/>
      <c r="H43" s="17"/>
      <c r="I43" s="17"/>
      <c r="J43" s="17"/>
      <c r="K43" s="17"/>
      <c r="L43" s="15"/>
    </row>
    <row r="44" spans="1:50" ht="22.9" customHeight="1" x14ac:dyDescent="0.3">
      <c r="A44" s="15"/>
      <c r="B44" s="22"/>
      <c r="C44" s="22"/>
      <c r="D44" s="17"/>
      <c r="E44" s="17"/>
      <c r="F44" s="17"/>
      <c r="G44" s="17"/>
      <c r="H44" s="17"/>
      <c r="I44" s="17"/>
      <c r="J44" s="17"/>
      <c r="K44" s="17"/>
      <c r="L44" s="15"/>
    </row>
    <row r="45" spans="1:50" ht="22.9" customHeight="1" x14ac:dyDescent="0.3">
      <c r="A45" s="15"/>
      <c r="B45" s="22"/>
      <c r="C45" s="22"/>
      <c r="D45" s="17"/>
      <c r="E45" s="17"/>
      <c r="F45" s="17"/>
      <c r="G45" s="17"/>
      <c r="H45" s="17"/>
      <c r="I45" s="17"/>
      <c r="J45" s="17"/>
      <c r="K45" s="17"/>
      <c r="L45" s="15"/>
    </row>
    <row r="46" spans="1:50" ht="22.9" customHeight="1" x14ac:dyDescent="0.3">
      <c r="A46" s="15"/>
      <c r="B46" s="22"/>
      <c r="C46" s="22"/>
      <c r="D46" s="17"/>
      <c r="E46" s="17"/>
      <c r="F46" s="17"/>
      <c r="G46" s="17"/>
      <c r="H46" s="17"/>
      <c r="I46" s="17"/>
      <c r="J46" s="17"/>
      <c r="K46" s="17"/>
      <c r="L46" s="15"/>
    </row>
    <row r="47" spans="1:50" ht="22.9" customHeight="1" x14ac:dyDescent="0.3">
      <c r="A47" s="15"/>
      <c r="B47" s="22"/>
      <c r="C47" s="22"/>
      <c r="D47" s="17"/>
      <c r="E47" s="17"/>
      <c r="F47" s="17"/>
      <c r="G47" s="17"/>
      <c r="H47" s="17"/>
      <c r="I47" s="17"/>
      <c r="J47" s="17"/>
      <c r="K47" s="17"/>
      <c r="L47" s="15"/>
    </row>
    <row r="48" spans="1:50" ht="22.9" customHeight="1" x14ac:dyDescent="0.3">
      <c r="A48" s="15"/>
      <c r="B48" s="22"/>
      <c r="C48" s="22"/>
      <c r="D48" s="17"/>
      <c r="E48" s="17"/>
      <c r="F48" s="17"/>
      <c r="G48" s="17"/>
      <c r="H48" s="17"/>
      <c r="I48" s="17"/>
      <c r="J48" s="17"/>
      <c r="K48" s="17"/>
      <c r="L48" s="15"/>
    </row>
    <row r="49" spans="1:50" ht="22.9" customHeight="1" x14ac:dyDescent="0.3">
      <c r="A49" s="15"/>
      <c r="B49" s="22"/>
      <c r="C49" s="22"/>
      <c r="D49" s="17"/>
      <c r="E49" s="17"/>
      <c r="F49" s="17"/>
      <c r="G49" s="17"/>
      <c r="H49" s="17"/>
      <c r="I49" s="17"/>
      <c r="J49" s="17"/>
      <c r="K49" s="17"/>
      <c r="L49" s="15"/>
    </row>
    <row r="50" spans="1:50" ht="22.9" customHeight="1" x14ac:dyDescent="0.3">
      <c r="A50" s="15"/>
      <c r="B50" s="22"/>
      <c r="C50" s="22"/>
      <c r="D50" s="17"/>
      <c r="E50" s="17"/>
      <c r="F50" s="17"/>
      <c r="G50" s="17"/>
      <c r="H50" s="17"/>
      <c r="I50" s="17"/>
      <c r="J50" s="17"/>
      <c r="K50" s="17"/>
      <c r="L50" s="15"/>
    </row>
    <row r="51" spans="1:50" ht="22.9" customHeight="1" x14ac:dyDescent="0.3">
      <c r="A51" s="15"/>
      <c r="B51" s="22"/>
      <c r="C51" s="22"/>
      <c r="D51" s="17"/>
      <c r="E51" s="17"/>
      <c r="F51" s="17"/>
      <c r="G51" s="17"/>
      <c r="H51" s="17"/>
      <c r="I51" s="17"/>
      <c r="J51" s="17"/>
      <c r="K51" s="17"/>
      <c r="L51" s="15"/>
    </row>
    <row r="52" spans="1:50" ht="22.9" customHeight="1" x14ac:dyDescent="0.3">
      <c r="A52" s="18" t="s">
        <v>119</v>
      </c>
      <c r="B52" s="20"/>
      <c r="C52" s="20"/>
      <c r="D52" s="21"/>
      <c r="E52" s="21">
        <f>SUMIF(P38:P38, "1", E38:E38)</f>
        <v>352472</v>
      </c>
      <c r="F52" s="21"/>
      <c r="G52" s="21">
        <f>SUMIF(P38:P38, "1", G38:G38)</f>
        <v>172549</v>
      </c>
      <c r="H52" s="21"/>
      <c r="I52" s="21">
        <f>SUMIF(P38:P38, "1", I38:I38)</f>
        <v>12883</v>
      </c>
      <c r="J52" s="21"/>
      <c r="K52" s="21">
        <f>E52+G52+I52</f>
        <v>537904</v>
      </c>
      <c r="L52" s="19"/>
      <c r="Q52">
        <f t="shared" ref="Q52:AX52" si="2">SUM(Q38:Q38)</f>
        <v>12883</v>
      </c>
      <c r="R52">
        <f t="shared" si="2"/>
        <v>0</v>
      </c>
      <c r="S52">
        <f t="shared" si="2"/>
        <v>0</v>
      </c>
      <c r="T52">
        <f t="shared" si="2"/>
        <v>0</v>
      </c>
      <c r="U52">
        <f t="shared" si="2"/>
        <v>0</v>
      </c>
      <c r="V52">
        <f t="shared" si="2"/>
        <v>0</v>
      </c>
      <c r="W52">
        <f t="shared" si="2"/>
        <v>0</v>
      </c>
      <c r="X52">
        <f t="shared" si="2"/>
        <v>0</v>
      </c>
      <c r="Y52">
        <f t="shared" si="2"/>
        <v>0</v>
      </c>
      <c r="Z52">
        <f t="shared" si="2"/>
        <v>0</v>
      </c>
      <c r="AA52">
        <f t="shared" si="2"/>
        <v>0</v>
      </c>
      <c r="AB52">
        <f t="shared" si="2"/>
        <v>0</v>
      </c>
      <c r="AC52">
        <f t="shared" si="2"/>
        <v>0</v>
      </c>
      <c r="AD52">
        <f t="shared" si="2"/>
        <v>0</v>
      </c>
      <c r="AE52">
        <f t="shared" si="2"/>
        <v>0</v>
      </c>
      <c r="AF52">
        <f t="shared" si="2"/>
        <v>0</v>
      </c>
      <c r="AG52">
        <f t="shared" si="2"/>
        <v>0</v>
      </c>
      <c r="AH52">
        <f t="shared" si="2"/>
        <v>0</v>
      </c>
      <c r="AI52">
        <f t="shared" si="2"/>
        <v>0</v>
      </c>
      <c r="AJ52">
        <f t="shared" si="2"/>
        <v>0</v>
      </c>
      <c r="AK52">
        <f t="shared" si="2"/>
        <v>0</v>
      </c>
      <c r="AL52">
        <f t="shared" si="2"/>
        <v>0</v>
      </c>
      <c r="AM52">
        <f t="shared" si="2"/>
        <v>0</v>
      </c>
      <c r="AN52">
        <f t="shared" si="2"/>
        <v>0</v>
      </c>
      <c r="AO52">
        <f t="shared" si="2"/>
        <v>0</v>
      </c>
      <c r="AP52">
        <f t="shared" si="2"/>
        <v>0</v>
      </c>
      <c r="AQ52">
        <f t="shared" si="2"/>
        <v>0</v>
      </c>
      <c r="AR52">
        <f t="shared" si="2"/>
        <v>0</v>
      </c>
      <c r="AS52">
        <f t="shared" si="2"/>
        <v>0</v>
      </c>
      <c r="AT52">
        <f t="shared" si="2"/>
        <v>0</v>
      </c>
      <c r="AU52">
        <f t="shared" si="2"/>
        <v>0</v>
      </c>
      <c r="AV52">
        <f t="shared" si="2"/>
        <v>0</v>
      </c>
      <c r="AW52">
        <f t="shared" si="2"/>
        <v>0</v>
      </c>
      <c r="AX52">
        <f t="shared" si="2"/>
        <v>0</v>
      </c>
    </row>
  </sheetData>
  <mergeCells count="10">
    <mergeCell ref="A1:L1"/>
    <mergeCell ref="A2:L2"/>
    <mergeCell ref="A3:A4"/>
    <mergeCell ref="B3:B4"/>
    <mergeCell ref="C3:C4"/>
    <mergeCell ref="L3:L4"/>
    <mergeCell ref="D3:E3"/>
    <mergeCell ref="F3:G3"/>
    <mergeCell ref="H3:I3"/>
    <mergeCell ref="J3:K3"/>
  </mergeCells>
  <phoneticPr fontId="1" type="noConversion"/>
  <conditionalFormatting sqref="A5:L52">
    <cfRule type="containsText" dxfId="29" priority="1" stopIfTrue="1" operator="containsText" text=".">
      <formula>NOT(ISERROR(SEARCH(".",A5)))</formula>
    </cfRule>
    <cfRule type="notContainsText" dxfId="28" priority="2" stopIfTrue="1" operator="notContains" text=".">
      <formula>ISERROR(SEARCH(".",A5))</formula>
    </cfRule>
  </conditionalFormatting>
  <pageMargins left="0.74803149606299213" right="0" top="0.55118110236220474" bottom="0.15748031496062992" header="0.31496062992125984" footer="0.15748031496062992"/>
  <pageSetup paperSize="9" scale="95" orientation="landscape" r:id="rId1"/>
  <rowBreaks count="3" manualBreakCount="3">
    <brk id="20" max="16383" man="1"/>
    <brk id="36" max="16383" man="1"/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D9EC-2F86-41D2-A610-40B1CC1BDB3C}">
  <sheetPr>
    <tabColor rgb="FFFFFFB7"/>
  </sheetPr>
  <dimension ref="A1:AY52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F22" sqref="F22"/>
    </sheetView>
  </sheetViews>
  <sheetFormatPr defaultRowHeight="16.5" x14ac:dyDescent="0.3"/>
  <cols>
    <col min="1" max="2" width="20.75" style="2" customWidth="1"/>
    <col min="3" max="3" width="4.75" style="3" customWidth="1"/>
    <col min="4" max="5" width="6.75" style="4" customWidth="1"/>
    <col min="6" max="6" width="9.75" style="4" customWidth="1"/>
    <col min="7" max="7" width="6.75" style="4" customWidth="1"/>
    <col min="8" max="8" width="9.75" style="4" customWidth="1"/>
    <col min="9" max="9" width="6.75" style="4" customWidth="1"/>
    <col min="10" max="10" width="9.75" style="4" customWidth="1"/>
    <col min="11" max="11" width="6.75" style="4" customWidth="1"/>
    <col min="12" max="12" width="9.75" style="4" customWidth="1"/>
    <col min="13" max="13" width="8.75" style="4" customWidth="1"/>
    <col min="14" max="51" width="0" hidden="1" customWidth="1"/>
  </cols>
  <sheetData>
    <row r="1" spans="1:51" ht="30" customHeight="1" x14ac:dyDescent="0.3">
      <c r="A1" s="44" t="s">
        <v>203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51" ht="22.9" customHeight="1" x14ac:dyDescent="0.3">
      <c r="A2" s="45" t="s">
        <v>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51" ht="22.9" customHeight="1" x14ac:dyDescent="0.3">
      <c r="A3" s="53" t="s">
        <v>204</v>
      </c>
      <c r="B3" s="53" t="s">
        <v>205</v>
      </c>
      <c r="C3" s="53" t="s">
        <v>6</v>
      </c>
      <c r="D3" s="53" t="s">
        <v>88</v>
      </c>
      <c r="E3" s="53" t="s">
        <v>176</v>
      </c>
      <c r="F3" s="53"/>
      <c r="G3" s="53" t="s">
        <v>177</v>
      </c>
      <c r="H3" s="53"/>
      <c r="I3" s="53" t="s">
        <v>178</v>
      </c>
      <c r="J3" s="53"/>
      <c r="K3" s="53" t="s">
        <v>179</v>
      </c>
      <c r="L3" s="53"/>
      <c r="M3" s="53" t="s">
        <v>206</v>
      </c>
    </row>
    <row r="4" spans="1:51" ht="22.9" customHeight="1" x14ac:dyDescent="0.3">
      <c r="A4" s="53"/>
      <c r="B4" s="53"/>
      <c r="C4" s="53"/>
      <c r="D4" s="53"/>
      <c r="E4" s="12" t="s">
        <v>94</v>
      </c>
      <c r="F4" s="12" t="s">
        <v>95</v>
      </c>
      <c r="G4" s="12" t="s">
        <v>94</v>
      </c>
      <c r="H4" s="12" t="s">
        <v>95</v>
      </c>
      <c r="I4" s="12" t="s">
        <v>94</v>
      </c>
      <c r="J4" s="12" t="s">
        <v>95</v>
      </c>
      <c r="K4" s="12" t="s">
        <v>94</v>
      </c>
      <c r="L4" s="12" t="s">
        <v>95</v>
      </c>
      <c r="M4" s="53"/>
      <c r="N4" t="s">
        <v>96</v>
      </c>
      <c r="O4" t="s">
        <v>97</v>
      </c>
      <c r="P4" t="s">
        <v>98</v>
      </c>
      <c r="Q4" t="s">
        <v>99</v>
      </c>
      <c r="R4" t="s">
        <v>107</v>
      </c>
      <c r="S4" t="s">
        <v>207</v>
      </c>
      <c r="T4" t="s">
        <v>208</v>
      </c>
      <c r="U4" t="s">
        <v>209</v>
      </c>
      <c r="V4" t="s">
        <v>210</v>
      </c>
      <c r="W4" t="s">
        <v>211</v>
      </c>
      <c r="X4" t="s">
        <v>212</v>
      </c>
      <c r="Y4" t="s">
        <v>213</v>
      </c>
      <c r="Z4" t="s">
        <v>214</v>
      </c>
      <c r="AA4" t="s">
        <v>215</v>
      </c>
      <c r="AB4" t="s">
        <v>216</v>
      </c>
      <c r="AC4" t="s">
        <v>217</v>
      </c>
      <c r="AD4" t="s">
        <v>218</v>
      </c>
      <c r="AE4" t="s">
        <v>219</v>
      </c>
      <c r="AF4" t="s">
        <v>220</v>
      </c>
      <c r="AG4" t="s">
        <v>221</v>
      </c>
      <c r="AH4" t="s">
        <v>222</v>
      </c>
      <c r="AI4" t="s">
        <v>223</v>
      </c>
      <c r="AJ4" t="s">
        <v>224</v>
      </c>
      <c r="AK4" t="s">
        <v>225</v>
      </c>
      <c r="AL4" t="s">
        <v>226</v>
      </c>
      <c r="AM4" t="s">
        <v>227</v>
      </c>
      <c r="AN4" t="s">
        <v>228</v>
      </c>
      <c r="AO4" t="s">
        <v>229</v>
      </c>
      <c r="AP4" t="s">
        <v>230</v>
      </c>
      <c r="AQ4" t="s">
        <v>231</v>
      </c>
      <c r="AR4" t="s">
        <v>232</v>
      </c>
      <c r="AS4" t="s">
        <v>233</v>
      </c>
      <c r="AT4" t="s">
        <v>234</v>
      </c>
      <c r="AU4" t="s">
        <v>235</v>
      </c>
      <c r="AV4" t="s">
        <v>236</v>
      </c>
      <c r="AW4" t="s">
        <v>100</v>
      </c>
      <c r="AX4" t="s">
        <v>101</v>
      </c>
      <c r="AY4" t="s">
        <v>18</v>
      </c>
    </row>
    <row r="5" spans="1:51" ht="22.9" customHeight="1" x14ac:dyDescent="0.3">
      <c r="A5" s="58" t="s">
        <v>237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60"/>
    </row>
    <row r="6" spans="1:51" ht="22.9" customHeight="1" x14ac:dyDescent="0.3">
      <c r="A6" s="14" t="s">
        <v>192</v>
      </c>
      <c r="B6" s="14" t="s">
        <v>193</v>
      </c>
      <c r="C6" s="16" t="s">
        <v>194</v>
      </c>
      <c r="D6" s="17">
        <v>1</v>
      </c>
      <c r="E6" s="17">
        <f>일위대가목록!G5</f>
        <v>432080</v>
      </c>
      <c r="F6" s="17">
        <f>ROUNDDOWN(D6*E6, 0)</f>
        <v>432080</v>
      </c>
      <c r="G6" s="17">
        <f>일위대가목록!I5</f>
        <v>161482</v>
      </c>
      <c r="H6" s="17">
        <f>ROUNDDOWN(D6*G6, 0)</f>
        <v>161482</v>
      </c>
      <c r="I6" s="17">
        <f>일위대가목록!K5</f>
        <v>4844</v>
      </c>
      <c r="J6" s="17">
        <f>ROUNDDOWN(D6*I6, 0)</f>
        <v>4844</v>
      </c>
      <c r="K6" s="17">
        <f>E6+G6+I6</f>
        <v>598406</v>
      </c>
      <c r="L6" s="17">
        <f>F6+H6+J6</f>
        <v>598406</v>
      </c>
      <c r="M6" s="25" t="s">
        <v>191</v>
      </c>
      <c r="O6" t="str">
        <f>""</f>
        <v/>
      </c>
      <c r="P6" s="1" t="s">
        <v>107</v>
      </c>
      <c r="Q6">
        <v>1</v>
      </c>
      <c r="R6">
        <f>IF(P6="기계경비", J6, 0)</f>
        <v>4844</v>
      </c>
      <c r="S6">
        <f>IF(P6="운반비", L6, 0)</f>
        <v>0</v>
      </c>
      <c r="T6">
        <f>IF(P6="작업부산물", F6, 0)</f>
        <v>0</v>
      </c>
      <c r="U6">
        <f>IF(P6="관급", F6, 0)</f>
        <v>0</v>
      </c>
      <c r="V6">
        <f>IF(P6="외주비", J6, 0)</f>
        <v>0</v>
      </c>
      <c r="W6">
        <f>IF(P6="장비비", J6, 0)</f>
        <v>0</v>
      </c>
      <c r="X6">
        <f>IF(P6="폐기물처리비", L6, 0)</f>
        <v>0</v>
      </c>
      <c r="Y6">
        <f>IF(P6="가설비", J6, 0)</f>
        <v>0</v>
      </c>
      <c r="Z6">
        <f>IF(P6="잡비제외분", F6, 0)</f>
        <v>0</v>
      </c>
      <c r="AA6">
        <f>IF(P6="사급자재대", L6, 0)</f>
        <v>0</v>
      </c>
      <c r="AB6">
        <f>IF(P6="관급자재대", L6, 0)</f>
        <v>0</v>
      </c>
      <c r="AC6">
        <f>IF(P6="사용자항목1", L6, 0)</f>
        <v>0</v>
      </c>
      <c r="AD6">
        <f>IF(P6="사용자항목2", L6, 0)</f>
        <v>0</v>
      </c>
      <c r="AE6">
        <f>IF(P6="안전관리비", L6, 0)</f>
        <v>0</v>
      </c>
      <c r="AF6">
        <f>IF(P6="품질관리비", L6, 0)</f>
        <v>0</v>
      </c>
      <c r="AG6">
        <f>IF(P6="작업부산물(철거해체)", L6, 0)</f>
        <v>0</v>
      </c>
      <c r="AH6">
        <f>IF(P6="재해예방기술지도비", L6, 0)</f>
        <v>0</v>
      </c>
      <c r="AI6">
        <f>IF(P6="사용자항목7", L6, 0)</f>
        <v>0</v>
      </c>
      <c r="AJ6">
        <f>IF(P6="석면분담금", L6, 0)</f>
        <v>0</v>
      </c>
      <c r="AK6">
        <f>IF(P6="임금채권분담금", L6, 0)</f>
        <v>0</v>
      </c>
      <c r="AL6">
        <f>IF(P6="사용자항목10", L6, 0)</f>
        <v>0</v>
      </c>
      <c r="AM6">
        <f>IF(P6="사용자항목11", L6, 0)</f>
        <v>0</v>
      </c>
      <c r="AN6">
        <f>IF(P6="사용자항목12", L6, 0)</f>
        <v>0</v>
      </c>
      <c r="AO6">
        <f>IF(P6="사용자항목13", L6, 0)</f>
        <v>0</v>
      </c>
      <c r="AP6">
        <f>IF(P6="사용자항목14", L6, 0)</f>
        <v>0</v>
      </c>
      <c r="AQ6">
        <f>IF(P6="사용자항목15", L6, 0)</f>
        <v>0</v>
      </c>
      <c r="AR6">
        <f>IF(P6="사용자항목16", L6, 0)</f>
        <v>0</v>
      </c>
      <c r="AS6">
        <f>IF(P6="사용자항목17", L6, 0)</f>
        <v>0</v>
      </c>
      <c r="AT6">
        <f>IF(P6="사용자항목18", L6, 0)</f>
        <v>0</v>
      </c>
      <c r="AU6">
        <f>IF(P6="사용자항목19", L6, 0)</f>
        <v>0</v>
      </c>
      <c r="AY6" s="1" t="s">
        <v>195</v>
      </c>
    </row>
    <row r="7" spans="1:51" ht="22.9" customHeight="1" x14ac:dyDescent="0.3">
      <c r="A7" s="15"/>
      <c r="B7" s="15"/>
      <c r="C7" s="22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51" ht="22.9" customHeight="1" x14ac:dyDescent="0.3">
      <c r="A8" s="15"/>
      <c r="B8" s="15"/>
      <c r="C8" s="22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51" ht="22.9" customHeight="1" x14ac:dyDescent="0.3">
      <c r="A9" s="15"/>
      <c r="B9" s="15"/>
      <c r="C9" s="22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51" ht="22.9" customHeight="1" x14ac:dyDescent="0.3">
      <c r="A10" s="15"/>
      <c r="B10" s="15"/>
      <c r="C10" s="22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51" ht="22.9" customHeight="1" x14ac:dyDescent="0.3">
      <c r="A11" s="15"/>
      <c r="B11" s="15"/>
      <c r="C11" s="22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51" ht="22.9" customHeight="1" x14ac:dyDescent="0.3">
      <c r="A12" s="15"/>
      <c r="B12" s="15"/>
      <c r="C12" s="22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51" ht="22.9" customHeight="1" x14ac:dyDescent="0.3">
      <c r="A13" s="15"/>
      <c r="B13" s="15"/>
      <c r="C13" s="22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51" ht="22.9" customHeight="1" x14ac:dyDescent="0.3">
      <c r="A14" s="15"/>
      <c r="B14" s="15"/>
      <c r="C14" s="22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51" ht="22.9" customHeight="1" x14ac:dyDescent="0.3">
      <c r="A15" s="15"/>
      <c r="B15" s="15"/>
      <c r="C15" s="22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51" ht="22.9" customHeight="1" x14ac:dyDescent="0.3">
      <c r="A16" s="15"/>
      <c r="B16" s="15"/>
      <c r="C16" s="22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51" ht="22.9" customHeight="1" x14ac:dyDescent="0.3">
      <c r="A17" s="15"/>
      <c r="B17" s="15"/>
      <c r="C17" s="22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51" ht="22.9" customHeight="1" x14ac:dyDescent="0.3">
      <c r="A18" s="15"/>
      <c r="B18" s="15"/>
      <c r="C18" s="22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51" ht="22.9" customHeight="1" x14ac:dyDescent="0.3">
      <c r="A19" s="15"/>
      <c r="B19" s="15"/>
      <c r="C19" s="22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51" ht="22.9" customHeight="1" x14ac:dyDescent="0.3">
      <c r="A20" s="18" t="s">
        <v>119</v>
      </c>
      <c r="B20" s="19"/>
      <c r="C20" s="20"/>
      <c r="D20" s="21"/>
      <c r="E20" s="21"/>
      <c r="F20" s="21">
        <f>ROUNDDOWN(SUMIF(Q6:Q19, "1", F6:F19), 0)</f>
        <v>432080</v>
      </c>
      <c r="G20" s="21"/>
      <c r="H20" s="21">
        <f>ROUNDDOWN(SUMIF(Q6:Q19, "1", H6:H19), 0)</f>
        <v>161482</v>
      </c>
      <c r="I20" s="21"/>
      <c r="J20" s="21">
        <f>ROUNDDOWN(SUMIF(Q6:Q19, "1", J6:J19), 0)</f>
        <v>4844</v>
      </c>
      <c r="K20" s="21"/>
      <c r="L20" s="21">
        <f>F20+H20+J20</f>
        <v>598406</v>
      </c>
      <c r="M20" s="21"/>
      <c r="R20">
        <f t="shared" ref="R20:AY20" si="0">ROUNDDOWN(SUM(R6:R6), 0)</f>
        <v>4844</v>
      </c>
      <c r="S20">
        <f t="shared" si="0"/>
        <v>0</v>
      </c>
      <c r="T20">
        <f t="shared" si="0"/>
        <v>0</v>
      </c>
      <c r="U20">
        <f t="shared" si="0"/>
        <v>0</v>
      </c>
      <c r="V20">
        <f t="shared" si="0"/>
        <v>0</v>
      </c>
      <c r="W20">
        <f t="shared" si="0"/>
        <v>0</v>
      </c>
      <c r="X20">
        <f t="shared" si="0"/>
        <v>0</v>
      </c>
      <c r="Y20">
        <f t="shared" si="0"/>
        <v>0</v>
      </c>
      <c r="Z20">
        <f t="shared" si="0"/>
        <v>0</v>
      </c>
      <c r="AA20">
        <f t="shared" si="0"/>
        <v>0</v>
      </c>
      <c r="AB20">
        <f t="shared" si="0"/>
        <v>0</v>
      </c>
      <c r="AC20">
        <f t="shared" si="0"/>
        <v>0</v>
      </c>
      <c r="AD20">
        <f t="shared" si="0"/>
        <v>0</v>
      </c>
      <c r="AE20">
        <f t="shared" si="0"/>
        <v>0</v>
      </c>
      <c r="AF20">
        <f t="shared" si="0"/>
        <v>0</v>
      </c>
      <c r="AG20">
        <f t="shared" si="0"/>
        <v>0</v>
      </c>
      <c r="AH20">
        <f t="shared" si="0"/>
        <v>0</v>
      </c>
      <c r="AI20">
        <f t="shared" si="0"/>
        <v>0</v>
      </c>
      <c r="AJ20">
        <f t="shared" si="0"/>
        <v>0</v>
      </c>
      <c r="AK20">
        <f t="shared" si="0"/>
        <v>0</v>
      </c>
      <c r="AL20">
        <f t="shared" si="0"/>
        <v>0</v>
      </c>
      <c r="AM20">
        <f t="shared" si="0"/>
        <v>0</v>
      </c>
      <c r="AN20">
        <f t="shared" si="0"/>
        <v>0</v>
      </c>
      <c r="AO20">
        <f t="shared" si="0"/>
        <v>0</v>
      </c>
      <c r="AP20">
        <f t="shared" si="0"/>
        <v>0</v>
      </c>
      <c r="AQ20">
        <f t="shared" si="0"/>
        <v>0</v>
      </c>
      <c r="AR20">
        <f t="shared" si="0"/>
        <v>0</v>
      </c>
      <c r="AS20">
        <f t="shared" si="0"/>
        <v>0</v>
      </c>
      <c r="AT20">
        <f t="shared" si="0"/>
        <v>0</v>
      </c>
      <c r="AU20">
        <f t="shared" si="0"/>
        <v>0</v>
      </c>
      <c r="AV20">
        <f t="shared" si="0"/>
        <v>0</v>
      </c>
      <c r="AW20">
        <f t="shared" si="0"/>
        <v>0</v>
      </c>
      <c r="AX20">
        <f t="shared" si="0"/>
        <v>0</v>
      </c>
      <c r="AY20">
        <f t="shared" si="0"/>
        <v>0</v>
      </c>
    </row>
    <row r="21" spans="1:51" ht="22.9" customHeight="1" x14ac:dyDescent="0.3">
      <c r="A21" s="61" t="s">
        <v>238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</row>
    <row r="22" spans="1:51" ht="22.9" customHeight="1" x14ac:dyDescent="0.3">
      <c r="A22" s="14" t="s">
        <v>197</v>
      </c>
      <c r="B22" s="14" t="s">
        <v>198</v>
      </c>
      <c r="C22" s="16" t="s">
        <v>194</v>
      </c>
      <c r="D22" s="17">
        <v>1</v>
      </c>
      <c r="E22" s="17">
        <f>일위대가목록!G6</f>
        <v>212373</v>
      </c>
      <c r="F22" s="17">
        <f>ROUNDDOWN(D22*E22, 0)</f>
        <v>212373</v>
      </c>
      <c r="G22" s="17">
        <f>일위대가목록!I6</f>
        <v>76485</v>
      </c>
      <c r="H22" s="17">
        <f>ROUNDDOWN(D22*G22, 0)</f>
        <v>76485</v>
      </c>
      <c r="I22" s="17">
        <f>일위대가목록!K6</f>
        <v>8905</v>
      </c>
      <c r="J22" s="17">
        <f>ROUNDDOWN(D22*I22, 0)</f>
        <v>8905</v>
      </c>
      <c r="K22" s="17">
        <f t="shared" ref="K22:L25" si="1">E22+G22+I22</f>
        <v>297763</v>
      </c>
      <c r="L22" s="17">
        <f t="shared" si="1"/>
        <v>297763</v>
      </c>
      <c r="M22" s="25" t="s">
        <v>196</v>
      </c>
      <c r="O22" t="str">
        <f>""</f>
        <v/>
      </c>
      <c r="P22" s="1" t="s">
        <v>107</v>
      </c>
      <c r="Q22">
        <v>1</v>
      </c>
      <c r="R22">
        <f>IF(P22="기계경비", J22, 0)</f>
        <v>8905</v>
      </c>
      <c r="S22">
        <f>IF(P22="운반비", L22, 0)</f>
        <v>0</v>
      </c>
      <c r="T22">
        <f>IF(P22="작업부산물", F22, 0)</f>
        <v>0</v>
      </c>
      <c r="U22">
        <f>IF(P22="관급", F22, 0)</f>
        <v>0</v>
      </c>
      <c r="V22">
        <f>IF(P22="외주비", J22, 0)</f>
        <v>0</v>
      </c>
      <c r="W22">
        <f>IF(P22="장비비", J22, 0)</f>
        <v>0</v>
      </c>
      <c r="X22">
        <f>IF(P22="폐기물처리비", L22, 0)</f>
        <v>0</v>
      </c>
      <c r="Y22">
        <f>IF(P22="가설비", J22, 0)</f>
        <v>0</v>
      </c>
      <c r="Z22">
        <f>IF(P22="잡비제외분", F22, 0)</f>
        <v>0</v>
      </c>
      <c r="AA22">
        <f>IF(P22="사급자재대", L22, 0)</f>
        <v>0</v>
      </c>
      <c r="AB22">
        <f>IF(P22="관급자재대", L22, 0)</f>
        <v>0</v>
      </c>
      <c r="AC22">
        <f>IF(P22="사용자항목1", L22, 0)</f>
        <v>0</v>
      </c>
      <c r="AD22">
        <f>IF(P22="사용자항목2", L22, 0)</f>
        <v>0</v>
      </c>
      <c r="AE22">
        <f>IF(P22="안전관리비", L22, 0)</f>
        <v>0</v>
      </c>
      <c r="AF22">
        <f>IF(P22="품질관리비", L22, 0)</f>
        <v>0</v>
      </c>
      <c r="AG22">
        <f>IF(P22="작업부산물(철거해체)", L22, 0)</f>
        <v>0</v>
      </c>
      <c r="AH22">
        <f>IF(P22="재해예방기술지도비", L22, 0)</f>
        <v>0</v>
      </c>
      <c r="AI22">
        <f>IF(P22="사용자항목7", L22, 0)</f>
        <v>0</v>
      </c>
      <c r="AJ22">
        <f>IF(P22="석면분담금", L22, 0)</f>
        <v>0</v>
      </c>
      <c r="AK22">
        <f>IF(P22="임금채권분담금", L22, 0)</f>
        <v>0</v>
      </c>
      <c r="AL22">
        <f>IF(P22="사용자항목10", L22, 0)</f>
        <v>0</v>
      </c>
      <c r="AM22">
        <f>IF(P22="사용자항목11", L22, 0)</f>
        <v>0</v>
      </c>
      <c r="AN22">
        <f>IF(P22="사용자항목12", L22, 0)</f>
        <v>0</v>
      </c>
      <c r="AO22">
        <f>IF(P22="사용자항목13", L22, 0)</f>
        <v>0</v>
      </c>
      <c r="AP22">
        <f>IF(P22="사용자항목14", L22, 0)</f>
        <v>0</v>
      </c>
      <c r="AQ22">
        <f>IF(P22="사용자항목15", L22, 0)</f>
        <v>0</v>
      </c>
      <c r="AR22">
        <f>IF(P22="사용자항목16", L22, 0)</f>
        <v>0</v>
      </c>
      <c r="AS22">
        <f>IF(P22="사용자항목17", L22, 0)</f>
        <v>0</v>
      </c>
      <c r="AT22">
        <f>IF(P22="사용자항목18", L22, 0)</f>
        <v>0</v>
      </c>
      <c r="AU22">
        <f>IF(P22="사용자항목19", L22, 0)</f>
        <v>0</v>
      </c>
      <c r="AY22" s="1" t="s">
        <v>195</v>
      </c>
    </row>
    <row r="23" spans="1:51" ht="22.9" customHeight="1" x14ac:dyDescent="0.3">
      <c r="A23" s="14" t="s">
        <v>200</v>
      </c>
      <c r="B23" s="14" t="s">
        <v>201</v>
      </c>
      <c r="C23" s="16" t="s">
        <v>202</v>
      </c>
      <c r="D23" s="17">
        <v>5</v>
      </c>
      <c r="E23" s="17">
        <f>일위대가목록!G7</f>
        <v>27347</v>
      </c>
      <c r="F23" s="17">
        <f>ROUNDDOWN(D23*E23, 0)</f>
        <v>136735</v>
      </c>
      <c r="G23" s="17">
        <f>일위대가목록!I7</f>
        <v>13718</v>
      </c>
      <c r="H23" s="17">
        <f>ROUNDDOWN(D23*G23, 0)</f>
        <v>68590</v>
      </c>
      <c r="I23" s="17">
        <f>일위대가목록!K7</f>
        <v>0</v>
      </c>
      <c r="J23" s="17">
        <f>ROUNDDOWN(D23*I23, 0)</f>
        <v>0</v>
      </c>
      <c r="K23" s="17">
        <f t="shared" si="1"/>
        <v>41065</v>
      </c>
      <c r="L23" s="17">
        <f t="shared" si="1"/>
        <v>205325</v>
      </c>
      <c r="M23" s="25" t="s">
        <v>199</v>
      </c>
      <c r="O23" t="str">
        <f>""</f>
        <v/>
      </c>
      <c r="P23" s="1" t="s">
        <v>107</v>
      </c>
      <c r="Q23">
        <v>1</v>
      </c>
      <c r="R23">
        <f>IF(P23="기계경비", J23, 0)</f>
        <v>0</v>
      </c>
      <c r="S23">
        <f>IF(P23="운반비", L23, 0)</f>
        <v>0</v>
      </c>
      <c r="T23">
        <f>IF(P23="작업부산물", F23, 0)</f>
        <v>0</v>
      </c>
      <c r="U23">
        <f>IF(P23="관급", F23, 0)</f>
        <v>0</v>
      </c>
      <c r="V23">
        <f>IF(P23="외주비", J23, 0)</f>
        <v>0</v>
      </c>
      <c r="W23">
        <f>IF(P23="장비비", J23, 0)</f>
        <v>0</v>
      </c>
      <c r="X23">
        <f>IF(P23="폐기물처리비", L23, 0)</f>
        <v>0</v>
      </c>
      <c r="Y23">
        <f>IF(P23="가설비", J23, 0)</f>
        <v>0</v>
      </c>
      <c r="Z23">
        <f>IF(P23="잡비제외분", F23, 0)</f>
        <v>0</v>
      </c>
      <c r="AA23">
        <f>IF(P23="사급자재대", L23, 0)</f>
        <v>0</v>
      </c>
      <c r="AB23">
        <f>IF(P23="관급자재대", L23, 0)</f>
        <v>0</v>
      </c>
      <c r="AC23">
        <f>IF(P23="사용자항목1", L23, 0)</f>
        <v>0</v>
      </c>
      <c r="AD23">
        <f>IF(P23="사용자항목2", L23, 0)</f>
        <v>0</v>
      </c>
      <c r="AE23">
        <f>IF(P23="안전관리비", L23, 0)</f>
        <v>0</v>
      </c>
      <c r="AF23">
        <f>IF(P23="품질관리비", L23, 0)</f>
        <v>0</v>
      </c>
      <c r="AG23">
        <f>IF(P23="작업부산물(철거해체)", L23, 0)</f>
        <v>0</v>
      </c>
      <c r="AH23">
        <f>IF(P23="재해예방기술지도비", L23, 0)</f>
        <v>0</v>
      </c>
      <c r="AI23">
        <f>IF(P23="사용자항목7", L23, 0)</f>
        <v>0</v>
      </c>
      <c r="AJ23">
        <f>IF(P23="석면분담금", L23, 0)</f>
        <v>0</v>
      </c>
      <c r="AK23">
        <f>IF(P23="임금채권분담금", L23, 0)</f>
        <v>0</v>
      </c>
      <c r="AL23">
        <f>IF(P23="사용자항목10", L23, 0)</f>
        <v>0</v>
      </c>
      <c r="AM23">
        <f>IF(P23="사용자항목11", L23, 0)</f>
        <v>0</v>
      </c>
      <c r="AN23">
        <f>IF(P23="사용자항목12", L23, 0)</f>
        <v>0</v>
      </c>
      <c r="AO23">
        <f>IF(P23="사용자항목13", L23, 0)</f>
        <v>0</v>
      </c>
      <c r="AP23">
        <f>IF(P23="사용자항목14", L23, 0)</f>
        <v>0</v>
      </c>
      <c r="AQ23">
        <f>IF(P23="사용자항목15", L23, 0)</f>
        <v>0</v>
      </c>
      <c r="AR23">
        <f>IF(P23="사용자항목16", L23, 0)</f>
        <v>0</v>
      </c>
      <c r="AS23">
        <f>IF(P23="사용자항목17", L23, 0)</f>
        <v>0</v>
      </c>
      <c r="AT23">
        <f>IF(P23="사용자항목18", L23, 0)</f>
        <v>0</v>
      </c>
      <c r="AU23">
        <f>IF(P23="사용자항목19", L23, 0)</f>
        <v>0</v>
      </c>
    </row>
    <row r="24" spans="1:51" ht="22.9" customHeight="1" x14ac:dyDescent="0.3">
      <c r="A24" s="14" t="s">
        <v>167</v>
      </c>
      <c r="B24" s="14" t="s">
        <v>168</v>
      </c>
      <c r="C24" s="16" t="s">
        <v>169</v>
      </c>
      <c r="D24" s="17">
        <v>3.2</v>
      </c>
      <c r="E24" s="17">
        <f>단가산출서목록!G5</f>
        <v>492</v>
      </c>
      <c r="F24" s="17">
        <f>ROUNDDOWN(D24*E24, 0)</f>
        <v>1574</v>
      </c>
      <c r="G24" s="17">
        <f>단가산출서목록!I5</f>
        <v>2900</v>
      </c>
      <c r="H24" s="17">
        <f>ROUNDDOWN(D24*G24, 0)</f>
        <v>9280</v>
      </c>
      <c r="I24" s="17">
        <f>단가산출서목록!K5</f>
        <v>681</v>
      </c>
      <c r="J24" s="17">
        <f>ROUNDDOWN(D24*I24, 0)</f>
        <v>2179</v>
      </c>
      <c r="K24" s="17">
        <f t="shared" si="1"/>
        <v>4073</v>
      </c>
      <c r="L24" s="17">
        <f t="shared" si="1"/>
        <v>13033</v>
      </c>
      <c r="M24" s="25" t="s">
        <v>166</v>
      </c>
      <c r="O24" t="str">
        <f>""</f>
        <v/>
      </c>
      <c r="P24" s="1" t="s">
        <v>107</v>
      </c>
      <c r="Q24">
        <v>1</v>
      </c>
      <c r="R24">
        <f>IF(P24="기계경비", J24, 0)</f>
        <v>2179</v>
      </c>
      <c r="S24">
        <f>IF(P24="운반비", L24, 0)</f>
        <v>0</v>
      </c>
      <c r="T24">
        <f>IF(P24="작업부산물", F24, 0)</f>
        <v>0</v>
      </c>
      <c r="U24">
        <f>IF(P24="관급", F24, 0)</f>
        <v>0</v>
      </c>
      <c r="V24">
        <f>IF(P24="외주비", J24, 0)</f>
        <v>0</v>
      </c>
      <c r="W24">
        <f>IF(P24="장비비", J24, 0)</f>
        <v>0</v>
      </c>
      <c r="X24">
        <f>IF(P24="폐기물처리비", L24, 0)</f>
        <v>0</v>
      </c>
      <c r="Y24">
        <f>IF(P24="가설비", J24, 0)</f>
        <v>0</v>
      </c>
      <c r="Z24">
        <f>IF(P24="잡비제외분", F24, 0)</f>
        <v>0</v>
      </c>
      <c r="AA24">
        <f>IF(P24="사급자재대", L24, 0)</f>
        <v>0</v>
      </c>
      <c r="AB24">
        <f>IF(P24="관급자재대", L24, 0)</f>
        <v>0</v>
      </c>
      <c r="AC24">
        <f>IF(P24="사용자항목1", L24, 0)</f>
        <v>0</v>
      </c>
      <c r="AD24">
        <f>IF(P24="사용자항목2", L24, 0)</f>
        <v>0</v>
      </c>
      <c r="AE24">
        <f>IF(P24="안전관리비", L24, 0)</f>
        <v>0</v>
      </c>
      <c r="AF24">
        <f>IF(P24="품질관리비", L24, 0)</f>
        <v>0</v>
      </c>
      <c r="AG24">
        <f>IF(P24="작업부산물(철거해체)", L24, 0)</f>
        <v>0</v>
      </c>
      <c r="AH24">
        <f>IF(P24="재해예방기술지도비", L24, 0)</f>
        <v>0</v>
      </c>
      <c r="AI24">
        <f>IF(P24="사용자항목7", L24, 0)</f>
        <v>0</v>
      </c>
      <c r="AJ24">
        <f>IF(P24="석면분담금", L24, 0)</f>
        <v>0</v>
      </c>
      <c r="AK24">
        <f>IF(P24="임금채권분담금", L24, 0)</f>
        <v>0</v>
      </c>
      <c r="AL24">
        <f>IF(P24="사용자항목10", L24, 0)</f>
        <v>0</v>
      </c>
      <c r="AM24">
        <f>IF(P24="사용자항목11", L24, 0)</f>
        <v>0</v>
      </c>
      <c r="AN24">
        <f>IF(P24="사용자항목12", L24, 0)</f>
        <v>0</v>
      </c>
      <c r="AO24">
        <f>IF(P24="사용자항목13", L24, 0)</f>
        <v>0</v>
      </c>
      <c r="AP24">
        <f>IF(P24="사용자항목14", L24, 0)</f>
        <v>0</v>
      </c>
      <c r="AQ24">
        <f>IF(P24="사용자항목15", L24, 0)</f>
        <v>0</v>
      </c>
      <c r="AR24">
        <f>IF(P24="사용자항목16", L24, 0)</f>
        <v>0</v>
      </c>
      <c r="AS24">
        <f>IF(P24="사용자항목17", L24, 0)</f>
        <v>0</v>
      </c>
      <c r="AT24">
        <f>IF(P24="사용자항목18", L24, 0)</f>
        <v>0</v>
      </c>
      <c r="AU24">
        <f>IF(P24="사용자항목19", L24, 0)</f>
        <v>0</v>
      </c>
    </row>
    <row r="25" spans="1:51" ht="22.9" customHeight="1" x14ac:dyDescent="0.3">
      <c r="A25" s="14" t="s">
        <v>171</v>
      </c>
      <c r="B25" s="14" t="s">
        <v>172</v>
      </c>
      <c r="C25" s="16" t="s">
        <v>169</v>
      </c>
      <c r="D25" s="17">
        <v>2.82</v>
      </c>
      <c r="E25" s="17">
        <f>단가산출서목록!G6</f>
        <v>635</v>
      </c>
      <c r="F25" s="17">
        <f>ROUNDDOWN(D25*E25, 0)</f>
        <v>1790</v>
      </c>
      <c r="G25" s="17">
        <f>단가산출서목록!I6</f>
        <v>6452</v>
      </c>
      <c r="H25" s="17">
        <f>ROUNDDOWN(D25*G25, 0)</f>
        <v>18194</v>
      </c>
      <c r="I25" s="17">
        <f>단가산출서목록!K6</f>
        <v>638</v>
      </c>
      <c r="J25" s="17">
        <f>ROUNDDOWN(D25*I25, 0)</f>
        <v>1799</v>
      </c>
      <c r="K25" s="17">
        <f t="shared" si="1"/>
        <v>7725</v>
      </c>
      <c r="L25" s="17">
        <f t="shared" si="1"/>
        <v>21783</v>
      </c>
      <c r="M25" s="25" t="s">
        <v>170</v>
      </c>
      <c r="O25" t="str">
        <f>""</f>
        <v/>
      </c>
      <c r="P25" s="1" t="s">
        <v>107</v>
      </c>
      <c r="Q25">
        <v>1</v>
      </c>
      <c r="R25">
        <f>IF(P25="기계경비", J25, 0)</f>
        <v>1799</v>
      </c>
      <c r="S25">
        <f>IF(P25="운반비", L25, 0)</f>
        <v>0</v>
      </c>
      <c r="T25">
        <f>IF(P25="작업부산물", F25, 0)</f>
        <v>0</v>
      </c>
      <c r="U25">
        <f>IF(P25="관급", F25, 0)</f>
        <v>0</v>
      </c>
      <c r="V25">
        <f>IF(P25="외주비", J25, 0)</f>
        <v>0</v>
      </c>
      <c r="W25">
        <f>IF(P25="장비비", J25, 0)</f>
        <v>0</v>
      </c>
      <c r="X25">
        <f>IF(P25="폐기물처리비", L25, 0)</f>
        <v>0</v>
      </c>
      <c r="Y25">
        <f>IF(P25="가설비", J25, 0)</f>
        <v>0</v>
      </c>
      <c r="Z25">
        <f>IF(P25="잡비제외분", F25, 0)</f>
        <v>0</v>
      </c>
      <c r="AA25">
        <f>IF(P25="사급자재대", L25, 0)</f>
        <v>0</v>
      </c>
      <c r="AB25">
        <f>IF(P25="관급자재대", L25, 0)</f>
        <v>0</v>
      </c>
      <c r="AC25">
        <f>IF(P25="사용자항목1", L25, 0)</f>
        <v>0</v>
      </c>
      <c r="AD25">
        <f>IF(P25="사용자항목2", L25, 0)</f>
        <v>0</v>
      </c>
      <c r="AE25">
        <f>IF(P25="안전관리비", L25, 0)</f>
        <v>0</v>
      </c>
      <c r="AF25">
        <f>IF(P25="품질관리비", L25, 0)</f>
        <v>0</v>
      </c>
      <c r="AG25">
        <f>IF(P25="작업부산물(철거해체)", L25, 0)</f>
        <v>0</v>
      </c>
      <c r="AH25">
        <f>IF(P25="재해예방기술지도비", L25, 0)</f>
        <v>0</v>
      </c>
      <c r="AI25">
        <f>IF(P25="사용자항목7", L25, 0)</f>
        <v>0</v>
      </c>
      <c r="AJ25">
        <f>IF(P25="석면분담금", L25, 0)</f>
        <v>0</v>
      </c>
      <c r="AK25">
        <f>IF(P25="임금채권분담금", L25, 0)</f>
        <v>0</v>
      </c>
      <c r="AL25">
        <f>IF(P25="사용자항목10", L25, 0)</f>
        <v>0</v>
      </c>
      <c r="AM25">
        <f>IF(P25="사용자항목11", L25, 0)</f>
        <v>0</v>
      </c>
      <c r="AN25">
        <f>IF(P25="사용자항목12", L25, 0)</f>
        <v>0</v>
      </c>
      <c r="AO25">
        <f>IF(P25="사용자항목13", L25, 0)</f>
        <v>0</v>
      </c>
      <c r="AP25">
        <f>IF(P25="사용자항목14", L25, 0)</f>
        <v>0</v>
      </c>
      <c r="AQ25">
        <f>IF(P25="사용자항목15", L25, 0)</f>
        <v>0</v>
      </c>
      <c r="AR25">
        <f>IF(P25="사용자항목16", L25, 0)</f>
        <v>0</v>
      </c>
      <c r="AS25">
        <f>IF(P25="사용자항목17", L25, 0)</f>
        <v>0</v>
      </c>
      <c r="AT25">
        <f>IF(P25="사용자항목18", L25, 0)</f>
        <v>0</v>
      </c>
      <c r="AU25">
        <f>IF(P25="사용자항목19", L25, 0)</f>
        <v>0</v>
      </c>
    </row>
    <row r="26" spans="1:51" ht="22.9" customHeight="1" x14ac:dyDescent="0.3">
      <c r="A26" s="15"/>
      <c r="B26" s="15"/>
      <c r="C26" s="22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51" ht="22.9" customHeight="1" x14ac:dyDescent="0.3">
      <c r="A27" s="15"/>
      <c r="B27" s="15"/>
      <c r="C27" s="22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51" ht="22.9" customHeight="1" x14ac:dyDescent="0.3">
      <c r="A28" s="15"/>
      <c r="B28" s="15"/>
      <c r="C28" s="22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51" ht="22.9" customHeight="1" x14ac:dyDescent="0.3">
      <c r="A29" s="15"/>
      <c r="B29" s="15"/>
      <c r="C29" s="22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51" ht="22.9" customHeight="1" x14ac:dyDescent="0.3">
      <c r="A30" s="15"/>
      <c r="B30" s="15"/>
      <c r="C30" s="22"/>
      <c r="D30" s="17"/>
      <c r="E30" s="17"/>
      <c r="F30" s="17"/>
      <c r="G30" s="17"/>
      <c r="H30" s="17"/>
      <c r="I30" s="17"/>
      <c r="J30" s="17"/>
      <c r="K30" s="17"/>
      <c r="L30" s="17"/>
      <c r="M30" s="17"/>
    </row>
    <row r="31" spans="1:51" ht="22.9" customHeight="1" x14ac:dyDescent="0.3">
      <c r="A31" s="15"/>
      <c r="B31" s="15"/>
      <c r="C31" s="22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51" ht="22.9" customHeight="1" x14ac:dyDescent="0.3">
      <c r="A32" s="15"/>
      <c r="B32" s="15"/>
      <c r="C32" s="22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51" ht="22.9" customHeight="1" x14ac:dyDescent="0.3">
      <c r="A33" s="15"/>
      <c r="B33" s="15"/>
      <c r="C33" s="22"/>
      <c r="D33" s="17"/>
      <c r="E33" s="17"/>
      <c r="F33" s="17"/>
      <c r="G33" s="17"/>
      <c r="H33" s="17"/>
      <c r="I33" s="17"/>
      <c r="J33" s="17"/>
      <c r="K33" s="17"/>
      <c r="L33" s="17"/>
      <c r="M33" s="17"/>
    </row>
    <row r="34" spans="1:51" ht="22.9" customHeight="1" x14ac:dyDescent="0.3">
      <c r="A34" s="15"/>
      <c r="B34" s="15"/>
      <c r="C34" s="22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51" ht="22.9" customHeight="1" x14ac:dyDescent="0.3">
      <c r="A35" s="15"/>
      <c r="B35" s="15"/>
      <c r="C35" s="22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1:51" ht="22.9" customHeight="1" x14ac:dyDescent="0.3">
      <c r="A36" s="18" t="s">
        <v>119</v>
      </c>
      <c r="B36" s="19"/>
      <c r="C36" s="20"/>
      <c r="D36" s="21"/>
      <c r="E36" s="21"/>
      <c r="F36" s="21">
        <f>ROUNDDOWN(SUMIF(Q22:Q35, "1", F22:F35), 0)</f>
        <v>352472</v>
      </c>
      <c r="G36" s="21"/>
      <c r="H36" s="21">
        <f>ROUNDDOWN(SUMIF(Q22:Q35, "1", H22:H35), 0)</f>
        <v>172549</v>
      </c>
      <c r="I36" s="21"/>
      <c r="J36" s="21">
        <f>ROUNDDOWN(SUMIF(Q22:Q35, "1", J22:J35), 0)</f>
        <v>12883</v>
      </c>
      <c r="K36" s="21"/>
      <c r="L36" s="21">
        <f>F36+H36+J36</f>
        <v>537904</v>
      </c>
      <c r="M36" s="21"/>
      <c r="R36">
        <f t="shared" ref="R36:AY36" si="2">ROUNDDOWN(SUM(R22:R25), 0)</f>
        <v>12883</v>
      </c>
      <c r="S36">
        <f t="shared" si="2"/>
        <v>0</v>
      </c>
      <c r="T36">
        <f t="shared" si="2"/>
        <v>0</v>
      </c>
      <c r="U36">
        <f t="shared" si="2"/>
        <v>0</v>
      </c>
      <c r="V36">
        <f t="shared" si="2"/>
        <v>0</v>
      </c>
      <c r="W36">
        <f t="shared" si="2"/>
        <v>0</v>
      </c>
      <c r="X36">
        <f t="shared" si="2"/>
        <v>0</v>
      </c>
      <c r="Y36">
        <f t="shared" si="2"/>
        <v>0</v>
      </c>
      <c r="Z36">
        <f t="shared" si="2"/>
        <v>0</v>
      </c>
      <c r="AA36">
        <f t="shared" si="2"/>
        <v>0</v>
      </c>
      <c r="AB36">
        <f t="shared" si="2"/>
        <v>0</v>
      </c>
      <c r="AC36">
        <f t="shared" si="2"/>
        <v>0</v>
      </c>
      <c r="AD36">
        <f t="shared" si="2"/>
        <v>0</v>
      </c>
      <c r="AE36">
        <f t="shared" si="2"/>
        <v>0</v>
      </c>
      <c r="AF36">
        <f t="shared" si="2"/>
        <v>0</v>
      </c>
      <c r="AG36">
        <f t="shared" si="2"/>
        <v>0</v>
      </c>
      <c r="AH36">
        <f t="shared" si="2"/>
        <v>0</v>
      </c>
      <c r="AI36">
        <f t="shared" si="2"/>
        <v>0</v>
      </c>
      <c r="AJ36">
        <f t="shared" si="2"/>
        <v>0</v>
      </c>
      <c r="AK36">
        <f t="shared" si="2"/>
        <v>0</v>
      </c>
      <c r="AL36">
        <f t="shared" si="2"/>
        <v>0</v>
      </c>
      <c r="AM36">
        <f t="shared" si="2"/>
        <v>0</v>
      </c>
      <c r="AN36">
        <f t="shared" si="2"/>
        <v>0</v>
      </c>
      <c r="AO36">
        <f t="shared" si="2"/>
        <v>0</v>
      </c>
      <c r="AP36">
        <f t="shared" si="2"/>
        <v>0</v>
      </c>
      <c r="AQ36">
        <f t="shared" si="2"/>
        <v>0</v>
      </c>
      <c r="AR36">
        <f t="shared" si="2"/>
        <v>0</v>
      </c>
      <c r="AS36">
        <f t="shared" si="2"/>
        <v>0</v>
      </c>
      <c r="AT36">
        <f t="shared" si="2"/>
        <v>0</v>
      </c>
      <c r="AU36">
        <f t="shared" si="2"/>
        <v>0</v>
      </c>
      <c r="AV36">
        <f t="shared" si="2"/>
        <v>0</v>
      </c>
      <c r="AW36">
        <f t="shared" si="2"/>
        <v>0</v>
      </c>
      <c r="AX36">
        <f t="shared" si="2"/>
        <v>0</v>
      </c>
      <c r="AY36">
        <f t="shared" si="2"/>
        <v>0</v>
      </c>
    </row>
    <row r="37" spans="1:51" ht="22.9" customHeight="1" x14ac:dyDescent="0.3">
      <c r="A37" s="61" t="s">
        <v>239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1:51" ht="22.9" customHeight="1" x14ac:dyDescent="0.3">
      <c r="A38" s="14" t="s">
        <v>197</v>
      </c>
      <c r="B38" s="14" t="s">
        <v>198</v>
      </c>
      <c r="C38" s="16" t="s">
        <v>194</v>
      </c>
      <c r="D38" s="17">
        <v>1</v>
      </c>
      <c r="E38" s="17">
        <f>일위대가목록!G6</f>
        <v>212373</v>
      </c>
      <c r="F38" s="17">
        <f>ROUNDDOWN(D38*E38, 0)</f>
        <v>212373</v>
      </c>
      <c r="G38" s="17">
        <f>일위대가목록!I6</f>
        <v>76485</v>
      </c>
      <c r="H38" s="17">
        <f>ROUNDDOWN(D38*G38, 0)</f>
        <v>76485</v>
      </c>
      <c r="I38" s="17">
        <f>일위대가목록!K6</f>
        <v>8905</v>
      </c>
      <c r="J38" s="17">
        <f>ROUNDDOWN(D38*I38, 0)</f>
        <v>8905</v>
      </c>
      <c r="K38" s="17">
        <f t="shared" ref="K38:L41" si="3">E38+G38+I38</f>
        <v>297763</v>
      </c>
      <c r="L38" s="17">
        <f t="shared" si="3"/>
        <v>297763</v>
      </c>
      <c r="M38" s="25" t="s">
        <v>196</v>
      </c>
      <c r="O38" t="str">
        <f>""</f>
        <v/>
      </c>
      <c r="P38" s="1" t="s">
        <v>107</v>
      </c>
      <c r="Q38">
        <v>1</v>
      </c>
      <c r="R38">
        <f>IF(P38="기계경비", J38, 0)</f>
        <v>8905</v>
      </c>
      <c r="S38">
        <f>IF(P38="운반비", L38, 0)</f>
        <v>0</v>
      </c>
      <c r="T38">
        <f>IF(P38="작업부산물", F38, 0)</f>
        <v>0</v>
      </c>
      <c r="U38">
        <f>IF(P38="관급", F38, 0)</f>
        <v>0</v>
      </c>
      <c r="V38">
        <f>IF(P38="외주비", J38, 0)</f>
        <v>0</v>
      </c>
      <c r="W38">
        <f>IF(P38="장비비", J38, 0)</f>
        <v>0</v>
      </c>
      <c r="X38">
        <f>IF(P38="폐기물처리비", L38, 0)</f>
        <v>0</v>
      </c>
      <c r="Y38">
        <f>IF(P38="가설비", J38, 0)</f>
        <v>0</v>
      </c>
      <c r="Z38">
        <f>IF(P38="잡비제외분", F38, 0)</f>
        <v>0</v>
      </c>
      <c r="AA38">
        <f>IF(P38="사급자재대", L38, 0)</f>
        <v>0</v>
      </c>
      <c r="AB38">
        <f>IF(P38="관급자재대", L38, 0)</f>
        <v>0</v>
      </c>
      <c r="AC38">
        <f>IF(P38="사용자항목1", L38, 0)</f>
        <v>0</v>
      </c>
      <c r="AD38">
        <f>IF(P38="사용자항목2", L38, 0)</f>
        <v>0</v>
      </c>
      <c r="AE38">
        <f>IF(P38="안전관리비", L38, 0)</f>
        <v>0</v>
      </c>
      <c r="AF38">
        <f>IF(P38="품질관리비", L38, 0)</f>
        <v>0</v>
      </c>
      <c r="AG38">
        <f>IF(P38="작업부산물(철거해체)", L38, 0)</f>
        <v>0</v>
      </c>
      <c r="AH38">
        <f>IF(P38="재해예방기술지도비", L38, 0)</f>
        <v>0</v>
      </c>
      <c r="AI38">
        <f>IF(P38="사용자항목7", L38, 0)</f>
        <v>0</v>
      </c>
      <c r="AJ38">
        <f>IF(P38="석면분담금", L38, 0)</f>
        <v>0</v>
      </c>
      <c r="AK38">
        <f>IF(P38="임금채권분담금", L38, 0)</f>
        <v>0</v>
      </c>
      <c r="AL38">
        <f>IF(P38="사용자항목10", L38, 0)</f>
        <v>0</v>
      </c>
      <c r="AM38">
        <f>IF(P38="사용자항목11", L38, 0)</f>
        <v>0</v>
      </c>
      <c r="AN38">
        <f>IF(P38="사용자항목12", L38, 0)</f>
        <v>0</v>
      </c>
      <c r="AO38">
        <f>IF(P38="사용자항목13", L38, 0)</f>
        <v>0</v>
      </c>
      <c r="AP38">
        <f>IF(P38="사용자항목14", L38, 0)</f>
        <v>0</v>
      </c>
      <c r="AQ38">
        <f>IF(P38="사용자항목15", L38, 0)</f>
        <v>0</v>
      </c>
      <c r="AR38">
        <f>IF(P38="사용자항목16", L38, 0)</f>
        <v>0</v>
      </c>
      <c r="AS38">
        <f>IF(P38="사용자항목17", L38, 0)</f>
        <v>0</v>
      </c>
      <c r="AT38">
        <f>IF(P38="사용자항목18", L38, 0)</f>
        <v>0</v>
      </c>
      <c r="AU38">
        <f>IF(P38="사용자항목19", L38, 0)</f>
        <v>0</v>
      </c>
      <c r="AY38" s="1" t="s">
        <v>195</v>
      </c>
    </row>
    <row r="39" spans="1:51" ht="22.9" customHeight="1" x14ac:dyDescent="0.3">
      <c r="A39" s="14" t="s">
        <v>200</v>
      </c>
      <c r="B39" s="14" t="s">
        <v>201</v>
      </c>
      <c r="C39" s="16" t="s">
        <v>202</v>
      </c>
      <c r="D39" s="17">
        <v>5</v>
      </c>
      <c r="E39" s="17">
        <f>일위대가목록!G7</f>
        <v>27347</v>
      </c>
      <c r="F39" s="17">
        <f>ROUNDDOWN(D39*E39, 0)</f>
        <v>136735</v>
      </c>
      <c r="G39" s="17">
        <f>일위대가목록!I7</f>
        <v>13718</v>
      </c>
      <c r="H39" s="17">
        <f>ROUNDDOWN(D39*G39, 0)</f>
        <v>68590</v>
      </c>
      <c r="I39" s="17">
        <f>일위대가목록!K7</f>
        <v>0</v>
      </c>
      <c r="J39" s="17">
        <f>ROUNDDOWN(D39*I39, 0)</f>
        <v>0</v>
      </c>
      <c r="K39" s="17">
        <f t="shared" si="3"/>
        <v>41065</v>
      </c>
      <c r="L39" s="17">
        <f t="shared" si="3"/>
        <v>205325</v>
      </c>
      <c r="M39" s="25" t="s">
        <v>199</v>
      </c>
      <c r="O39" t="str">
        <f>""</f>
        <v/>
      </c>
      <c r="P39" s="1" t="s">
        <v>107</v>
      </c>
      <c r="Q39">
        <v>1</v>
      </c>
      <c r="R39">
        <f>IF(P39="기계경비", J39, 0)</f>
        <v>0</v>
      </c>
      <c r="S39">
        <f>IF(P39="운반비", L39, 0)</f>
        <v>0</v>
      </c>
      <c r="T39">
        <f>IF(P39="작업부산물", F39, 0)</f>
        <v>0</v>
      </c>
      <c r="U39">
        <f>IF(P39="관급", F39, 0)</f>
        <v>0</v>
      </c>
      <c r="V39">
        <f>IF(P39="외주비", J39, 0)</f>
        <v>0</v>
      </c>
      <c r="W39">
        <f>IF(P39="장비비", J39, 0)</f>
        <v>0</v>
      </c>
      <c r="X39">
        <f>IF(P39="폐기물처리비", L39, 0)</f>
        <v>0</v>
      </c>
      <c r="Y39">
        <f>IF(P39="가설비", J39, 0)</f>
        <v>0</v>
      </c>
      <c r="Z39">
        <f>IF(P39="잡비제외분", F39, 0)</f>
        <v>0</v>
      </c>
      <c r="AA39">
        <f>IF(P39="사급자재대", L39, 0)</f>
        <v>0</v>
      </c>
      <c r="AB39">
        <f>IF(P39="관급자재대", L39, 0)</f>
        <v>0</v>
      </c>
      <c r="AC39">
        <f>IF(P39="사용자항목1", L39, 0)</f>
        <v>0</v>
      </c>
      <c r="AD39">
        <f>IF(P39="사용자항목2", L39, 0)</f>
        <v>0</v>
      </c>
      <c r="AE39">
        <f>IF(P39="안전관리비", L39, 0)</f>
        <v>0</v>
      </c>
      <c r="AF39">
        <f>IF(P39="품질관리비", L39, 0)</f>
        <v>0</v>
      </c>
      <c r="AG39">
        <f>IF(P39="작업부산물(철거해체)", L39, 0)</f>
        <v>0</v>
      </c>
      <c r="AH39">
        <f>IF(P39="재해예방기술지도비", L39, 0)</f>
        <v>0</v>
      </c>
      <c r="AI39">
        <f>IF(P39="사용자항목7", L39, 0)</f>
        <v>0</v>
      </c>
      <c r="AJ39">
        <f>IF(P39="석면분담금", L39, 0)</f>
        <v>0</v>
      </c>
      <c r="AK39">
        <f>IF(P39="임금채권분담금", L39, 0)</f>
        <v>0</v>
      </c>
      <c r="AL39">
        <f>IF(P39="사용자항목10", L39, 0)</f>
        <v>0</v>
      </c>
      <c r="AM39">
        <f>IF(P39="사용자항목11", L39, 0)</f>
        <v>0</v>
      </c>
      <c r="AN39">
        <f>IF(P39="사용자항목12", L39, 0)</f>
        <v>0</v>
      </c>
      <c r="AO39">
        <f>IF(P39="사용자항목13", L39, 0)</f>
        <v>0</v>
      </c>
      <c r="AP39">
        <f>IF(P39="사용자항목14", L39, 0)</f>
        <v>0</v>
      </c>
      <c r="AQ39">
        <f>IF(P39="사용자항목15", L39, 0)</f>
        <v>0</v>
      </c>
      <c r="AR39">
        <f>IF(P39="사용자항목16", L39, 0)</f>
        <v>0</v>
      </c>
      <c r="AS39">
        <f>IF(P39="사용자항목17", L39, 0)</f>
        <v>0</v>
      </c>
      <c r="AT39">
        <f>IF(P39="사용자항목18", L39, 0)</f>
        <v>0</v>
      </c>
      <c r="AU39">
        <f>IF(P39="사용자항목19", L39, 0)</f>
        <v>0</v>
      </c>
    </row>
    <row r="40" spans="1:51" ht="22.9" customHeight="1" x14ac:dyDescent="0.3">
      <c r="A40" s="14" t="s">
        <v>167</v>
      </c>
      <c r="B40" s="14" t="s">
        <v>168</v>
      </c>
      <c r="C40" s="16" t="s">
        <v>169</v>
      </c>
      <c r="D40" s="17">
        <v>3.2</v>
      </c>
      <c r="E40" s="17">
        <f>단가산출서목록!G5</f>
        <v>492</v>
      </c>
      <c r="F40" s="17">
        <f>ROUNDDOWN(D40*E40, 0)</f>
        <v>1574</v>
      </c>
      <c r="G40" s="17">
        <f>단가산출서목록!I5</f>
        <v>2900</v>
      </c>
      <c r="H40" s="17">
        <f>ROUNDDOWN(D40*G40, 0)</f>
        <v>9280</v>
      </c>
      <c r="I40" s="17">
        <f>단가산출서목록!K5</f>
        <v>681</v>
      </c>
      <c r="J40" s="17">
        <f>ROUNDDOWN(D40*I40, 0)</f>
        <v>2179</v>
      </c>
      <c r="K40" s="17">
        <f t="shared" si="3"/>
        <v>4073</v>
      </c>
      <c r="L40" s="17">
        <f t="shared" si="3"/>
        <v>13033</v>
      </c>
      <c r="M40" s="25" t="s">
        <v>166</v>
      </c>
      <c r="O40" t="str">
        <f>""</f>
        <v/>
      </c>
      <c r="P40" s="1" t="s">
        <v>107</v>
      </c>
      <c r="Q40">
        <v>1</v>
      </c>
      <c r="R40">
        <f>IF(P40="기계경비", J40, 0)</f>
        <v>2179</v>
      </c>
      <c r="S40">
        <f>IF(P40="운반비", L40, 0)</f>
        <v>0</v>
      </c>
      <c r="T40">
        <f>IF(P40="작업부산물", F40, 0)</f>
        <v>0</v>
      </c>
      <c r="U40">
        <f>IF(P40="관급", F40, 0)</f>
        <v>0</v>
      </c>
      <c r="V40">
        <f>IF(P40="외주비", J40, 0)</f>
        <v>0</v>
      </c>
      <c r="W40">
        <f>IF(P40="장비비", J40, 0)</f>
        <v>0</v>
      </c>
      <c r="X40">
        <f>IF(P40="폐기물처리비", L40, 0)</f>
        <v>0</v>
      </c>
      <c r="Y40">
        <f>IF(P40="가설비", J40, 0)</f>
        <v>0</v>
      </c>
      <c r="Z40">
        <f>IF(P40="잡비제외분", F40, 0)</f>
        <v>0</v>
      </c>
      <c r="AA40">
        <f>IF(P40="사급자재대", L40, 0)</f>
        <v>0</v>
      </c>
      <c r="AB40">
        <f>IF(P40="관급자재대", L40, 0)</f>
        <v>0</v>
      </c>
      <c r="AC40">
        <f>IF(P40="사용자항목1", L40, 0)</f>
        <v>0</v>
      </c>
      <c r="AD40">
        <f>IF(P40="사용자항목2", L40, 0)</f>
        <v>0</v>
      </c>
      <c r="AE40">
        <f>IF(P40="안전관리비", L40, 0)</f>
        <v>0</v>
      </c>
      <c r="AF40">
        <f>IF(P40="품질관리비", L40, 0)</f>
        <v>0</v>
      </c>
      <c r="AG40">
        <f>IF(P40="작업부산물(철거해체)", L40, 0)</f>
        <v>0</v>
      </c>
      <c r="AH40">
        <f>IF(P40="재해예방기술지도비", L40, 0)</f>
        <v>0</v>
      </c>
      <c r="AI40">
        <f>IF(P40="사용자항목7", L40, 0)</f>
        <v>0</v>
      </c>
      <c r="AJ40">
        <f>IF(P40="석면분담금", L40, 0)</f>
        <v>0</v>
      </c>
      <c r="AK40">
        <f>IF(P40="임금채권분담금", L40, 0)</f>
        <v>0</v>
      </c>
      <c r="AL40">
        <f>IF(P40="사용자항목10", L40, 0)</f>
        <v>0</v>
      </c>
      <c r="AM40">
        <f>IF(P40="사용자항목11", L40, 0)</f>
        <v>0</v>
      </c>
      <c r="AN40">
        <f>IF(P40="사용자항목12", L40, 0)</f>
        <v>0</v>
      </c>
      <c r="AO40">
        <f>IF(P40="사용자항목13", L40, 0)</f>
        <v>0</v>
      </c>
      <c r="AP40">
        <f>IF(P40="사용자항목14", L40, 0)</f>
        <v>0</v>
      </c>
      <c r="AQ40">
        <f>IF(P40="사용자항목15", L40, 0)</f>
        <v>0</v>
      </c>
      <c r="AR40">
        <f>IF(P40="사용자항목16", L40, 0)</f>
        <v>0</v>
      </c>
      <c r="AS40">
        <f>IF(P40="사용자항목17", L40, 0)</f>
        <v>0</v>
      </c>
      <c r="AT40">
        <f>IF(P40="사용자항목18", L40, 0)</f>
        <v>0</v>
      </c>
      <c r="AU40">
        <f>IF(P40="사용자항목19", L40, 0)</f>
        <v>0</v>
      </c>
    </row>
    <row r="41" spans="1:51" ht="22.9" customHeight="1" x14ac:dyDescent="0.3">
      <c r="A41" s="14" t="s">
        <v>171</v>
      </c>
      <c r="B41" s="14" t="s">
        <v>172</v>
      </c>
      <c r="C41" s="16" t="s">
        <v>169</v>
      </c>
      <c r="D41" s="17">
        <v>2.82</v>
      </c>
      <c r="E41" s="17">
        <f>단가산출서목록!G6</f>
        <v>635</v>
      </c>
      <c r="F41" s="17">
        <f>ROUNDDOWN(D41*E41, 0)</f>
        <v>1790</v>
      </c>
      <c r="G41" s="17">
        <f>단가산출서목록!I6</f>
        <v>6452</v>
      </c>
      <c r="H41" s="17">
        <f>ROUNDDOWN(D41*G41, 0)</f>
        <v>18194</v>
      </c>
      <c r="I41" s="17">
        <f>단가산출서목록!K6</f>
        <v>638</v>
      </c>
      <c r="J41" s="17">
        <f>ROUNDDOWN(D41*I41, 0)</f>
        <v>1799</v>
      </c>
      <c r="K41" s="17">
        <f t="shared" si="3"/>
        <v>7725</v>
      </c>
      <c r="L41" s="17">
        <f t="shared" si="3"/>
        <v>21783</v>
      </c>
      <c r="M41" s="25" t="s">
        <v>170</v>
      </c>
      <c r="O41" t="str">
        <f>""</f>
        <v/>
      </c>
      <c r="P41" s="1" t="s">
        <v>107</v>
      </c>
      <c r="Q41">
        <v>1</v>
      </c>
      <c r="R41">
        <f>IF(P41="기계경비", J41, 0)</f>
        <v>1799</v>
      </c>
      <c r="S41">
        <f>IF(P41="운반비", L41, 0)</f>
        <v>0</v>
      </c>
      <c r="T41">
        <f>IF(P41="작업부산물", F41, 0)</f>
        <v>0</v>
      </c>
      <c r="U41">
        <f>IF(P41="관급", F41, 0)</f>
        <v>0</v>
      </c>
      <c r="V41">
        <f>IF(P41="외주비", J41, 0)</f>
        <v>0</v>
      </c>
      <c r="W41">
        <f>IF(P41="장비비", J41, 0)</f>
        <v>0</v>
      </c>
      <c r="X41">
        <f>IF(P41="폐기물처리비", L41, 0)</f>
        <v>0</v>
      </c>
      <c r="Y41">
        <f>IF(P41="가설비", J41, 0)</f>
        <v>0</v>
      </c>
      <c r="Z41">
        <f>IF(P41="잡비제외분", F41, 0)</f>
        <v>0</v>
      </c>
      <c r="AA41">
        <f>IF(P41="사급자재대", L41, 0)</f>
        <v>0</v>
      </c>
      <c r="AB41">
        <f>IF(P41="관급자재대", L41, 0)</f>
        <v>0</v>
      </c>
      <c r="AC41">
        <f>IF(P41="사용자항목1", L41, 0)</f>
        <v>0</v>
      </c>
      <c r="AD41">
        <f>IF(P41="사용자항목2", L41, 0)</f>
        <v>0</v>
      </c>
      <c r="AE41">
        <f>IF(P41="안전관리비", L41, 0)</f>
        <v>0</v>
      </c>
      <c r="AF41">
        <f>IF(P41="품질관리비", L41, 0)</f>
        <v>0</v>
      </c>
      <c r="AG41">
        <f>IF(P41="작업부산물(철거해체)", L41, 0)</f>
        <v>0</v>
      </c>
      <c r="AH41">
        <f>IF(P41="재해예방기술지도비", L41, 0)</f>
        <v>0</v>
      </c>
      <c r="AI41">
        <f>IF(P41="사용자항목7", L41, 0)</f>
        <v>0</v>
      </c>
      <c r="AJ41">
        <f>IF(P41="석면분담금", L41, 0)</f>
        <v>0</v>
      </c>
      <c r="AK41">
        <f>IF(P41="임금채권분담금", L41, 0)</f>
        <v>0</v>
      </c>
      <c r="AL41">
        <f>IF(P41="사용자항목10", L41, 0)</f>
        <v>0</v>
      </c>
      <c r="AM41">
        <f>IF(P41="사용자항목11", L41, 0)</f>
        <v>0</v>
      </c>
      <c r="AN41">
        <f>IF(P41="사용자항목12", L41, 0)</f>
        <v>0</v>
      </c>
      <c r="AO41">
        <f>IF(P41="사용자항목13", L41, 0)</f>
        <v>0</v>
      </c>
      <c r="AP41">
        <f>IF(P41="사용자항목14", L41, 0)</f>
        <v>0</v>
      </c>
      <c r="AQ41">
        <f>IF(P41="사용자항목15", L41, 0)</f>
        <v>0</v>
      </c>
      <c r="AR41">
        <f>IF(P41="사용자항목16", L41, 0)</f>
        <v>0</v>
      </c>
      <c r="AS41">
        <f>IF(P41="사용자항목17", L41, 0)</f>
        <v>0</v>
      </c>
      <c r="AT41">
        <f>IF(P41="사용자항목18", L41, 0)</f>
        <v>0</v>
      </c>
      <c r="AU41">
        <f>IF(P41="사용자항목19", L41, 0)</f>
        <v>0</v>
      </c>
    </row>
    <row r="42" spans="1:51" ht="22.9" customHeight="1" x14ac:dyDescent="0.3">
      <c r="A42" s="15"/>
      <c r="B42" s="15"/>
      <c r="C42" s="22"/>
      <c r="D42" s="17"/>
      <c r="E42" s="17"/>
      <c r="F42" s="17"/>
      <c r="G42" s="17"/>
      <c r="H42" s="17"/>
      <c r="I42" s="17"/>
      <c r="J42" s="17"/>
      <c r="K42" s="17"/>
      <c r="L42" s="17"/>
      <c r="M42" s="17"/>
    </row>
    <row r="43" spans="1:51" ht="22.9" customHeight="1" x14ac:dyDescent="0.3">
      <c r="A43" s="15"/>
      <c r="B43" s="15"/>
      <c r="C43" s="22"/>
      <c r="D43" s="17"/>
      <c r="E43" s="17"/>
      <c r="F43" s="17"/>
      <c r="G43" s="17"/>
      <c r="H43" s="17"/>
      <c r="I43" s="17"/>
      <c r="J43" s="17"/>
      <c r="K43" s="17"/>
      <c r="L43" s="17"/>
      <c r="M43" s="17"/>
    </row>
    <row r="44" spans="1:51" ht="22.9" customHeight="1" x14ac:dyDescent="0.3">
      <c r="A44" s="15"/>
      <c r="B44" s="15"/>
      <c r="C44" s="22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51" ht="22.9" customHeight="1" x14ac:dyDescent="0.3">
      <c r="A45" s="15"/>
      <c r="B45" s="15"/>
      <c r="C45" s="22"/>
      <c r="D45" s="17"/>
      <c r="E45" s="17"/>
      <c r="F45" s="17"/>
      <c r="G45" s="17"/>
      <c r="H45" s="17"/>
      <c r="I45" s="17"/>
      <c r="J45" s="17"/>
      <c r="K45" s="17"/>
      <c r="L45" s="17"/>
      <c r="M45" s="17"/>
    </row>
    <row r="46" spans="1:51" ht="22.9" customHeight="1" x14ac:dyDescent="0.3">
      <c r="A46" s="15"/>
      <c r="B46" s="15"/>
      <c r="C46" s="22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51" ht="22.9" customHeight="1" x14ac:dyDescent="0.3">
      <c r="A47" s="15"/>
      <c r="B47" s="15"/>
      <c r="C47" s="22"/>
      <c r="D47" s="17"/>
      <c r="E47" s="17"/>
      <c r="F47" s="17"/>
      <c r="G47" s="17"/>
      <c r="H47" s="17"/>
      <c r="I47" s="17"/>
      <c r="J47" s="17"/>
      <c r="K47" s="17"/>
      <c r="L47" s="17"/>
      <c r="M47" s="17"/>
    </row>
    <row r="48" spans="1:51" ht="22.9" customHeight="1" x14ac:dyDescent="0.3">
      <c r="A48" s="15"/>
      <c r="B48" s="15"/>
      <c r="C48" s="22"/>
      <c r="D48" s="17"/>
      <c r="E48" s="17"/>
      <c r="F48" s="17"/>
      <c r="G48" s="17"/>
      <c r="H48" s="17"/>
      <c r="I48" s="17"/>
      <c r="J48" s="17"/>
      <c r="K48" s="17"/>
      <c r="L48" s="17"/>
      <c r="M48" s="17"/>
    </row>
    <row r="49" spans="1:51" ht="22.9" customHeight="1" x14ac:dyDescent="0.3">
      <c r="A49" s="15"/>
      <c r="B49" s="15"/>
      <c r="C49" s="22"/>
      <c r="D49" s="17"/>
      <c r="E49" s="17"/>
      <c r="F49" s="17"/>
      <c r="G49" s="17"/>
      <c r="H49" s="17"/>
      <c r="I49" s="17"/>
      <c r="J49" s="17"/>
      <c r="K49" s="17"/>
      <c r="L49" s="17"/>
      <c r="M49" s="17"/>
    </row>
    <row r="50" spans="1:51" ht="22.9" customHeight="1" x14ac:dyDescent="0.3">
      <c r="A50" s="15"/>
      <c r="B50" s="15"/>
      <c r="C50" s="22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1:51" ht="22.9" customHeight="1" x14ac:dyDescent="0.3">
      <c r="A51" s="15"/>
      <c r="B51" s="15"/>
      <c r="C51" s="22"/>
      <c r="D51" s="17"/>
      <c r="E51" s="17"/>
      <c r="F51" s="17"/>
      <c r="G51" s="17"/>
      <c r="H51" s="17"/>
      <c r="I51" s="17"/>
      <c r="J51" s="17"/>
      <c r="K51" s="17"/>
      <c r="L51" s="17"/>
      <c r="M51" s="17"/>
    </row>
    <row r="52" spans="1:51" ht="22.9" customHeight="1" x14ac:dyDescent="0.3">
      <c r="A52" s="18" t="s">
        <v>119</v>
      </c>
      <c r="B52" s="19"/>
      <c r="C52" s="20"/>
      <c r="D52" s="21"/>
      <c r="E52" s="21"/>
      <c r="F52" s="21">
        <f>ROUNDDOWN(SUMIF(Q38:Q51, "1", F38:F51), 0)</f>
        <v>352472</v>
      </c>
      <c r="G52" s="21"/>
      <c r="H52" s="21">
        <f>ROUNDDOWN(SUMIF(Q38:Q51, "1", H38:H51), 0)</f>
        <v>172549</v>
      </c>
      <c r="I52" s="21"/>
      <c r="J52" s="21">
        <f>ROUNDDOWN(SUMIF(Q38:Q51, "1", J38:J51), 0)</f>
        <v>12883</v>
      </c>
      <c r="K52" s="21"/>
      <c r="L52" s="21">
        <f>F52+H52+J52</f>
        <v>537904</v>
      </c>
      <c r="M52" s="21"/>
      <c r="R52">
        <f t="shared" ref="R52:AY52" si="4">ROUNDDOWN(SUM(R38:R41), 0)</f>
        <v>12883</v>
      </c>
      <c r="S52">
        <f t="shared" si="4"/>
        <v>0</v>
      </c>
      <c r="T52">
        <f t="shared" si="4"/>
        <v>0</v>
      </c>
      <c r="U52">
        <f t="shared" si="4"/>
        <v>0</v>
      </c>
      <c r="V52">
        <f t="shared" si="4"/>
        <v>0</v>
      </c>
      <c r="W52">
        <f t="shared" si="4"/>
        <v>0</v>
      </c>
      <c r="X52">
        <f t="shared" si="4"/>
        <v>0</v>
      </c>
      <c r="Y52">
        <f t="shared" si="4"/>
        <v>0</v>
      </c>
      <c r="Z52">
        <f t="shared" si="4"/>
        <v>0</v>
      </c>
      <c r="AA52">
        <f t="shared" si="4"/>
        <v>0</v>
      </c>
      <c r="AB52">
        <f t="shared" si="4"/>
        <v>0</v>
      </c>
      <c r="AC52">
        <f t="shared" si="4"/>
        <v>0</v>
      </c>
      <c r="AD52">
        <f t="shared" si="4"/>
        <v>0</v>
      </c>
      <c r="AE52">
        <f t="shared" si="4"/>
        <v>0</v>
      </c>
      <c r="AF52">
        <f t="shared" si="4"/>
        <v>0</v>
      </c>
      <c r="AG52">
        <f t="shared" si="4"/>
        <v>0</v>
      </c>
      <c r="AH52">
        <f t="shared" si="4"/>
        <v>0</v>
      </c>
      <c r="AI52">
        <f t="shared" si="4"/>
        <v>0</v>
      </c>
      <c r="AJ52">
        <f t="shared" si="4"/>
        <v>0</v>
      </c>
      <c r="AK52">
        <f t="shared" si="4"/>
        <v>0</v>
      </c>
      <c r="AL52">
        <f t="shared" si="4"/>
        <v>0</v>
      </c>
      <c r="AM52">
        <f t="shared" si="4"/>
        <v>0</v>
      </c>
      <c r="AN52">
        <f t="shared" si="4"/>
        <v>0</v>
      </c>
      <c r="AO52">
        <f t="shared" si="4"/>
        <v>0</v>
      </c>
      <c r="AP52">
        <f t="shared" si="4"/>
        <v>0</v>
      </c>
      <c r="AQ52">
        <f t="shared" si="4"/>
        <v>0</v>
      </c>
      <c r="AR52">
        <f t="shared" si="4"/>
        <v>0</v>
      </c>
      <c r="AS52">
        <f t="shared" si="4"/>
        <v>0</v>
      </c>
      <c r="AT52">
        <f t="shared" si="4"/>
        <v>0</v>
      </c>
      <c r="AU52">
        <f t="shared" si="4"/>
        <v>0</v>
      </c>
      <c r="AV52">
        <f t="shared" si="4"/>
        <v>0</v>
      </c>
      <c r="AW52">
        <f t="shared" si="4"/>
        <v>0</v>
      </c>
      <c r="AX52">
        <f t="shared" si="4"/>
        <v>0</v>
      </c>
      <c r="AY52">
        <f t="shared" si="4"/>
        <v>0</v>
      </c>
    </row>
  </sheetData>
  <mergeCells count="14">
    <mergeCell ref="K3:L3"/>
    <mergeCell ref="A5:M5"/>
    <mergeCell ref="A21:M21"/>
    <mergeCell ref="A37:M37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conditionalFormatting sqref="A5 A6:M52">
    <cfRule type="containsText" dxfId="27" priority="1" stopIfTrue="1" operator="containsText" text=".">
      <formula>NOT(ISERROR(SEARCH(".",A5)))</formula>
    </cfRule>
    <cfRule type="notContainsText" dxfId="26" priority="2" stopIfTrue="1" operator="notContains" text=".">
      <formula>ISERROR(SEARCH(".",A5))</formula>
    </cfRule>
  </conditionalFormatting>
  <pageMargins left="0.74803149606299213" right="0" top="0.55118110236220474" bottom="0.15748031496062992" header="0.31496062992125984" footer="0.15748031496062992"/>
  <pageSetup paperSize="9" scale="95" orientation="landscape" r:id="rId1"/>
  <rowBreaks count="3" manualBreakCount="3">
    <brk id="20" max="16383" man="1"/>
    <brk id="36" max="16383" man="1"/>
    <brk id="5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F5F18-65FB-47C8-A790-2189F949087F}">
  <sheetPr>
    <tabColor rgb="FFF19D86"/>
  </sheetPr>
  <dimension ref="A1:O20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N1"/>
    </sheetView>
  </sheetViews>
  <sheetFormatPr defaultRowHeight="16.5" x14ac:dyDescent="0.3"/>
  <cols>
    <col min="1" max="1" width="6.75" style="3" customWidth="1"/>
    <col min="2" max="3" width="20.75" style="2" customWidth="1"/>
    <col min="4" max="4" width="4.75" style="3" customWidth="1"/>
    <col min="5" max="5" width="6.75" style="3" customWidth="1"/>
    <col min="6" max="6" width="6.75" style="4" customWidth="1"/>
    <col min="7" max="7" width="7.75" style="4" customWidth="1"/>
    <col min="8" max="8" width="6.75" style="4" customWidth="1"/>
    <col min="9" max="9" width="7.75" style="4" customWidth="1"/>
    <col min="10" max="10" width="6.75" style="4" customWidth="1"/>
    <col min="11" max="11" width="7.75" style="4" customWidth="1"/>
    <col min="12" max="12" width="6.75" style="4" customWidth="1"/>
    <col min="13" max="13" width="7.75" style="4" customWidth="1"/>
    <col min="14" max="14" width="6.75" style="2" customWidth="1"/>
    <col min="15" max="18" width="0" hidden="1" customWidth="1"/>
  </cols>
  <sheetData>
    <row r="1" spans="1:15" ht="30" customHeight="1" x14ac:dyDescent="0.3">
      <c r="A1" s="44" t="s">
        <v>189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5" ht="22.9" customHeight="1" x14ac:dyDescent="0.3">
      <c r="A2" s="45" t="s">
        <v>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5" ht="22.9" customHeight="1" x14ac:dyDescent="0.3">
      <c r="A3" s="53" t="s">
        <v>125</v>
      </c>
      <c r="B3" s="53" t="s">
        <v>174</v>
      </c>
      <c r="C3" s="53" t="s">
        <v>175</v>
      </c>
      <c r="D3" s="53" t="s">
        <v>6</v>
      </c>
      <c r="E3" s="53" t="s">
        <v>126</v>
      </c>
      <c r="F3" s="53" t="s">
        <v>127</v>
      </c>
      <c r="G3" s="53"/>
      <c r="H3" s="53" t="s">
        <v>128</v>
      </c>
      <c r="I3" s="53"/>
      <c r="J3" s="53" t="s">
        <v>129</v>
      </c>
      <c r="K3" s="53"/>
      <c r="L3" s="53" t="s">
        <v>130</v>
      </c>
      <c r="M3" s="53"/>
      <c r="N3" s="53" t="s">
        <v>93</v>
      </c>
    </row>
    <row r="4" spans="1:15" ht="22.9" customHeight="1" x14ac:dyDescent="0.3">
      <c r="A4" s="53"/>
      <c r="B4" s="53"/>
      <c r="C4" s="53"/>
      <c r="D4" s="53"/>
      <c r="E4" s="53"/>
      <c r="F4" s="12" t="s">
        <v>94</v>
      </c>
      <c r="G4" s="12" t="s">
        <v>190</v>
      </c>
      <c r="H4" s="12" t="s">
        <v>94</v>
      </c>
      <c r="I4" s="12" t="s">
        <v>190</v>
      </c>
      <c r="J4" s="12" t="s">
        <v>94</v>
      </c>
      <c r="K4" s="12" t="s">
        <v>190</v>
      </c>
      <c r="L4" s="12" t="s">
        <v>94</v>
      </c>
      <c r="M4" s="12" t="s">
        <v>190</v>
      </c>
      <c r="N4" s="53"/>
      <c r="O4" t="s">
        <v>18</v>
      </c>
    </row>
    <row r="5" spans="1:15" ht="22.9" customHeight="1" x14ac:dyDescent="0.3">
      <c r="A5" s="16" t="s">
        <v>191</v>
      </c>
      <c r="B5" s="14" t="s">
        <v>192</v>
      </c>
      <c r="C5" s="14" t="s">
        <v>193</v>
      </c>
      <c r="D5" s="16" t="s">
        <v>194</v>
      </c>
      <c r="E5" s="22">
        <v>1</v>
      </c>
      <c r="F5" s="17">
        <f>일위대가표!F13</f>
        <v>432080</v>
      </c>
      <c r="G5" s="17">
        <f>E5*F5</f>
        <v>432080</v>
      </c>
      <c r="H5" s="17">
        <f>일위대가표!H13</f>
        <v>161482</v>
      </c>
      <c r="I5" s="17">
        <f>E5*H5</f>
        <v>161482</v>
      </c>
      <c r="J5" s="17">
        <f>일위대가표!J13</f>
        <v>4844</v>
      </c>
      <c r="K5" s="17">
        <f>E5*J5</f>
        <v>4844</v>
      </c>
      <c r="L5" s="17">
        <f t="shared" ref="L5:M7" si="0">F5+H5+J5</f>
        <v>598406</v>
      </c>
      <c r="M5" s="17">
        <f t="shared" si="0"/>
        <v>598406</v>
      </c>
      <c r="N5" s="14" t="s">
        <v>181</v>
      </c>
      <c r="O5" s="1" t="s">
        <v>195</v>
      </c>
    </row>
    <row r="6" spans="1:15" ht="22.9" customHeight="1" x14ac:dyDescent="0.3">
      <c r="A6" s="16" t="s">
        <v>196</v>
      </c>
      <c r="B6" s="14" t="s">
        <v>197</v>
      </c>
      <c r="C6" s="14" t="s">
        <v>198</v>
      </c>
      <c r="D6" s="16" t="s">
        <v>194</v>
      </c>
      <c r="E6" s="22">
        <v>1</v>
      </c>
      <c r="F6" s="17">
        <f>일위대가표!F22</f>
        <v>212373</v>
      </c>
      <c r="G6" s="17">
        <f>E6*F6</f>
        <v>212373</v>
      </c>
      <c r="H6" s="17">
        <f>일위대가표!H22</f>
        <v>76485</v>
      </c>
      <c r="I6" s="17">
        <f>E6*H6</f>
        <v>76485</v>
      </c>
      <c r="J6" s="17">
        <f>일위대가표!J22</f>
        <v>8905</v>
      </c>
      <c r="K6" s="17">
        <f>E6*J6</f>
        <v>8905</v>
      </c>
      <c r="L6" s="17">
        <f t="shared" si="0"/>
        <v>297763</v>
      </c>
      <c r="M6" s="17">
        <f t="shared" si="0"/>
        <v>297763</v>
      </c>
      <c r="N6" s="15"/>
      <c r="O6" s="1" t="s">
        <v>195</v>
      </c>
    </row>
    <row r="7" spans="1:15" ht="22.9" customHeight="1" x14ac:dyDescent="0.3">
      <c r="A7" s="16" t="s">
        <v>199</v>
      </c>
      <c r="B7" s="14" t="s">
        <v>200</v>
      </c>
      <c r="C7" s="14" t="s">
        <v>201</v>
      </c>
      <c r="D7" s="16" t="s">
        <v>202</v>
      </c>
      <c r="E7" s="22">
        <v>1</v>
      </c>
      <c r="F7" s="17">
        <f>일위대가표!F28</f>
        <v>27347</v>
      </c>
      <c r="G7" s="17">
        <f>E7*F7</f>
        <v>27347</v>
      </c>
      <c r="H7" s="17">
        <f>일위대가표!H28</f>
        <v>13718</v>
      </c>
      <c r="I7" s="17">
        <f>E7*H7</f>
        <v>13718</v>
      </c>
      <c r="J7" s="17">
        <f>일위대가표!J28</f>
        <v>0</v>
      </c>
      <c r="K7" s="17">
        <f>E7*J7</f>
        <v>0</v>
      </c>
      <c r="L7" s="17">
        <f t="shared" si="0"/>
        <v>41065</v>
      </c>
      <c r="M7" s="17">
        <f t="shared" si="0"/>
        <v>41065</v>
      </c>
      <c r="N7" s="15"/>
    </row>
    <row r="8" spans="1:15" ht="22.9" customHeight="1" x14ac:dyDescent="0.3">
      <c r="A8" s="22"/>
      <c r="B8" s="15"/>
      <c r="C8" s="15"/>
      <c r="D8" s="22"/>
      <c r="E8" s="22"/>
      <c r="F8" s="17"/>
      <c r="G8" s="17"/>
      <c r="H8" s="17"/>
      <c r="I8" s="17"/>
      <c r="J8" s="17"/>
      <c r="K8" s="17"/>
      <c r="L8" s="17"/>
      <c r="M8" s="17"/>
      <c r="N8" s="15"/>
    </row>
    <row r="9" spans="1:15" ht="22.9" customHeight="1" x14ac:dyDescent="0.3">
      <c r="A9" s="22"/>
      <c r="B9" s="15"/>
      <c r="C9" s="15"/>
      <c r="D9" s="22"/>
      <c r="E9" s="22"/>
      <c r="F9" s="17"/>
      <c r="G9" s="17"/>
      <c r="H9" s="17"/>
      <c r="I9" s="17"/>
      <c r="J9" s="17"/>
      <c r="K9" s="17"/>
      <c r="L9" s="17"/>
      <c r="M9" s="17"/>
      <c r="N9" s="15"/>
    </row>
    <row r="10" spans="1:15" ht="22.9" customHeight="1" x14ac:dyDescent="0.3">
      <c r="A10" s="22"/>
      <c r="B10" s="15"/>
      <c r="C10" s="15"/>
      <c r="D10" s="22"/>
      <c r="E10" s="22"/>
      <c r="F10" s="17"/>
      <c r="G10" s="17"/>
      <c r="H10" s="17"/>
      <c r="I10" s="17"/>
      <c r="J10" s="17"/>
      <c r="K10" s="17"/>
      <c r="L10" s="17"/>
      <c r="M10" s="17"/>
      <c r="N10" s="15"/>
    </row>
    <row r="11" spans="1:15" ht="22.9" customHeight="1" x14ac:dyDescent="0.3">
      <c r="A11" s="22"/>
      <c r="B11" s="15"/>
      <c r="C11" s="15"/>
      <c r="D11" s="22"/>
      <c r="E11" s="22"/>
      <c r="F11" s="17"/>
      <c r="G11" s="17"/>
      <c r="H11" s="17"/>
      <c r="I11" s="17"/>
      <c r="J11" s="17"/>
      <c r="K11" s="17"/>
      <c r="L11" s="17"/>
      <c r="M11" s="17"/>
      <c r="N11" s="15"/>
    </row>
    <row r="12" spans="1:15" ht="22.9" customHeight="1" x14ac:dyDescent="0.3">
      <c r="A12" s="22"/>
      <c r="B12" s="15"/>
      <c r="C12" s="15"/>
      <c r="D12" s="22"/>
      <c r="E12" s="22"/>
      <c r="F12" s="17"/>
      <c r="G12" s="17"/>
      <c r="H12" s="17"/>
      <c r="I12" s="17"/>
      <c r="J12" s="17"/>
      <c r="K12" s="17"/>
      <c r="L12" s="17"/>
      <c r="M12" s="17"/>
      <c r="N12" s="15"/>
    </row>
    <row r="13" spans="1:15" ht="22.9" customHeight="1" x14ac:dyDescent="0.3">
      <c r="A13" s="22"/>
      <c r="B13" s="15"/>
      <c r="C13" s="15"/>
      <c r="D13" s="22"/>
      <c r="E13" s="22"/>
      <c r="F13" s="17"/>
      <c r="G13" s="17"/>
      <c r="H13" s="17"/>
      <c r="I13" s="17"/>
      <c r="J13" s="17"/>
      <c r="K13" s="17"/>
      <c r="L13" s="17"/>
      <c r="M13" s="17"/>
      <c r="N13" s="15"/>
    </row>
    <row r="14" spans="1:15" ht="22.9" customHeight="1" x14ac:dyDescent="0.3">
      <c r="A14" s="22"/>
      <c r="B14" s="15"/>
      <c r="C14" s="15"/>
      <c r="D14" s="22"/>
      <c r="E14" s="22"/>
      <c r="F14" s="17"/>
      <c r="G14" s="17"/>
      <c r="H14" s="17"/>
      <c r="I14" s="17"/>
      <c r="J14" s="17"/>
      <c r="K14" s="17"/>
      <c r="L14" s="17"/>
      <c r="M14" s="17"/>
      <c r="N14" s="15"/>
    </row>
    <row r="15" spans="1:15" ht="22.9" customHeight="1" x14ac:dyDescent="0.3">
      <c r="A15" s="22"/>
      <c r="B15" s="15"/>
      <c r="C15" s="15"/>
      <c r="D15" s="22"/>
      <c r="E15" s="22"/>
      <c r="F15" s="17"/>
      <c r="G15" s="17"/>
      <c r="H15" s="17"/>
      <c r="I15" s="17"/>
      <c r="J15" s="17"/>
      <c r="K15" s="17"/>
      <c r="L15" s="17"/>
      <c r="M15" s="17"/>
      <c r="N15" s="15"/>
    </row>
    <row r="16" spans="1:15" ht="22.9" customHeight="1" x14ac:dyDescent="0.3">
      <c r="A16" s="22"/>
      <c r="B16" s="15"/>
      <c r="C16" s="15"/>
      <c r="D16" s="22"/>
      <c r="E16" s="22"/>
      <c r="F16" s="17"/>
      <c r="G16" s="17"/>
      <c r="H16" s="17"/>
      <c r="I16" s="17"/>
      <c r="J16" s="17"/>
      <c r="K16" s="17"/>
      <c r="L16" s="17"/>
      <c r="M16" s="17"/>
      <c r="N16" s="15"/>
    </row>
    <row r="17" spans="1:14" ht="22.9" customHeight="1" x14ac:dyDescent="0.3">
      <c r="A17" s="22"/>
      <c r="B17" s="15"/>
      <c r="C17" s="15"/>
      <c r="D17" s="22"/>
      <c r="E17" s="22"/>
      <c r="F17" s="17"/>
      <c r="G17" s="17"/>
      <c r="H17" s="17"/>
      <c r="I17" s="17"/>
      <c r="J17" s="17"/>
      <c r="K17" s="17"/>
      <c r="L17" s="17"/>
      <c r="M17" s="17"/>
      <c r="N17" s="15"/>
    </row>
    <row r="18" spans="1:14" ht="22.9" customHeight="1" x14ac:dyDescent="0.3">
      <c r="A18" s="22"/>
      <c r="B18" s="15"/>
      <c r="C18" s="15"/>
      <c r="D18" s="22"/>
      <c r="E18" s="22"/>
      <c r="F18" s="17"/>
      <c r="G18" s="17"/>
      <c r="H18" s="17"/>
      <c r="I18" s="17"/>
      <c r="J18" s="17"/>
      <c r="K18" s="17"/>
      <c r="L18" s="17"/>
      <c r="M18" s="17"/>
      <c r="N18" s="15"/>
    </row>
    <row r="19" spans="1:14" ht="22.9" customHeight="1" x14ac:dyDescent="0.3">
      <c r="A19" s="22"/>
      <c r="B19" s="15"/>
      <c r="C19" s="15"/>
      <c r="D19" s="22"/>
      <c r="E19" s="22"/>
      <c r="F19" s="17"/>
      <c r="G19" s="17"/>
      <c r="H19" s="17"/>
      <c r="I19" s="17"/>
      <c r="J19" s="17"/>
      <c r="K19" s="17"/>
      <c r="L19" s="17"/>
      <c r="M19" s="17"/>
      <c r="N19" s="15"/>
    </row>
    <row r="20" spans="1:14" ht="22.9" customHeight="1" x14ac:dyDescent="0.3">
      <c r="A20" s="22"/>
      <c r="B20" s="15"/>
      <c r="C20" s="15"/>
      <c r="D20" s="22"/>
      <c r="E20" s="22"/>
      <c r="F20" s="17"/>
      <c r="G20" s="17"/>
      <c r="H20" s="17"/>
      <c r="I20" s="17"/>
      <c r="J20" s="17"/>
      <c r="K20" s="17"/>
      <c r="L20" s="17"/>
      <c r="M20" s="17"/>
      <c r="N20" s="15"/>
    </row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1" type="noConversion"/>
  <conditionalFormatting sqref="A5:N20">
    <cfRule type="containsText" dxfId="25" priority="1" stopIfTrue="1" operator="containsText" text=".">
      <formula>NOT(ISERROR(SEARCH(".",A5)))</formula>
    </cfRule>
    <cfRule type="notContainsText" dxfId="24" priority="2" stopIfTrue="1" operator="notContains" text=".">
      <formula>ISERROR(SEARCH(".",A5))</formula>
    </cfRule>
  </conditionalFormatting>
  <pageMargins left="0.74555149110298213" right="0" top="0.54870109740219475" bottom="0.1388888888888889" header="0.3" footer="0.1388888888888889"/>
  <pageSetup paperSize="9" orientation="landscape" r:id="rId1"/>
  <rowBreaks count="1" manualBreakCount="1">
    <brk id="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2849-4CCD-4C17-8830-62AB0DC6CBC6}">
  <sheetPr>
    <tabColor rgb="FFFFFFB7"/>
  </sheetPr>
  <dimension ref="A1:T36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M1"/>
    </sheetView>
  </sheetViews>
  <sheetFormatPr defaultRowHeight="16.5" x14ac:dyDescent="0.3"/>
  <cols>
    <col min="1" max="2" width="20.75" style="2" customWidth="1"/>
    <col min="3" max="3" width="4.75" style="3" customWidth="1"/>
    <col min="4" max="5" width="6.75" style="4" customWidth="1"/>
    <col min="6" max="6" width="9.75" style="4" customWidth="1"/>
    <col min="7" max="7" width="6.75" style="4" customWidth="1"/>
    <col min="8" max="8" width="9.75" style="4" customWidth="1"/>
    <col min="9" max="9" width="6.75" style="4" customWidth="1"/>
    <col min="10" max="10" width="9.75" style="4" customWidth="1"/>
    <col min="11" max="11" width="6.75" style="4" customWidth="1"/>
    <col min="12" max="12" width="9.75" style="4" customWidth="1"/>
    <col min="13" max="13" width="8.75" style="2" customWidth="1"/>
    <col min="14" max="20" width="0" hidden="1" customWidth="1"/>
  </cols>
  <sheetData>
    <row r="1" spans="1:20" ht="30" customHeight="1" x14ac:dyDescent="0.3">
      <c r="A1" s="44" t="s">
        <v>173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20" ht="22.9" customHeight="1" x14ac:dyDescent="0.3">
      <c r="A2" s="45" t="s">
        <v>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0" ht="22.9" customHeight="1" x14ac:dyDescent="0.3">
      <c r="A3" s="53" t="s">
        <v>174</v>
      </c>
      <c r="B3" s="53" t="s">
        <v>175</v>
      </c>
      <c r="C3" s="53" t="s">
        <v>6</v>
      </c>
      <c r="D3" s="53" t="s">
        <v>88</v>
      </c>
      <c r="E3" s="53" t="s">
        <v>176</v>
      </c>
      <c r="F3" s="53"/>
      <c r="G3" s="53" t="s">
        <v>177</v>
      </c>
      <c r="H3" s="53"/>
      <c r="I3" s="53" t="s">
        <v>178</v>
      </c>
      <c r="J3" s="53"/>
      <c r="K3" s="53" t="s">
        <v>179</v>
      </c>
      <c r="L3" s="53"/>
      <c r="M3" s="53" t="s">
        <v>93</v>
      </c>
    </row>
    <row r="4" spans="1:20" ht="22.9" customHeight="1" x14ac:dyDescent="0.3">
      <c r="A4" s="53"/>
      <c r="B4" s="53"/>
      <c r="C4" s="53"/>
      <c r="D4" s="53"/>
      <c r="E4" s="12" t="s">
        <v>94</v>
      </c>
      <c r="F4" s="12" t="s">
        <v>95</v>
      </c>
      <c r="G4" s="12" t="s">
        <v>94</v>
      </c>
      <c r="H4" s="12" t="s">
        <v>95</v>
      </c>
      <c r="I4" s="12" t="s">
        <v>94</v>
      </c>
      <c r="J4" s="12" t="s">
        <v>95</v>
      </c>
      <c r="K4" s="12" t="s">
        <v>94</v>
      </c>
      <c r="L4" s="12" t="s">
        <v>95</v>
      </c>
      <c r="M4" s="53"/>
      <c r="N4" t="s">
        <v>96</v>
      </c>
      <c r="O4" t="s">
        <v>97</v>
      </c>
      <c r="P4" t="s">
        <v>98</v>
      </c>
      <c r="Q4" t="s">
        <v>99</v>
      </c>
      <c r="R4" t="s">
        <v>100</v>
      </c>
      <c r="S4" t="s">
        <v>101</v>
      </c>
      <c r="T4" t="s">
        <v>18</v>
      </c>
    </row>
    <row r="5" spans="1:20" ht="22.9" customHeight="1" x14ac:dyDescent="0.3">
      <c r="A5" s="63" t="s">
        <v>180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5"/>
      <c r="M5" s="13" t="s">
        <v>181</v>
      </c>
    </row>
    <row r="6" spans="1:20" ht="22.9" customHeight="1" x14ac:dyDescent="0.3">
      <c r="A6" s="14" t="s">
        <v>28</v>
      </c>
      <c r="B6" s="14" t="s">
        <v>29</v>
      </c>
      <c r="C6" s="16" t="s">
        <v>30</v>
      </c>
      <c r="D6" s="17">
        <v>2.1</v>
      </c>
      <c r="E6" s="17">
        <f>단가대비표!O7</f>
        <v>169800</v>
      </c>
      <c r="F6" s="17">
        <f>ROUNDDOWN(D6*E6, 1)</f>
        <v>356580</v>
      </c>
      <c r="G6" s="17">
        <v>0</v>
      </c>
      <c r="H6" s="17">
        <f>ROUNDDOWN(D6*G6, 1)</f>
        <v>0</v>
      </c>
      <c r="I6" s="17">
        <v>0</v>
      </c>
      <c r="J6" s="17">
        <f>ROUNDDOWN(D6*I6, 1)</f>
        <v>0</v>
      </c>
      <c r="K6" s="17">
        <f t="shared" ref="K6:L12" si="0">E6+G6+I6</f>
        <v>169800</v>
      </c>
      <c r="L6" s="17">
        <f t="shared" si="0"/>
        <v>356580</v>
      </c>
      <c r="M6" s="14" t="s">
        <v>31</v>
      </c>
      <c r="O6" s="1" t="s">
        <v>110</v>
      </c>
      <c r="P6" s="1" t="s">
        <v>107</v>
      </c>
      <c r="Q6">
        <v>1</v>
      </c>
    </row>
    <row r="7" spans="1:20" ht="22.9" customHeight="1" x14ac:dyDescent="0.3">
      <c r="A7" s="14" t="s">
        <v>72</v>
      </c>
      <c r="B7" s="14" t="s">
        <v>65</v>
      </c>
      <c r="C7" s="16" t="s">
        <v>66</v>
      </c>
      <c r="D7" s="17">
        <v>0.56000000000000005</v>
      </c>
      <c r="E7" s="17">
        <v>0</v>
      </c>
      <c r="F7" s="17">
        <f>ROUNDDOWN(D7*E7, 1)</f>
        <v>0</v>
      </c>
      <c r="G7" s="17">
        <f>단가대비표!O18</f>
        <v>247188</v>
      </c>
      <c r="H7" s="17">
        <f>ROUNDDOWN(D7*G7, 1)</f>
        <v>138425.20000000001</v>
      </c>
      <c r="I7" s="17">
        <v>0</v>
      </c>
      <c r="J7" s="17">
        <f>ROUNDDOWN(D7*I7, 1)</f>
        <v>0</v>
      </c>
      <c r="K7" s="17">
        <f t="shared" si="0"/>
        <v>247188</v>
      </c>
      <c r="L7" s="17">
        <f t="shared" si="0"/>
        <v>138425.20000000001</v>
      </c>
      <c r="M7" s="14" t="s">
        <v>73</v>
      </c>
      <c r="O7" s="1" t="s">
        <v>118</v>
      </c>
      <c r="P7" s="1" t="s">
        <v>107</v>
      </c>
      <c r="Q7">
        <v>1</v>
      </c>
    </row>
    <row r="8" spans="1:20" ht="22.9" customHeight="1" x14ac:dyDescent="0.3">
      <c r="A8" s="14" t="s">
        <v>69</v>
      </c>
      <c r="B8" s="14" t="s">
        <v>65</v>
      </c>
      <c r="C8" s="16" t="s">
        <v>66</v>
      </c>
      <c r="D8" s="17">
        <v>0.13400000000000001</v>
      </c>
      <c r="E8" s="17">
        <v>0</v>
      </c>
      <c r="F8" s="17">
        <f>ROUNDDOWN(D8*E8, 1)</f>
        <v>0</v>
      </c>
      <c r="G8" s="17">
        <f>단가대비표!O16</f>
        <v>172068</v>
      </c>
      <c r="H8" s="17">
        <f>ROUNDDOWN(D8*G8, 1)</f>
        <v>23057.1</v>
      </c>
      <c r="I8" s="17">
        <v>0</v>
      </c>
      <c r="J8" s="17">
        <f>ROUNDDOWN(D8*I8, 1)</f>
        <v>0</v>
      </c>
      <c r="K8" s="17">
        <f t="shared" si="0"/>
        <v>172068</v>
      </c>
      <c r="L8" s="17">
        <f t="shared" si="0"/>
        <v>23057.1</v>
      </c>
      <c r="M8" s="15"/>
      <c r="O8" s="1" t="s">
        <v>118</v>
      </c>
      <c r="P8" s="1" t="s">
        <v>107</v>
      </c>
      <c r="Q8">
        <v>1</v>
      </c>
    </row>
    <row r="9" spans="1:20" ht="22.9" customHeight="1" x14ac:dyDescent="0.3">
      <c r="A9" s="14" t="s">
        <v>182</v>
      </c>
      <c r="B9" s="15" t="str">
        <f>"인력품의 " &amp; N9*100 &amp; "%"</f>
        <v>인력품의 3%</v>
      </c>
      <c r="C9" s="16" t="s">
        <v>112</v>
      </c>
      <c r="D9" s="17">
        <v>1</v>
      </c>
      <c r="E9" s="17">
        <v>0</v>
      </c>
      <c r="F9" s="17">
        <v>0</v>
      </c>
      <c r="G9" s="17">
        <v>0</v>
      </c>
      <c r="H9" s="17">
        <v>0</v>
      </c>
      <c r="I9" s="17">
        <f>SUMIF(O6:O12, "02", H6:H12)</f>
        <v>161482.30000000002</v>
      </c>
      <c r="J9" s="17">
        <f>ROUNDDOWN((I9)*N9, 1)</f>
        <v>4844.3999999999996</v>
      </c>
      <c r="K9" s="17">
        <f t="shared" si="0"/>
        <v>161482.30000000002</v>
      </c>
      <c r="L9" s="17">
        <f t="shared" si="0"/>
        <v>4844.3999999999996</v>
      </c>
      <c r="M9" s="15"/>
      <c r="N9">
        <v>0.03</v>
      </c>
      <c r="P9" s="1" t="s">
        <v>107</v>
      </c>
      <c r="Q9">
        <v>1</v>
      </c>
      <c r="R9" s="1" t="s">
        <v>183</v>
      </c>
      <c r="S9" s="1" t="s">
        <v>184</v>
      </c>
      <c r="T9" s="1" t="s">
        <v>185</v>
      </c>
    </row>
    <row r="10" spans="1:20" ht="22.9" customHeight="1" x14ac:dyDescent="0.3">
      <c r="A10" s="14" t="s">
        <v>39</v>
      </c>
      <c r="B10" s="14" t="s">
        <v>40</v>
      </c>
      <c r="C10" s="16" t="s">
        <v>41</v>
      </c>
      <c r="D10" s="17">
        <v>1</v>
      </c>
      <c r="E10" s="17">
        <f>단가대비표!O9</f>
        <v>45000</v>
      </c>
      <c r="F10" s="17">
        <f>ROUNDDOWN(D10*E10, 1)</f>
        <v>45000</v>
      </c>
      <c r="G10" s="17">
        <v>0</v>
      </c>
      <c r="H10" s="17">
        <f>ROUNDDOWN(D10*G10, 1)</f>
        <v>0</v>
      </c>
      <c r="I10" s="17">
        <v>0</v>
      </c>
      <c r="J10" s="17">
        <f>ROUNDDOWN(D10*I10, 1)</f>
        <v>0</v>
      </c>
      <c r="K10" s="17">
        <f t="shared" si="0"/>
        <v>45000</v>
      </c>
      <c r="L10" s="17">
        <f t="shared" si="0"/>
        <v>45000</v>
      </c>
      <c r="M10" s="15"/>
      <c r="O10" s="1" t="s">
        <v>110</v>
      </c>
      <c r="P10" s="1" t="s">
        <v>107</v>
      </c>
      <c r="Q10">
        <v>1</v>
      </c>
    </row>
    <row r="11" spans="1:20" ht="22.9" customHeight="1" x14ac:dyDescent="0.3">
      <c r="A11" s="14" t="s">
        <v>45</v>
      </c>
      <c r="B11" s="14" t="s">
        <v>46</v>
      </c>
      <c r="C11" s="16" t="s">
        <v>41</v>
      </c>
      <c r="D11" s="17">
        <v>1</v>
      </c>
      <c r="E11" s="17">
        <f>단가대비표!O10</f>
        <v>28000</v>
      </c>
      <c r="F11" s="17">
        <f>ROUNDDOWN(D11*E11, 1)</f>
        <v>28000</v>
      </c>
      <c r="G11" s="17">
        <v>0</v>
      </c>
      <c r="H11" s="17">
        <f>ROUNDDOWN(D11*G11, 1)</f>
        <v>0</v>
      </c>
      <c r="I11" s="17">
        <v>0</v>
      </c>
      <c r="J11" s="17">
        <f>ROUNDDOWN(D11*I11, 1)</f>
        <v>0</v>
      </c>
      <c r="K11" s="17">
        <f t="shared" si="0"/>
        <v>28000</v>
      </c>
      <c r="L11" s="17">
        <f t="shared" si="0"/>
        <v>28000</v>
      </c>
      <c r="M11" s="15"/>
      <c r="O11" s="1" t="s">
        <v>110</v>
      </c>
      <c r="P11" s="1" t="s">
        <v>107</v>
      </c>
      <c r="Q11">
        <v>1</v>
      </c>
    </row>
    <row r="12" spans="1:20" ht="22.9" customHeight="1" x14ac:dyDescent="0.3">
      <c r="A12" s="14" t="s">
        <v>32</v>
      </c>
      <c r="B12" s="14" t="s">
        <v>33</v>
      </c>
      <c r="C12" s="16" t="s">
        <v>34</v>
      </c>
      <c r="D12" s="17">
        <v>1</v>
      </c>
      <c r="E12" s="17">
        <f>단가대비표!O8</f>
        <v>2500</v>
      </c>
      <c r="F12" s="17">
        <f>ROUNDDOWN(D12*E12, 1)</f>
        <v>2500</v>
      </c>
      <c r="G12" s="17">
        <v>0</v>
      </c>
      <c r="H12" s="17">
        <f>ROUNDDOWN(D12*G12, 1)</f>
        <v>0</v>
      </c>
      <c r="I12" s="17">
        <v>0</v>
      </c>
      <c r="J12" s="17">
        <f>ROUNDDOWN(D12*I12, 1)</f>
        <v>0</v>
      </c>
      <c r="K12" s="17">
        <f t="shared" si="0"/>
        <v>2500</v>
      </c>
      <c r="L12" s="17">
        <f t="shared" si="0"/>
        <v>2500</v>
      </c>
      <c r="M12" s="14" t="s">
        <v>38</v>
      </c>
      <c r="O12" s="1" t="s">
        <v>110</v>
      </c>
      <c r="P12" s="1" t="s">
        <v>107</v>
      </c>
      <c r="Q12">
        <v>1</v>
      </c>
    </row>
    <row r="13" spans="1:20" ht="22.9" customHeight="1" x14ac:dyDescent="0.3">
      <c r="A13" s="18" t="s">
        <v>119</v>
      </c>
      <c r="B13" s="19"/>
      <c r="C13" s="20"/>
      <c r="D13" s="21"/>
      <c r="E13" s="21"/>
      <c r="F13" s="21">
        <f>ROUNDDOWN(SUMIF(Q6:Q12, "1", F6:F12), 0)</f>
        <v>432080</v>
      </c>
      <c r="G13" s="21"/>
      <c r="H13" s="21">
        <f>ROUNDDOWN(SUMIF(Q6:Q12, "1", H6:H12), 0)</f>
        <v>161482</v>
      </c>
      <c r="I13" s="21"/>
      <c r="J13" s="21">
        <f>ROUNDDOWN(SUMIF(Q6:Q12, "1", J6:J12), 0)</f>
        <v>4844</v>
      </c>
      <c r="K13" s="21"/>
      <c r="L13" s="21">
        <f>F13+H13+J13</f>
        <v>598406</v>
      </c>
      <c r="M13" s="19"/>
    </row>
    <row r="14" spans="1:20" ht="22.9" customHeight="1" x14ac:dyDescent="0.3">
      <c r="A14" s="15"/>
      <c r="B14" s="15"/>
      <c r="C14" s="22"/>
      <c r="D14" s="17"/>
      <c r="E14" s="17"/>
      <c r="F14" s="17"/>
      <c r="G14" s="17"/>
      <c r="H14" s="17"/>
      <c r="I14" s="17"/>
      <c r="J14" s="17"/>
      <c r="K14" s="17"/>
      <c r="L14" s="17"/>
      <c r="M14" s="15"/>
    </row>
    <row r="15" spans="1:20" ht="22.9" customHeight="1" x14ac:dyDescent="0.3">
      <c r="A15" s="66" t="s">
        <v>186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23"/>
    </row>
    <row r="16" spans="1:20" ht="22.9" customHeight="1" x14ac:dyDescent="0.3">
      <c r="A16" s="14" t="s">
        <v>49</v>
      </c>
      <c r="B16" s="14" t="s">
        <v>50</v>
      </c>
      <c r="C16" s="16" t="s">
        <v>51</v>
      </c>
      <c r="D16" s="17">
        <v>1</v>
      </c>
      <c r="E16" s="17">
        <f>단가대비표!O11</f>
        <v>110000</v>
      </c>
      <c r="F16" s="17">
        <f>ROUNDDOWN(D16*E16, 1)</f>
        <v>110000</v>
      </c>
      <c r="G16" s="17">
        <v>0</v>
      </c>
      <c r="H16" s="17">
        <f>ROUNDDOWN(D16*G16, 1)</f>
        <v>0</v>
      </c>
      <c r="I16" s="17">
        <v>0</v>
      </c>
      <c r="J16" s="17">
        <f>ROUNDDOWN(D16*I16, 1)</f>
        <v>0</v>
      </c>
      <c r="K16" s="17">
        <f t="shared" ref="K16:L21" si="1">E16+G16+I16</f>
        <v>110000</v>
      </c>
      <c r="L16" s="17">
        <f t="shared" si="1"/>
        <v>110000</v>
      </c>
      <c r="M16" s="15"/>
      <c r="O16" s="1" t="s">
        <v>110</v>
      </c>
      <c r="P16" s="1" t="s">
        <v>107</v>
      </c>
      <c r="Q16">
        <v>1</v>
      </c>
    </row>
    <row r="17" spans="1:20" ht="22.9" customHeight="1" x14ac:dyDescent="0.3">
      <c r="A17" s="14" t="s">
        <v>53</v>
      </c>
      <c r="B17" s="14" t="s">
        <v>54</v>
      </c>
      <c r="C17" s="16" t="s">
        <v>34</v>
      </c>
      <c r="D17" s="17">
        <v>1</v>
      </c>
      <c r="E17" s="17">
        <f>단가대비표!O12</f>
        <v>95800</v>
      </c>
      <c r="F17" s="17">
        <f>ROUNDDOWN(D17*E17, 1)</f>
        <v>95800</v>
      </c>
      <c r="G17" s="17">
        <v>0</v>
      </c>
      <c r="H17" s="17">
        <f>ROUNDDOWN(D17*G17, 1)</f>
        <v>0</v>
      </c>
      <c r="I17" s="17">
        <v>0</v>
      </c>
      <c r="J17" s="17">
        <f>ROUNDDOWN(D17*I17, 1)</f>
        <v>0</v>
      </c>
      <c r="K17" s="17">
        <f t="shared" si="1"/>
        <v>95800</v>
      </c>
      <c r="L17" s="17">
        <f t="shared" si="1"/>
        <v>95800</v>
      </c>
      <c r="M17" s="15"/>
      <c r="O17" s="1" t="s">
        <v>110</v>
      </c>
      <c r="P17" s="1" t="s">
        <v>107</v>
      </c>
      <c r="Q17">
        <v>1</v>
      </c>
    </row>
    <row r="18" spans="1:20" ht="22.9" customHeight="1" x14ac:dyDescent="0.3">
      <c r="A18" s="14" t="s">
        <v>74</v>
      </c>
      <c r="B18" s="14" t="s">
        <v>65</v>
      </c>
      <c r="C18" s="16" t="s">
        <v>66</v>
      </c>
      <c r="D18" s="17">
        <v>5.2499999999999998E-2</v>
      </c>
      <c r="E18" s="17">
        <v>0</v>
      </c>
      <c r="F18" s="17">
        <f>ROUNDDOWN(D18*E18, 1)</f>
        <v>0</v>
      </c>
      <c r="G18" s="17">
        <f>단가대비표!O19</f>
        <v>226122</v>
      </c>
      <c r="H18" s="17">
        <f>ROUNDDOWN(D18*G18, 1)</f>
        <v>11871.4</v>
      </c>
      <c r="I18" s="17">
        <v>0</v>
      </c>
      <c r="J18" s="17">
        <f>ROUNDDOWN(D18*I18, 1)</f>
        <v>0</v>
      </c>
      <c r="K18" s="17">
        <f t="shared" si="1"/>
        <v>226122</v>
      </c>
      <c r="L18" s="17">
        <f t="shared" si="1"/>
        <v>11871.4</v>
      </c>
      <c r="M18" s="15"/>
      <c r="O18" s="1" t="s">
        <v>118</v>
      </c>
      <c r="P18" s="1" t="s">
        <v>107</v>
      </c>
      <c r="Q18">
        <v>1</v>
      </c>
    </row>
    <row r="19" spans="1:20" ht="22.9" customHeight="1" x14ac:dyDescent="0.3">
      <c r="A19" s="14" t="s">
        <v>69</v>
      </c>
      <c r="B19" s="14" t="s">
        <v>65</v>
      </c>
      <c r="C19" s="16" t="s">
        <v>66</v>
      </c>
      <c r="D19" s="17">
        <v>0.18</v>
      </c>
      <c r="E19" s="17">
        <v>0</v>
      </c>
      <c r="F19" s="17">
        <f>ROUNDDOWN(D19*E19, 1)</f>
        <v>0</v>
      </c>
      <c r="G19" s="17">
        <f>단가대비표!O16</f>
        <v>172068</v>
      </c>
      <c r="H19" s="17">
        <f>ROUNDDOWN(D19*G19, 1)</f>
        <v>30972.2</v>
      </c>
      <c r="I19" s="17">
        <v>0</v>
      </c>
      <c r="J19" s="17">
        <f>ROUNDDOWN(D19*I19, 1)</f>
        <v>0</v>
      </c>
      <c r="K19" s="17">
        <f t="shared" si="1"/>
        <v>172068</v>
      </c>
      <c r="L19" s="17">
        <f t="shared" si="1"/>
        <v>30972.2</v>
      </c>
      <c r="M19" s="15"/>
      <c r="O19" s="1" t="s">
        <v>118</v>
      </c>
      <c r="P19" s="1" t="s">
        <v>107</v>
      </c>
      <c r="Q19">
        <v>1</v>
      </c>
    </row>
    <row r="20" spans="1:20" ht="22.9" customHeight="1" x14ac:dyDescent="0.3">
      <c r="A20" s="14" t="s">
        <v>136</v>
      </c>
      <c r="B20" s="14" t="s">
        <v>137</v>
      </c>
      <c r="C20" s="16" t="s">
        <v>134</v>
      </c>
      <c r="D20" s="17">
        <v>0.56999999999999995</v>
      </c>
      <c r="E20" s="17">
        <f>중기경비목록!G6</f>
        <v>11532</v>
      </c>
      <c r="F20" s="17">
        <f>ROUNDDOWN(D20*E20, 1)</f>
        <v>6573.2</v>
      </c>
      <c r="G20" s="17">
        <f>중기경비목록!I6</f>
        <v>59020</v>
      </c>
      <c r="H20" s="17">
        <f>ROUNDDOWN(D20*G20, 1)</f>
        <v>33641.4</v>
      </c>
      <c r="I20" s="17">
        <f>중기경비목록!K6</f>
        <v>14120</v>
      </c>
      <c r="J20" s="17">
        <f>ROUNDDOWN(D20*I20, 1)</f>
        <v>8048.4</v>
      </c>
      <c r="K20" s="17">
        <f t="shared" si="1"/>
        <v>84672</v>
      </c>
      <c r="L20" s="17">
        <f t="shared" si="1"/>
        <v>48263</v>
      </c>
      <c r="M20" s="14" t="s">
        <v>135</v>
      </c>
      <c r="P20" s="1" t="s">
        <v>107</v>
      </c>
      <c r="Q20">
        <v>1</v>
      </c>
    </row>
    <row r="21" spans="1:20" ht="22.9" customHeight="1" x14ac:dyDescent="0.3">
      <c r="A21" s="14" t="s">
        <v>187</v>
      </c>
      <c r="B21" s="15" t="str">
        <f>"인력품의 " &amp; N21*100 &amp; "%"</f>
        <v>인력품의 2%</v>
      </c>
      <c r="C21" s="16" t="s">
        <v>112</v>
      </c>
      <c r="D21" s="17">
        <v>1</v>
      </c>
      <c r="E21" s="17">
        <v>0</v>
      </c>
      <c r="F21" s="17">
        <v>0</v>
      </c>
      <c r="G21" s="17">
        <v>0</v>
      </c>
      <c r="H21" s="17">
        <v>0</v>
      </c>
      <c r="I21" s="17">
        <f>SUMIF(O16:O21, "02", H16:H21)</f>
        <v>42843.6</v>
      </c>
      <c r="J21" s="17">
        <f>ROUNDDOWN((I21)*N21, 1)</f>
        <v>856.8</v>
      </c>
      <c r="K21" s="17">
        <f t="shared" si="1"/>
        <v>42843.6</v>
      </c>
      <c r="L21" s="17">
        <f t="shared" si="1"/>
        <v>856.8</v>
      </c>
      <c r="M21" s="15"/>
      <c r="N21">
        <v>0.02</v>
      </c>
      <c r="P21" s="1" t="s">
        <v>107</v>
      </c>
      <c r="Q21">
        <v>1</v>
      </c>
      <c r="R21" s="1" t="s">
        <v>183</v>
      </c>
      <c r="S21" s="1" t="s">
        <v>184</v>
      </c>
      <c r="T21" s="1" t="s">
        <v>185</v>
      </c>
    </row>
    <row r="22" spans="1:20" ht="22.9" customHeight="1" x14ac:dyDescent="0.3">
      <c r="A22" s="18" t="s">
        <v>119</v>
      </c>
      <c r="B22" s="19"/>
      <c r="C22" s="20"/>
      <c r="D22" s="21"/>
      <c r="E22" s="21"/>
      <c r="F22" s="21">
        <f>ROUNDDOWN(SUMIF(Q16:Q21, "1", F16:F21), 0)</f>
        <v>212373</v>
      </c>
      <c r="G22" s="21"/>
      <c r="H22" s="21">
        <f>ROUNDDOWN(SUMIF(Q16:Q21, "1", H16:H21), 0)</f>
        <v>76485</v>
      </c>
      <c r="I22" s="21"/>
      <c r="J22" s="21">
        <f>ROUNDDOWN(SUMIF(Q16:Q21, "1", J16:J21), 0)</f>
        <v>8905</v>
      </c>
      <c r="K22" s="21"/>
      <c r="L22" s="21">
        <f>F22+H22+J22</f>
        <v>297763</v>
      </c>
      <c r="M22" s="19"/>
    </row>
    <row r="23" spans="1:20" ht="22.9" customHeight="1" x14ac:dyDescent="0.3">
      <c r="A23" s="15"/>
      <c r="B23" s="15"/>
      <c r="C23" s="22"/>
      <c r="D23" s="17"/>
      <c r="E23" s="17"/>
      <c r="F23" s="17"/>
      <c r="G23" s="17"/>
      <c r="H23" s="17"/>
      <c r="I23" s="17"/>
      <c r="J23" s="17"/>
      <c r="K23" s="17"/>
      <c r="L23" s="17"/>
      <c r="M23" s="15"/>
    </row>
    <row r="24" spans="1:20" ht="22.9" customHeight="1" x14ac:dyDescent="0.3">
      <c r="A24" s="66" t="s">
        <v>188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23"/>
    </row>
    <row r="25" spans="1:20" ht="22.9" customHeight="1" x14ac:dyDescent="0.3">
      <c r="A25" s="14" t="s">
        <v>56</v>
      </c>
      <c r="B25" s="14" t="s">
        <v>57</v>
      </c>
      <c r="C25" s="16" t="s">
        <v>58</v>
      </c>
      <c r="D25" s="17">
        <v>1</v>
      </c>
      <c r="E25" s="17">
        <f>단가대비표!O13</f>
        <v>27347</v>
      </c>
      <c r="F25" s="17">
        <f>ROUNDDOWN(D25*E25, 1)</f>
        <v>27347</v>
      </c>
      <c r="G25" s="17">
        <v>0</v>
      </c>
      <c r="H25" s="17">
        <f>ROUNDDOWN(D25*G25, 1)</f>
        <v>0</v>
      </c>
      <c r="I25" s="17">
        <v>0</v>
      </c>
      <c r="J25" s="17">
        <f>ROUNDDOWN(D25*I25, 1)</f>
        <v>0</v>
      </c>
      <c r="K25" s="17">
        <f t="shared" ref="K25:L27" si="2">E25+G25+I25</f>
        <v>27347</v>
      </c>
      <c r="L25" s="17">
        <f t="shared" si="2"/>
        <v>27347</v>
      </c>
      <c r="M25" s="14" t="s">
        <v>63</v>
      </c>
      <c r="O25" s="1" t="s">
        <v>110</v>
      </c>
      <c r="P25" s="1" t="s">
        <v>107</v>
      </c>
      <c r="Q25">
        <v>1</v>
      </c>
    </row>
    <row r="26" spans="1:20" ht="22.9" customHeight="1" x14ac:dyDescent="0.3">
      <c r="A26" s="14" t="s">
        <v>68</v>
      </c>
      <c r="B26" s="14" t="s">
        <v>65</v>
      </c>
      <c r="C26" s="16" t="s">
        <v>66</v>
      </c>
      <c r="D26" s="17">
        <v>3.7499999999999999E-2</v>
      </c>
      <c r="E26" s="17">
        <v>0</v>
      </c>
      <c r="F26" s="17">
        <f>ROUNDDOWN(D26*E26, 1)</f>
        <v>0</v>
      </c>
      <c r="G26" s="17">
        <f>단가대비표!O15</f>
        <v>262580</v>
      </c>
      <c r="H26" s="17">
        <f>ROUNDDOWN(D26*G26, 1)</f>
        <v>9846.7000000000007</v>
      </c>
      <c r="I26" s="17">
        <v>0</v>
      </c>
      <c r="J26" s="17">
        <f>ROUNDDOWN(D26*I26, 1)</f>
        <v>0</v>
      </c>
      <c r="K26" s="17">
        <f t="shared" si="2"/>
        <v>262580</v>
      </c>
      <c r="L26" s="17">
        <f t="shared" si="2"/>
        <v>9846.7000000000007</v>
      </c>
      <c r="M26" s="15"/>
      <c r="O26" s="1" t="s">
        <v>118</v>
      </c>
      <c r="P26" s="1" t="s">
        <v>107</v>
      </c>
      <c r="Q26">
        <v>1</v>
      </c>
    </row>
    <row r="27" spans="1:20" ht="22.9" customHeight="1" x14ac:dyDescent="0.3">
      <c r="A27" s="14" t="s">
        <v>69</v>
      </c>
      <c r="B27" s="14" t="s">
        <v>65</v>
      </c>
      <c r="C27" s="16" t="s">
        <v>66</v>
      </c>
      <c r="D27" s="17">
        <v>2.2499999999999999E-2</v>
      </c>
      <c r="E27" s="17">
        <v>0</v>
      </c>
      <c r="F27" s="17">
        <f>ROUNDDOWN(D27*E27, 1)</f>
        <v>0</v>
      </c>
      <c r="G27" s="17">
        <f>단가대비표!O16</f>
        <v>172068</v>
      </c>
      <c r="H27" s="17">
        <f>ROUNDDOWN(D27*G27, 1)</f>
        <v>3871.5</v>
      </c>
      <c r="I27" s="17">
        <v>0</v>
      </c>
      <c r="J27" s="17">
        <f>ROUNDDOWN(D27*I27, 1)</f>
        <v>0</v>
      </c>
      <c r="K27" s="17">
        <f t="shared" si="2"/>
        <v>172068</v>
      </c>
      <c r="L27" s="17">
        <f t="shared" si="2"/>
        <v>3871.5</v>
      </c>
      <c r="M27" s="15"/>
      <c r="O27" s="1" t="s">
        <v>118</v>
      </c>
      <c r="P27" s="1" t="s">
        <v>107</v>
      </c>
      <c r="Q27">
        <v>1</v>
      </c>
    </row>
    <row r="28" spans="1:20" ht="22.9" customHeight="1" x14ac:dyDescent="0.3">
      <c r="A28" s="18" t="s">
        <v>119</v>
      </c>
      <c r="B28" s="19"/>
      <c r="C28" s="20"/>
      <c r="D28" s="21"/>
      <c r="E28" s="21"/>
      <c r="F28" s="21">
        <f>ROUNDDOWN(SUMIF(Q25:Q27, "1", F25:F27), 0)</f>
        <v>27347</v>
      </c>
      <c r="G28" s="21"/>
      <c r="H28" s="21">
        <f>ROUNDDOWN(SUMIF(Q25:Q27, "1", H25:H27), 0)</f>
        <v>13718</v>
      </c>
      <c r="I28" s="21"/>
      <c r="J28" s="21">
        <f>ROUNDDOWN(SUMIF(Q25:Q27, "1", J25:J27), 0)</f>
        <v>0</v>
      </c>
      <c r="K28" s="21"/>
      <c r="L28" s="21">
        <f>F28+H28+J28</f>
        <v>41065</v>
      </c>
      <c r="M28" s="19"/>
    </row>
    <row r="29" spans="1:20" ht="22.9" customHeight="1" x14ac:dyDescent="0.3">
      <c r="A29" s="15"/>
      <c r="B29" s="15"/>
      <c r="C29" s="22"/>
      <c r="D29" s="17"/>
      <c r="E29" s="17"/>
      <c r="F29" s="17"/>
      <c r="G29" s="17"/>
      <c r="H29" s="17"/>
      <c r="I29" s="17"/>
      <c r="J29" s="17"/>
      <c r="K29" s="17"/>
      <c r="L29" s="17"/>
      <c r="M29" s="15"/>
    </row>
    <row r="30" spans="1:20" ht="22.9" customHeight="1" x14ac:dyDescent="0.3">
      <c r="A30" s="15"/>
      <c r="B30" s="15"/>
      <c r="C30" s="22"/>
      <c r="D30" s="17"/>
      <c r="E30" s="17"/>
      <c r="F30" s="17"/>
      <c r="G30" s="17"/>
      <c r="H30" s="17"/>
      <c r="I30" s="17"/>
      <c r="J30" s="17"/>
      <c r="K30" s="17"/>
      <c r="L30" s="17"/>
      <c r="M30" s="15"/>
    </row>
    <row r="31" spans="1:20" ht="22.9" customHeight="1" x14ac:dyDescent="0.3">
      <c r="A31" s="15"/>
      <c r="B31" s="15"/>
      <c r="C31" s="22"/>
      <c r="D31" s="17"/>
      <c r="E31" s="17"/>
      <c r="F31" s="17"/>
      <c r="G31" s="17"/>
      <c r="H31" s="17"/>
      <c r="I31" s="17"/>
      <c r="J31" s="17"/>
      <c r="K31" s="17"/>
      <c r="L31" s="17"/>
      <c r="M31" s="15"/>
    </row>
    <row r="32" spans="1:20" ht="22.9" customHeight="1" x14ac:dyDescent="0.3">
      <c r="A32" s="15"/>
      <c r="B32" s="15"/>
      <c r="C32" s="22"/>
      <c r="D32" s="17"/>
      <c r="E32" s="17"/>
      <c r="F32" s="17"/>
      <c r="G32" s="17"/>
      <c r="H32" s="17"/>
      <c r="I32" s="17"/>
      <c r="J32" s="17"/>
      <c r="K32" s="17"/>
      <c r="L32" s="17"/>
      <c r="M32" s="15"/>
    </row>
    <row r="33" spans="1:13" ht="22.9" customHeight="1" x14ac:dyDescent="0.3">
      <c r="A33" s="15"/>
      <c r="B33" s="15"/>
      <c r="C33" s="22"/>
      <c r="D33" s="17"/>
      <c r="E33" s="17"/>
      <c r="F33" s="17"/>
      <c r="G33" s="17"/>
      <c r="H33" s="17"/>
      <c r="I33" s="17"/>
      <c r="J33" s="17"/>
      <c r="K33" s="17"/>
      <c r="L33" s="17"/>
      <c r="M33" s="15"/>
    </row>
    <row r="34" spans="1:13" ht="22.9" customHeight="1" x14ac:dyDescent="0.3">
      <c r="A34" s="15"/>
      <c r="B34" s="15"/>
      <c r="C34" s="22"/>
      <c r="D34" s="17"/>
      <c r="E34" s="17"/>
      <c r="F34" s="17"/>
      <c r="G34" s="17"/>
      <c r="H34" s="17"/>
      <c r="I34" s="17"/>
      <c r="J34" s="17"/>
      <c r="K34" s="17"/>
      <c r="L34" s="17"/>
      <c r="M34" s="15"/>
    </row>
    <row r="35" spans="1:13" ht="22.9" customHeight="1" x14ac:dyDescent="0.3">
      <c r="A35" s="15"/>
      <c r="B35" s="15"/>
      <c r="C35" s="22"/>
      <c r="D35" s="17"/>
      <c r="E35" s="17"/>
      <c r="F35" s="17"/>
      <c r="G35" s="17"/>
      <c r="H35" s="17"/>
      <c r="I35" s="17"/>
      <c r="J35" s="17"/>
      <c r="K35" s="17"/>
      <c r="L35" s="17"/>
      <c r="M35" s="15"/>
    </row>
    <row r="36" spans="1:13" ht="22.9" customHeight="1" x14ac:dyDescent="0.3">
      <c r="A36" s="15"/>
      <c r="B36" s="15"/>
      <c r="C36" s="22"/>
      <c r="D36" s="17"/>
      <c r="E36" s="17"/>
      <c r="F36" s="17"/>
      <c r="G36" s="17"/>
      <c r="H36" s="17"/>
      <c r="I36" s="17"/>
      <c r="J36" s="17"/>
      <c r="K36" s="17"/>
      <c r="L36" s="17"/>
      <c r="M36" s="15"/>
    </row>
  </sheetData>
  <mergeCells count="14">
    <mergeCell ref="K3:L3"/>
    <mergeCell ref="A5:L5"/>
    <mergeCell ref="A15:L15"/>
    <mergeCell ref="A24:L24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conditionalFormatting sqref="A5 M5 A6:M36">
    <cfRule type="containsText" dxfId="23" priority="1" stopIfTrue="1" operator="containsText" text=".">
      <formula>NOT(ISERROR(SEARCH(".",A5)))</formula>
    </cfRule>
    <cfRule type="notContainsText" dxfId="22" priority="2" stopIfTrue="1" operator="notContains" text=".">
      <formula>ISERROR(SEARCH(".",A5))</formula>
    </cfRule>
  </conditionalFormatting>
  <pageMargins left="0.74803149606299213" right="0" top="0.55118110236220474" bottom="0.15748031496062992" header="0.31496062992125984" footer="0.15748031496062992"/>
  <pageSetup paperSize="9" scale="95" orientation="landscape" r:id="rId1"/>
  <rowBreaks count="2" manualBreakCount="2">
    <brk id="20" max="16383" man="1"/>
    <brk id="3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CA939-EB91-44BE-A3E3-8608A12D786F}">
  <sheetPr>
    <tabColor rgb="FFF19D86"/>
  </sheetPr>
  <dimension ref="A1:O20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N1"/>
    </sheetView>
  </sheetViews>
  <sheetFormatPr defaultRowHeight="16.5" x14ac:dyDescent="0.3"/>
  <cols>
    <col min="1" max="1" width="6.75" style="3" customWidth="1"/>
    <col min="2" max="3" width="20.75" style="2" customWidth="1"/>
    <col min="4" max="4" width="4.75" style="3" customWidth="1"/>
    <col min="5" max="5" width="6.75" style="3" customWidth="1"/>
    <col min="6" max="6" width="6.75" style="4" customWidth="1"/>
    <col min="7" max="7" width="7.75" style="4" customWidth="1"/>
    <col min="8" max="8" width="6.75" style="4" customWidth="1"/>
    <col min="9" max="9" width="7.75" style="4" customWidth="1"/>
    <col min="10" max="10" width="6.75" style="4" customWidth="1"/>
    <col min="11" max="11" width="7.75" style="4" customWidth="1"/>
    <col min="12" max="12" width="6.75" style="4" customWidth="1"/>
    <col min="13" max="13" width="7.75" style="4" customWidth="1"/>
    <col min="14" max="14" width="6.75" style="2" customWidth="1"/>
    <col min="15" max="18" width="0" hidden="1" customWidth="1"/>
  </cols>
  <sheetData>
    <row r="1" spans="1:15" ht="30" customHeight="1" x14ac:dyDescent="0.3">
      <c r="A1" s="44" t="s">
        <v>163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5" ht="22.9" customHeight="1" x14ac:dyDescent="0.3">
      <c r="A2" s="45" t="s">
        <v>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5" ht="22.9" customHeight="1" x14ac:dyDescent="0.3">
      <c r="A3" s="53" t="s">
        <v>125</v>
      </c>
      <c r="B3" s="53" t="s">
        <v>164</v>
      </c>
      <c r="C3" s="53" t="s">
        <v>165</v>
      </c>
      <c r="D3" s="53" t="s">
        <v>6</v>
      </c>
      <c r="E3" s="53" t="s">
        <v>126</v>
      </c>
      <c r="F3" s="53" t="s">
        <v>127</v>
      </c>
      <c r="G3" s="53"/>
      <c r="H3" s="53" t="s">
        <v>128</v>
      </c>
      <c r="I3" s="53"/>
      <c r="J3" s="53" t="s">
        <v>129</v>
      </c>
      <c r="K3" s="53"/>
      <c r="L3" s="53" t="s">
        <v>130</v>
      </c>
      <c r="M3" s="53"/>
      <c r="N3" s="53" t="s">
        <v>93</v>
      </c>
    </row>
    <row r="4" spans="1:15" ht="22.9" customHeight="1" x14ac:dyDescent="0.3">
      <c r="A4" s="53"/>
      <c r="B4" s="53"/>
      <c r="C4" s="53"/>
      <c r="D4" s="53"/>
      <c r="E4" s="53"/>
      <c r="F4" s="12" t="s">
        <v>94</v>
      </c>
      <c r="G4" s="12" t="s">
        <v>95</v>
      </c>
      <c r="H4" s="12" t="s">
        <v>94</v>
      </c>
      <c r="I4" s="12" t="s">
        <v>95</v>
      </c>
      <c r="J4" s="12" t="s">
        <v>94</v>
      </c>
      <c r="K4" s="12" t="s">
        <v>95</v>
      </c>
      <c r="L4" s="12" t="s">
        <v>94</v>
      </c>
      <c r="M4" s="12" t="s">
        <v>95</v>
      </c>
      <c r="N4" s="53"/>
      <c r="O4" t="s">
        <v>18</v>
      </c>
    </row>
    <row r="5" spans="1:15" ht="22.9" customHeight="1" x14ac:dyDescent="0.3">
      <c r="A5" s="16" t="s">
        <v>166</v>
      </c>
      <c r="B5" s="14" t="s">
        <v>167</v>
      </c>
      <c r="C5" s="14" t="s">
        <v>168</v>
      </c>
      <c r="D5" s="16" t="s">
        <v>169</v>
      </c>
      <c r="E5" s="22">
        <v>1</v>
      </c>
      <c r="F5" s="17">
        <f>단가산출서!B17</f>
        <v>492</v>
      </c>
      <c r="G5" s="17">
        <f>E5*F5</f>
        <v>492</v>
      </c>
      <c r="H5" s="17">
        <f>단가산출서!C17</f>
        <v>2900</v>
      </c>
      <c r="I5" s="17">
        <f>E5*H5</f>
        <v>2900</v>
      </c>
      <c r="J5" s="17">
        <f>단가산출서!D17</f>
        <v>681</v>
      </c>
      <c r="K5" s="17">
        <f>E5*J5</f>
        <v>681</v>
      </c>
      <c r="L5" s="17">
        <f>F5+H5+J5</f>
        <v>4073</v>
      </c>
      <c r="M5" s="17">
        <f>G5+I5+K5</f>
        <v>4073</v>
      </c>
      <c r="N5" s="14" t="s">
        <v>144</v>
      </c>
    </row>
    <row r="6" spans="1:15" ht="22.9" customHeight="1" x14ac:dyDescent="0.3">
      <c r="A6" s="16" t="s">
        <v>170</v>
      </c>
      <c r="B6" s="14" t="s">
        <v>171</v>
      </c>
      <c r="C6" s="14" t="s">
        <v>172</v>
      </c>
      <c r="D6" s="16" t="s">
        <v>169</v>
      </c>
      <c r="E6" s="22">
        <v>1</v>
      </c>
      <c r="F6" s="17">
        <f>단가산출서!B45</f>
        <v>635</v>
      </c>
      <c r="G6" s="17">
        <f>E6*F6</f>
        <v>635</v>
      </c>
      <c r="H6" s="17">
        <f>단가산출서!C45</f>
        <v>6452</v>
      </c>
      <c r="I6" s="17">
        <f>E6*H6</f>
        <v>6452</v>
      </c>
      <c r="J6" s="17">
        <f>단가산출서!D45</f>
        <v>638</v>
      </c>
      <c r="K6" s="17">
        <f>E6*J6</f>
        <v>638</v>
      </c>
      <c r="L6" s="17">
        <f>F6+H6+J6</f>
        <v>7725</v>
      </c>
      <c r="M6" s="17">
        <f>G6+I6+K6</f>
        <v>7725</v>
      </c>
      <c r="N6" s="15"/>
    </row>
    <row r="7" spans="1:15" ht="22.9" customHeight="1" x14ac:dyDescent="0.3">
      <c r="A7" s="22"/>
      <c r="B7" s="15"/>
      <c r="C7" s="15"/>
      <c r="D7" s="22"/>
      <c r="E7" s="22"/>
      <c r="F7" s="17"/>
      <c r="G7" s="17"/>
      <c r="H7" s="17"/>
      <c r="I7" s="17"/>
      <c r="J7" s="17"/>
      <c r="K7" s="17"/>
      <c r="L7" s="17"/>
      <c r="M7" s="17"/>
      <c r="N7" s="15"/>
    </row>
    <row r="8" spans="1:15" ht="22.9" customHeight="1" x14ac:dyDescent="0.3">
      <c r="A8" s="22"/>
      <c r="B8" s="15"/>
      <c r="C8" s="15"/>
      <c r="D8" s="22"/>
      <c r="E8" s="22"/>
      <c r="F8" s="17"/>
      <c r="G8" s="17"/>
      <c r="H8" s="17"/>
      <c r="I8" s="17"/>
      <c r="J8" s="17"/>
      <c r="K8" s="17"/>
      <c r="L8" s="17"/>
      <c r="M8" s="17"/>
      <c r="N8" s="15"/>
    </row>
    <row r="9" spans="1:15" ht="22.9" customHeight="1" x14ac:dyDescent="0.3">
      <c r="A9" s="22"/>
      <c r="B9" s="15"/>
      <c r="C9" s="15"/>
      <c r="D9" s="22"/>
      <c r="E9" s="22"/>
      <c r="F9" s="17"/>
      <c r="G9" s="17"/>
      <c r="H9" s="17"/>
      <c r="I9" s="17"/>
      <c r="J9" s="17"/>
      <c r="K9" s="17"/>
      <c r="L9" s="17"/>
      <c r="M9" s="17"/>
      <c r="N9" s="15"/>
    </row>
    <row r="10" spans="1:15" ht="22.9" customHeight="1" x14ac:dyDescent="0.3">
      <c r="A10" s="22"/>
      <c r="B10" s="15"/>
      <c r="C10" s="15"/>
      <c r="D10" s="22"/>
      <c r="E10" s="22"/>
      <c r="F10" s="17"/>
      <c r="G10" s="17"/>
      <c r="H10" s="17"/>
      <c r="I10" s="17"/>
      <c r="J10" s="17"/>
      <c r="K10" s="17"/>
      <c r="L10" s="17"/>
      <c r="M10" s="17"/>
      <c r="N10" s="15"/>
    </row>
    <row r="11" spans="1:15" ht="22.9" customHeight="1" x14ac:dyDescent="0.3">
      <c r="A11" s="22"/>
      <c r="B11" s="15"/>
      <c r="C11" s="15"/>
      <c r="D11" s="22"/>
      <c r="E11" s="22"/>
      <c r="F11" s="17"/>
      <c r="G11" s="17"/>
      <c r="H11" s="17"/>
      <c r="I11" s="17"/>
      <c r="J11" s="17"/>
      <c r="K11" s="17"/>
      <c r="L11" s="17"/>
      <c r="M11" s="17"/>
      <c r="N11" s="15"/>
    </row>
    <row r="12" spans="1:15" ht="22.9" customHeight="1" x14ac:dyDescent="0.3">
      <c r="A12" s="22"/>
      <c r="B12" s="15"/>
      <c r="C12" s="15"/>
      <c r="D12" s="22"/>
      <c r="E12" s="22"/>
      <c r="F12" s="17"/>
      <c r="G12" s="17"/>
      <c r="H12" s="17"/>
      <c r="I12" s="17"/>
      <c r="J12" s="17"/>
      <c r="K12" s="17"/>
      <c r="L12" s="17"/>
      <c r="M12" s="17"/>
      <c r="N12" s="15"/>
    </row>
    <row r="13" spans="1:15" ht="22.9" customHeight="1" x14ac:dyDescent="0.3">
      <c r="A13" s="22"/>
      <c r="B13" s="15"/>
      <c r="C13" s="15"/>
      <c r="D13" s="22"/>
      <c r="E13" s="22"/>
      <c r="F13" s="17"/>
      <c r="G13" s="17"/>
      <c r="H13" s="17"/>
      <c r="I13" s="17"/>
      <c r="J13" s="17"/>
      <c r="K13" s="17"/>
      <c r="L13" s="17"/>
      <c r="M13" s="17"/>
      <c r="N13" s="15"/>
    </row>
    <row r="14" spans="1:15" ht="22.9" customHeight="1" x14ac:dyDescent="0.3">
      <c r="A14" s="22"/>
      <c r="B14" s="15"/>
      <c r="C14" s="15"/>
      <c r="D14" s="22"/>
      <c r="E14" s="22"/>
      <c r="F14" s="17"/>
      <c r="G14" s="17"/>
      <c r="H14" s="17"/>
      <c r="I14" s="17"/>
      <c r="J14" s="17"/>
      <c r="K14" s="17"/>
      <c r="L14" s="17"/>
      <c r="M14" s="17"/>
      <c r="N14" s="15"/>
    </row>
    <row r="15" spans="1:15" ht="22.9" customHeight="1" x14ac:dyDescent="0.3">
      <c r="A15" s="22"/>
      <c r="B15" s="15"/>
      <c r="C15" s="15"/>
      <c r="D15" s="22"/>
      <c r="E15" s="22"/>
      <c r="F15" s="17"/>
      <c r="G15" s="17"/>
      <c r="H15" s="17"/>
      <c r="I15" s="17"/>
      <c r="J15" s="17"/>
      <c r="K15" s="17"/>
      <c r="L15" s="17"/>
      <c r="M15" s="17"/>
      <c r="N15" s="15"/>
    </row>
    <row r="16" spans="1:15" ht="22.9" customHeight="1" x14ac:dyDescent="0.3">
      <c r="A16" s="22"/>
      <c r="B16" s="15"/>
      <c r="C16" s="15"/>
      <c r="D16" s="22"/>
      <c r="E16" s="22"/>
      <c r="F16" s="17"/>
      <c r="G16" s="17"/>
      <c r="H16" s="17"/>
      <c r="I16" s="17"/>
      <c r="J16" s="17"/>
      <c r="K16" s="17"/>
      <c r="L16" s="17"/>
      <c r="M16" s="17"/>
      <c r="N16" s="15"/>
    </row>
    <row r="17" spans="1:14" ht="22.9" customHeight="1" x14ac:dyDescent="0.3">
      <c r="A17" s="22"/>
      <c r="B17" s="15"/>
      <c r="C17" s="15"/>
      <c r="D17" s="22"/>
      <c r="E17" s="22"/>
      <c r="F17" s="17"/>
      <c r="G17" s="17"/>
      <c r="H17" s="17"/>
      <c r="I17" s="17"/>
      <c r="J17" s="17"/>
      <c r="K17" s="17"/>
      <c r="L17" s="17"/>
      <c r="M17" s="17"/>
      <c r="N17" s="15"/>
    </row>
    <row r="18" spans="1:14" ht="22.9" customHeight="1" x14ac:dyDescent="0.3">
      <c r="A18" s="22"/>
      <c r="B18" s="15"/>
      <c r="C18" s="15"/>
      <c r="D18" s="22"/>
      <c r="E18" s="22"/>
      <c r="F18" s="17"/>
      <c r="G18" s="17"/>
      <c r="H18" s="17"/>
      <c r="I18" s="17"/>
      <c r="J18" s="17"/>
      <c r="K18" s="17"/>
      <c r="L18" s="17"/>
      <c r="M18" s="17"/>
      <c r="N18" s="15"/>
    </row>
    <row r="19" spans="1:14" ht="22.9" customHeight="1" x14ac:dyDescent="0.3">
      <c r="A19" s="22"/>
      <c r="B19" s="15"/>
      <c r="C19" s="15"/>
      <c r="D19" s="22"/>
      <c r="E19" s="22"/>
      <c r="F19" s="17"/>
      <c r="G19" s="17"/>
      <c r="H19" s="17"/>
      <c r="I19" s="17"/>
      <c r="J19" s="17"/>
      <c r="K19" s="17"/>
      <c r="L19" s="17"/>
      <c r="M19" s="17"/>
      <c r="N19" s="15"/>
    </row>
    <row r="20" spans="1:14" ht="22.9" customHeight="1" x14ac:dyDescent="0.3">
      <c r="A20" s="22"/>
      <c r="B20" s="15"/>
      <c r="C20" s="15"/>
      <c r="D20" s="22"/>
      <c r="E20" s="22"/>
      <c r="F20" s="17"/>
      <c r="G20" s="17"/>
      <c r="H20" s="17"/>
      <c r="I20" s="17"/>
      <c r="J20" s="17"/>
      <c r="K20" s="17"/>
      <c r="L20" s="17"/>
      <c r="M20" s="17"/>
      <c r="N20" s="15"/>
    </row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1" type="noConversion"/>
  <conditionalFormatting sqref="A5:N20">
    <cfRule type="containsText" dxfId="21" priority="1" stopIfTrue="1" operator="containsText" text=".">
      <formula>NOT(ISERROR(SEARCH(".",A5)))</formula>
    </cfRule>
    <cfRule type="notContainsText" dxfId="20" priority="2" stopIfTrue="1" operator="notContains" text=".">
      <formula>ISERROR(SEARCH(".",A5))</formula>
    </cfRule>
  </conditionalFormatting>
  <pageMargins left="0.74555149110298213" right="0" top="0.54870109740219475" bottom="0.1388888888888889" header="0.3" footer="0.1388888888888889"/>
  <pageSetup paperSize="9" orientation="landscape" r:id="rId1"/>
  <rowBreaks count="1" manualBreakCount="1">
    <brk id="2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54ED-01ED-4859-A493-1BC8C0071501}">
  <sheetPr>
    <tabColor rgb="FFFFFFB7"/>
  </sheetPr>
  <dimension ref="A1:O52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F1"/>
    </sheetView>
  </sheetViews>
  <sheetFormatPr defaultRowHeight="16.5" x14ac:dyDescent="0.3"/>
  <cols>
    <col min="1" max="1" width="81.75" style="2" customWidth="1"/>
    <col min="2" max="6" width="9.75" style="4" customWidth="1"/>
    <col min="7" max="15" width="0" hidden="1" customWidth="1"/>
  </cols>
  <sheetData>
    <row r="1" spans="1:15" ht="30" customHeight="1" x14ac:dyDescent="0.3">
      <c r="A1" s="44" t="s">
        <v>140</v>
      </c>
      <c r="B1" s="44"/>
      <c r="C1" s="44"/>
      <c r="D1" s="44"/>
      <c r="E1" s="44"/>
      <c r="F1" s="44"/>
    </row>
    <row r="2" spans="1:15" ht="22.9" customHeight="1" x14ac:dyDescent="0.3">
      <c r="A2" s="45" t="s">
        <v>3</v>
      </c>
      <c r="B2" s="46"/>
      <c r="C2" s="46"/>
      <c r="D2" s="46"/>
      <c r="E2" s="46"/>
      <c r="F2" s="46"/>
    </row>
    <row r="3" spans="1:15" ht="22.9" customHeight="1" x14ac:dyDescent="0.3">
      <c r="A3" s="53" t="s">
        <v>141</v>
      </c>
      <c r="B3" s="53" t="s">
        <v>127</v>
      </c>
      <c r="C3" s="53" t="s">
        <v>128</v>
      </c>
      <c r="D3" s="53" t="s">
        <v>129</v>
      </c>
      <c r="E3" s="53" t="s">
        <v>130</v>
      </c>
      <c r="F3" s="53" t="s">
        <v>142</v>
      </c>
    </row>
    <row r="4" spans="1:15" ht="22.9" customHeight="1" x14ac:dyDescent="0.3">
      <c r="A4" s="53"/>
      <c r="B4" s="53"/>
      <c r="C4" s="53"/>
      <c r="D4" s="53"/>
      <c r="E4" s="53"/>
      <c r="F4" s="53"/>
      <c r="G4" t="s">
        <v>96</v>
      </c>
      <c r="H4" t="s">
        <v>97</v>
      </c>
      <c r="I4" t="s">
        <v>98</v>
      </c>
      <c r="J4" t="s">
        <v>99</v>
      </c>
    </row>
    <row r="5" spans="1:15" ht="22.9" customHeight="1" x14ac:dyDescent="0.3">
      <c r="A5" s="63" t="s">
        <v>143</v>
      </c>
      <c r="B5" s="64"/>
      <c r="C5" s="64"/>
      <c r="D5" s="64"/>
      <c r="E5" s="65"/>
      <c r="F5" s="24" t="s">
        <v>144</v>
      </c>
    </row>
    <row r="6" spans="1:15" ht="22.9" customHeight="1" x14ac:dyDescent="0.3">
      <c r="A6" s="15" t="s">
        <v>145</v>
      </c>
      <c r="B6" s="17"/>
      <c r="C6" s="17"/>
      <c r="D6" s="17"/>
      <c r="E6" s="17"/>
      <c r="F6" s="25" t="s">
        <v>131</v>
      </c>
      <c r="J6">
        <v>0</v>
      </c>
      <c r="L6">
        <v>1</v>
      </c>
      <c r="M6">
        <f>중기경비목록!G5</f>
        <v>10024</v>
      </c>
      <c r="N6">
        <f>중기경비목록!I5</f>
        <v>59020</v>
      </c>
      <c r="O6">
        <f>중기경비목록!K5</f>
        <v>13873</v>
      </c>
    </row>
    <row r="7" spans="1:15" ht="22.9" customHeight="1" x14ac:dyDescent="0.3">
      <c r="A7" s="15" t="str">
        <f>"버킷용량(㎥) : " &amp;"q9 = " &amp; L7</f>
        <v>버킷용량(㎥) : q9 = 0.2</v>
      </c>
      <c r="B7" s="17">
        <v>0</v>
      </c>
      <c r="C7" s="17">
        <v>0</v>
      </c>
      <c r="D7" s="17">
        <v>0</v>
      </c>
      <c r="E7" s="17">
        <v>0</v>
      </c>
      <c r="F7" s="17"/>
      <c r="J7">
        <v>0</v>
      </c>
      <c r="K7" t="s">
        <v>146</v>
      </c>
      <c r="L7">
        <v>0.2</v>
      </c>
    </row>
    <row r="8" spans="1:15" ht="22.9" customHeight="1" x14ac:dyDescent="0.3">
      <c r="A8" s="15" t="str">
        <f>"버킷계수 : " &amp;"k = " &amp; L8</f>
        <v>버킷계수 : k = 0.9</v>
      </c>
      <c r="B8" s="17">
        <v>0</v>
      </c>
      <c r="C8" s="17">
        <v>0</v>
      </c>
      <c r="D8" s="17">
        <v>0</v>
      </c>
      <c r="E8" s="17">
        <v>0</v>
      </c>
      <c r="F8" s="17"/>
      <c r="J8">
        <v>0</v>
      </c>
      <c r="K8" t="s">
        <v>147</v>
      </c>
      <c r="L8">
        <v>0.9</v>
      </c>
    </row>
    <row r="9" spans="1:15" ht="22.9" customHeight="1" x14ac:dyDescent="0.3">
      <c r="A9" s="15" t="str">
        <f>"체적환산계수 : " &amp;"f = 1/1.15 = " &amp; L9</f>
        <v>체적환산계수 : f = 1/1.15 = 0.8695652</v>
      </c>
      <c r="B9" s="17">
        <v>0</v>
      </c>
      <c r="C9" s="17">
        <v>0</v>
      </c>
      <c r="D9" s="17">
        <v>0</v>
      </c>
      <c r="E9" s="17">
        <v>0</v>
      </c>
      <c r="F9" s="17"/>
      <c r="J9">
        <v>0</v>
      </c>
      <c r="K9" t="s">
        <v>148</v>
      </c>
      <c r="L9">
        <v>0.86956520000000004</v>
      </c>
    </row>
    <row r="10" spans="1:15" ht="22.9" customHeight="1" x14ac:dyDescent="0.3">
      <c r="A10" s="15" t="str">
        <f>"작업효율 : " &amp;"E = 0.7-0.05 = " &amp; L10</f>
        <v>작업효율 : E = 0.7-0.05 = 0.65</v>
      </c>
      <c r="B10" s="17">
        <v>0</v>
      </c>
      <c r="C10" s="17">
        <v>0</v>
      </c>
      <c r="D10" s="17">
        <v>0</v>
      </c>
      <c r="E10" s="17">
        <v>0</v>
      </c>
      <c r="F10" s="17"/>
      <c r="J10">
        <v>0</v>
      </c>
      <c r="K10" t="s">
        <v>149</v>
      </c>
      <c r="L10">
        <v>0.65</v>
      </c>
    </row>
    <row r="11" spans="1:15" ht="22.9" customHeight="1" x14ac:dyDescent="0.3">
      <c r="A11" s="15" t="str">
        <f>"1회 싸이클 시간(초) : " &amp;"Cm = " &amp; L11</f>
        <v>1회 싸이클 시간(초) : Cm = 18</v>
      </c>
      <c r="B11" s="17">
        <v>0</v>
      </c>
      <c r="C11" s="17">
        <v>0</v>
      </c>
      <c r="D11" s="17">
        <v>0</v>
      </c>
      <c r="E11" s="17">
        <v>0</v>
      </c>
      <c r="F11" s="17"/>
      <c r="J11">
        <v>0</v>
      </c>
      <c r="K11" t="s">
        <v>150</v>
      </c>
      <c r="L11">
        <v>18</v>
      </c>
    </row>
    <row r="12" spans="1:15" ht="22.9" customHeight="1" x14ac:dyDescent="0.3">
      <c r="A12" s="15" t="str">
        <f>"시간당 작업량(㎥/hr) : " &amp;"Q = (3600*q9*k*f*E)/Cm = " &amp; L12</f>
        <v>시간당 작업량(㎥/hr) : Q = (3600*q9*k*f*E)/Cm = 20.3478256</v>
      </c>
      <c r="B12" s="17">
        <v>0</v>
      </c>
      <c r="C12" s="17">
        <v>0</v>
      </c>
      <c r="D12" s="17">
        <v>0</v>
      </c>
      <c r="E12" s="17">
        <v>0</v>
      </c>
      <c r="F12" s="17"/>
      <c r="J12">
        <v>0</v>
      </c>
      <c r="K12" t="s">
        <v>151</v>
      </c>
      <c r="L12">
        <f>ROUNDDOWN((3600*L7*L8*L9*L10)/L11, 7)</f>
        <v>20.3478256</v>
      </c>
    </row>
    <row r="13" spans="1:15" ht="22.9" customHeight="1" x14ac:dyDescent="0.3">
      <c r="A13" s="15" t="str">
        <f>"재료비 : " &amp; TEXT(TRUNC(M13,0), "#,##0") &amp; " / 20.3478256"</f>
        <v>재료비 : 10,024 / 20.3478256</v>
      </c>
      <c r="B13" s="17">
        <f>ROUNDDOWN(M6/L12, 1)</f>
        <v>492.6</v>
      </c>
      <c r="C13" s="17">
        <v>0</v>
      </c>
      <c r="D13" s="17">
        <v>0</v>
      </c>
      <c r="E13" s="17">
        <f>B13+C13+D13</f>
        <v>492.6</v>
      </c>
      <c r="F13" s="17"/>
      <c r="I13" s="1" t="s">
        <v>107</v>
      </c>
      <c r="J13">
        <v>1</v>
      </c>
      <c r="L13">
        <v>0</v>
      </c>
      <c r="M13">
        <f>M6</f>
        <v>10024</v>
      </c>
    </row>
    <row r="14" spans="1:15" ht="22.9" customHeight="1" x14ac:dyDescent="0.3">
      <c r="A14" s="15" t="str">
        <f>"노무비 : " &amp; TEXT(TRUNC(N14,0), "#,##0") &amp; " / 20.3478256"</f>
        <v>노무비 : 59,020 / 20.3478256</v>
      </c>
      <c r="B14" s="17">
        <v>0</v>
      </c>
      <c r="C14" s="17">
        <f>ROUNDDOWN(N6/L12, 1)</f>
        <v>2900.5</v>
      </c>
      <c r="D14" s="17">
        <v>0</v>
      </c>
      <c r="E14" s="17">
        <f>B14+C14+D14</f>
        <v>2900.5</v>
      </c>
      <c r="F14" s="17"/>
      <c r="I14" s="1" t="s">
        <v>107</v>
      </c>
      <c r="J14">
        <v>1</v>
      </c>
      <c r="L14">
        <v>0</v>
      </c>
      <c r="N14">
        <f>N6</f>
        <v>59020</v>
      </c>
    </row>
    <row r="15" spans="1:15" ht="22.9" customHeight="1" x14ac:dyDescent="0.3">
      <c r="A15" s="15" t="str">
        <f>"경  비 : " &amp; TEXT(TRUNC(O15,0), "#,##0") &amp; " / 20.3478256"</f>
        <v>경  비 : 13,873 / 20.3478256</v>
      </c>
      <c r="B15" s="17">
        <v>0</v>
      </c>
      <c r="C15" s="17">
        <v>0</v>
      </c>
      <c r="D15" s="17">
        <f>ROUNDDOWN(O6/L12, 1)</f>
        <v>681.7</v>
      </c>
      <c r="E15" s="17">
        <f>B15+C15+D15</f>
        <v>681.7</v>
      </c>
      <c r="F15" s="17"/>
      <c r="I15" s="1" t="s">
        <v>107</v>
      </c>
      <c r="J15">
        <v>1</v>
      </c>
      <c r="L15">
        <v>0</v>
      </c>
      <c r="O15">
        <f>O6</f>
        <v>13873</v>
      </c>
    </row>
    <row r="16" spans="1:15" ht="22.9" customHeight="1" x14ac:dyDescent="0.3">
      <c r="A16" s="15" t="s">
        <v>108</v>
      </c>
      <c r="B16" s="17">
        <f>SUMIF(J6:J15, "1", B6:B15)</f>
        <v>492.6</v>
      </c>
      <c r="C16" s="17">
        <f>SUMIF(J6:J15, "1", C6:C15)</f>
        <v>2900.5</v>
      </c>
      <c r="D16" s="17">
        <f>SUMIF(J6:J15, "1", D6:D15)</f>
        <v>681.7</v>
      </c>
      <c r="E16" s="17">
        <f>B16+C16+D16</f>
        <v>4074.8</v>
      </c>
      <c r="F16" s="17"/>
      <c r="J16">
        <v>0</v>
      </c>
      <c r="L16">
        <v>0</v>
      </c>
    </row>
    <row r="17" spans="1:15" ht="22.9" customHeight="1" x14ac:dyDescent="0.3">
      <c r="A17" s="18" t="s">
        <v>119</v>
      </c>
      <c r="B17" s="21">
        <f>ROUNDDOWN(SUMIF(J6:J16, "1", B6:B16), 0)</f>
        <v>492</v>
      </c>
      <c r="C17" s="21">
        <f>ROUNDDOWN(SUMIF(J6:J16, "1", C6:C16), 0)</f>
        <v>2900</v>
      </c>
      <c r="D17" s="21">
        <f>ROUNDDOWN(SUMIF(J6:J16, "1", D6:D16), 0)</f>
        <v>681</v>
      </c>
      <c r="E17" s="21">
        <f>B17+C17+D17</f>
        <v>4073</v>
      </c>
      <c r="F17" s="21"/>
    </row>
    <row r="18" spans="1:15" ht="22.9" customHeight="1" x14ac:dyDescent="0.3">
      <c r="A18" s="15"/>
      <c r="B18" s="17"/>
      <c r="C18" s="17"/>
      <c r="D18" s="17"/>
      <c r="E18" s="17"/>
      <c r="F18" s="17"/>
    </row>
    <row r="19" spans="1:15" ht="22.9" customHeight="1" x14ac:dyDescent="0.3">
      <c r="A19" s="66" t="s">
        <v>152</v>
      </c>
      <c r="B19" s="67"/>
      <c r="C19" s="67"/>
      <c r="D19" s="67"/>
      <c r="E19" s="67"/>
      <c r="F19" s="26"/>
    </row>
    <row r="20" spans="1:15" ht="22.9" customHeight="1" x14ac:dyDescent="0.3">
      <c r="A20" s="15" t="s">
        <v>153</v>
      </c>
      <c r="B20" s="17">
        <v>0</v>
      </c>
      <c r="C20" s="17">
        <v>0</v>
      </c>
      <c r="D20" s="17">
        <v>0</v>
      </c>
      <c r="E20" s="17">
        <v>0</v>
      </c>
      <c r="F20" s="17"/>
      <c r="J20">
        <v>0</v>
      </c>
      <c r="L20">
        <v>0</v>
      </c>
    </row>
    <row r="21" spans="1:15" ht="22.9" customHeight="1" x14ac:dyDescent="0.3">
      <c r="A21" s="15" t="s">
        <v>154</v>
      </c>
      <c r="B21" s="17"/>
      <c r="C21" s="17"/>
      <c r="D21" s="17"/>
      <c r="E21" s="17"/>
      <c r="F21" s="25" t="s">
        <v>131</v>
      </c>
      <c r="J21">
        <v>0</v>
      </c>
      <c r="L21">
        <v>1</v>
      </c>
      <c r="M21">
        <f>중기경비목록!G5</f>
        <v>10024</v>
      </c>
      <c r="N21">
        <f>중기경비목록!I5</f>
        <v>59020</v>
      </c>
      <c r="O21">
        <f>중기경비목록!K5</f>
        <v>13873</v>
      </c>
    </row>
    <row r="22" spans="1:15" ht="22.9" customHeight="1" x14ac:dyDescent="0.3">
      <c r="A22" s="15" t="str">
        <f>" 버킷용량(㎥) : " &amp;"q1 = " &amp; L22</f>
        <v xml:space="preserve"> 버킷용량(㎥) : q1 = 0.2</v>
      </c>
      <c r="B22" s="17">
        <v>0</v>
      </c>
      <c r="C22" s="17">
        <v>0</v>
      </c>
      <c r="D22" s="17">
        <v>0</v>
      </c>
      <c r="E22" s="17">
        <v>0</v>
      </c>
      <c r="F22" s="17"/>
      <c r="J22">
        <v>0</v>
      </c>
      <c r="K22" t="s">
        <v>155</v>
      </c>
      <c r="L22">
        <v>0.2</v>
      </c>
    </row>
    <row r="23" spans="1:15" ht="22.9" customHeight="1" x14ac:dyDescent="0.3">
      <c r="A23" s="15" t="str">
        <f>" 버킷계수 : " &amp;"k = " &amp; L23</f>
        <v xml:space="preserve"> 버킷계수 : k = 1.1</v>
      </c>
      <c r="B23" s="17">
        <v>0</v>
      </c>
      <c r="C23" s="17">
        <v>0</v>
      </c>
      <c r="D23" s="17">
        <v>0</v>
      </c>
      <c r="E23" s="17">
        <v>0</v>
      </c>
      <c r="F23" s="17"/>
      <c r="J23">
        <v>0</v>
      </c>
      <c r="K23" t="s">
        <v>147</v>
      </c>
      <c r="L23">
        <v>1.1000000000000001</v>
      </c>
    </row>
    <row r="24" spans="1:15" ht="22.9" customHeight="1" x14ac:dyDescent="0.3">
      <c r="A24" s="15" t="str">
        <f>" 토량환산계수 : " &amp;"f = 0.98/1.24 = " &amp; L24</f>
        <v xml:space="preserve"> 토량환산계수 : f = 0.98/1.24 = 0.7903225</v>
      </c>
      <c r="B24" s="17">
        <v>0</v>
      </c>
      <c r="C24" s="17">
        <v>0</v>
      </c>
      <c r="D24" s="17">
        <v>0</v>
      </c>
      <c r="E24" s="17">
        <v>0</v>
      </c>
      <c r="F24" s="17"/>
      <c r="J24">
        <v>0</v>
      </c>
      <c r="K24" t="s">
        <v>148</v>
      </c>
      <c r="L24">
        <v>0.79032250000000004</v>
      </c>
    </row>
    <row r="25" spans="1:15" ht="22.9" customHeight="1" x14ac:dyDescent="0.3">
      <c r="A25" s="15" t="str">
        <f>" 작업효율 : " &amp;"E = (0.75+0.65)/2 = " &amp; L25</f>
        <v xml:space="preserve"> 작업효율 : E = (0.75+0.65)/2 = 0.7</v>
      </c>
      <c r="B25" s="17">
        <v>0</v>
      </c>
      <c r="C25" s="17">
        <v>0</v>
      </c>
      <c r="D25" s="17">
        <v>0</v>
      </c>
      <c r="E25" s="17">
        <v>0</v>
      </c>
      <c r="F25" s="17"/>
      <c r="J25">
        <v>0</v>
      </c>
      <c r="K25" t="s">
        <v>149</v>
      </c>
      <c r="L25">
        <v>0.7</v>
      </c>
    </row>
    <row r="26" spans="1:15" ht="22.9" customHeight="1" x14ac:dyDescent="0.3">
      <c r="A26" s="15" t="str">
        <f>" 1회사이클시간(초) : " &amp;"Cm = " &amp; L26</f>
        <v xml:space="preserve"> 1회사이클시간(초) : Cm = 18</v>
      </c>
      <c r="B26" s="17">
        <v>0</v>
      </c>
      <c r="C26" s="17">
        <v>0</v>
      </c>
      <c r="D26" s="17">
        <v>0</v>
      </c>
      <c r="E26" s="17">
        <v>0</v>
      </c>
      <c r="F26" s="17"/>
      <c r="J26">
        <v>0</v>
      </c>
      <c r="K26" t="s">
        <v>150</v>
      </c>
      <c r="L26">
        <v>18</v>
      </c>
    </row>
    <row r="27" spans="1:15" ht="22.9" customHeight="1" x14ac:dyDescent="0.3">
      <c r="A27" s="15" t="str">
        <f>" 시간당작업량(㎥/hr) : " &amp;"Q = (3600*q1*k*f*E)/Cm = " &amp; L27</f>
        <v xml:space="preserve"> 시간당작업량(㎥/hr) : Q = (3600*q1*k*f*E)/Cm = 24.341933</v>
      </c>
      <c r="B27" s="17">
        <v>0</v>
      </c>
      <c r="C27" s="17">
        <v>0</v>
      </c>
      <c r="D27" s="17">
        <v>0</v>
      </c>
      <c r="E27" s="17">
        <v>0</v>
      </c>
      <c r="F27" s="17"/>
      <c r="J27">
        <v>0</v>
      </c>
      <c r="K27" t="s">
        <v>151</v>
      </c>
      <c r="L27">
        <f>ROUNDDOWN((3600*L22*L23*L24*L25)/L26, 7)</f>
        <v>24.341933000000001</v>
      </c>
    </row>
    <row r="28" spans="1:15" ht="22.9" customHeight="1" x14ac:dyDescent="0.3">
      <c r="A28" s="15" t="str">
        <f>" 재료비 : " &amp; TEXT(TRUNC(M28,0), "#,##0") &amp; " / 24.341933"</f>
        <v xml:space="preserve"> 재료비 : 10,024 / 24.341933</v>
      </c>
      <c r="B28" s="17">
        <f>ROUNDDOWN(M21/L27, 1)</f>
        <v>411.7</v>
      </c>
      <c r="C28" s="17">
        <v>0</v>
      </c>
      <c r="D28" s="17">
        <v>0</v>
      </c>
      <c r="E28" s="17">
        <f>B28+C28+D28</f>
        <v>411.7</v>
      </c>
      <c r="F28" s="17"/>
      <c r="I28" s="1" t="s">
        <v>107</v>
      </c>
      <c r="J28">
        <v>1</v>
      </c>
      <c r="L28">
        <v>0</v>
      </c>
      <c r="M28">
        <f>M21</f>
        <v>10024</v>
      </c>
    </row>
    <row r="29" spans="1:15" ht="22.9" customHeight="1" x14ac:dyDescent="0.3">
      <c r="A29" s="15" t="str">
        <f>" 노무비 : " &amp; TEXT(TRUNC(N29,0), "#,##0") &amp; " / 24.341933"</f>
        <v xml:space="preserve"> 노무비 : 59,020 / 24.341933</v>
      </c>
      <c r="B29" s="17">
        <v>0</v>
      </c>
      <c r="C29" s="17">
        <f>ROUNDDOWN(N21/L27, 1)</f>
        <v>2424.6</v>
      </c>
      <c r="D29" s="17">
        <v>0</v>
      </c>
      <c r="E29" s="17">
        <f>B29+C29+D29</f>
        <v>2424.6</v>
      </c>
      <c r="F29" s="17"/>
      <c r="I29" s="1" t="s">
        <v>107</v>
      </c>
      <c r="J29">
        <v>1</v>
      </c>
      <c r="L29">
        <v>0</v>
      </c>
      <c r="N29">
        <f>N21</f>
        <v>59020</v>
      </c>
    </row>
    <row r="30" spans="1:15" ht="22.9" customHeight="1" x14ac:dyDescent="0.3">
      <c r="A30" s="15" t="str">
        <f>" 경  비 : " &amp; TEXT(TRUNC(O30,0), "#,##0") &amp; " / 24.341933"</f>
        <v xml:space="preserve"> 경  비 : 13,873 / 24.341933</v>
      </c>
      <c r="B30" s="17">
        <v>0</v>
      </c>
      <c r="C30" s="17">
        <v>0</v>
      </c>
      <c r="D30" s="17">
        <f>ROUNDDOWN(O21/L27, 1)</f>
        <v>569.9</v>
      </c>
      <c r="E30" s="17">
        <f>B30+C30+D30</f>
        <v>569.9</v>
      </c>
      <c r="F30" s="17"/>
      <c r="I30" s="1" t="s">
        <v>107</v>
      </c>
      <c r="J30">
        <v>1</v>
      </c>
      <c r="L30">
        <v>0</v>
      </c>
      <c r="O30">
        <f>O21</f>
        <v>13873</v>
      </c>
    </row>
    <row r="31" spans="1:15" ht="22.9" customHeight="1" x14ac:dyDescent="0.3">
      <c r="A31" s="15" t="s">
        <v>156</v>
      </c>
      <c r="B31" s="17">
        <f>SUMIF(J21:J30, "1", B21:B30)</f>
        <v>411.7</v>
      </c>
      <c r="C31" s="17">
        <f>SUMIF(J21:J30, "1", C21:C30)</f>
        <v>2424.6</v>
      </c>
      <c r="D31" s="17">
        <f>SUMIF(J21:J30, "1", D21:D30)</f>
        <v>569.9</v>
      </c>
      <c r="E31" s="17">
        <f>B31+C31+D31</f>
        <v>3406.2</v>
      </c>
      <c r="F31" s="17"/>
      <c r="J31">
        <v>0</v>
      </c>
      <c r="L31">
        <v>0</v>
      </c>
    </row>
    <row r="32" spans="1:15" ht="22.9" customHeight="1" x14ac:dyDescent="0.3">
      <c r="A32" s="15" t="s">
        <v>157</v>
      </c>
      <c r="B32" s="17">
        <v>0</v>
      </c>
      <c r="C32" s="17">
        <v>0</v>
      </c>
      <c r="D32" s="17">
        <v>0</v>
      </c>
      <c r="E32" s="17">
        <v>0</v>
      </c>
      <c r="F32" s="17"/>
      <c r="J32">
        <v>0</v>
      </c>
      <c r="L32">
        <v>0</v>
      </c>
    </row>
    <row r="33" spans="1:15" ht="22.9" customHeight="1" x14ac:dyDescent="0.3">
      <c r="A33" s="15" t="s">
        <v>158</v>
      </c>
      <c r="B33" s="17"/>
      <c r="C33" s="17"/>
      <c r="D33" s="17"/>
      <c r="E33" s="17"/>
      <c r="F33" s="25" t="s">
        <v>138</v>
      </c>
      <c r="J33">
        <v>0</v>
      </c>
      <c r="L33">
        <v>1</v>
      </c>
      <c r="M33">
        <f>중기경비목록!G7</f>
        <v>2011</v>
      </c>
      <c r="N33">
        <f>중기경비목록!I7</f>
        <v>36248</v>
      </c>
      <c r="O33">
        <f>중기경비목록!K7</f>
        <v>620</v>
      </c>
    </row>
    <row r="34" spans="1:15" ht="22.9" customHeight="1" x14ac:dyDescent="0.3">
      <c r="A34" s="15" t="str">
        <f>" 다짐속도(Km/hr) : " &amp;"V = " &amp; L34</f>
        <v xml:space="preserve"> 다짐속도(Km/hr) : V = 1</v>
      </c>
      <c r="B34" s="17">
        <v>0</v>
      </c>
      <c r="C34" s="17">
        <v>0</v>
      </c>
      <c r="D34" s="17">
        <v>0</v>
      </c>
      <c r="E34" s="17">
        <v>0</v>
      </c>
      <c r="F34" s="17"/>
      <c r="J34">
        <v>0</v>
      </c>
      <c r="K34" t="s">
        <v>159</v>
      </c>
      <c r="L34">
        <v>1</v>
      </c>
    </row>
    <row r="35" spans="1:15" ht="22.9" customHeight="1" x14ac:dyDescent="0.3">
      <c r="A35" s="15" t="str">
        <f>" 롤러의 유효다짐폭(M) : " &amp;"W = " &amp; L35</f>
        <v xml:space="preserve"> 롤러의 유효다짐폭(M) : W = 0.45</v>
      </c>
      <c r="B35" s="17">
        <v>0</v>
      </c>
      <c r="C35" s="17">
        <v>0</v>
      </c>
      <c r="D35" s="17">
        <v>0</v>
      </c>
      <c r="E35" s="17">
        <v>0</v>
      </c>
      <c r="F35" s="17"/>
      <c r="J35">
        <v>0</v>
      </c>
      <c r="K35" t="s">
        <v>160</v>
      </c>
      <c r="L35">
        <v>0.45</v>
      </c>
    </row>
    <row r="36" spans="1:15" ht="22.9" customHeight="1" x14ac:dyDescent="0.3">
      <c r="A36" s="15" t="str">
        <f>" 펴는 흙의 두께(M) : " &amp;"D = " &amp; L36</f>
        <v xml:space="preserve"> 펴는 흙의 두께(M) : D = 0.1</v>
      </c>
      <c r="B36" s="17">
        <v>0</v>
      </c>
      <c r="C36" s="17">
        <v>0</v>
      </c>
      <c r="D36" s="17">
        <v>0</v>
      </c>
      <c r="E36" s="17">
        <v>0</v>
      </c>
      <c r="F36" s="17"/>
      <c r="J36">
        <v>0</v>
      </c>
      <c r="K36" t="s">
        <v>161</v>
      </c>
      <c r="L36">
        <v>0.1</v>
      </c>
    </row>
    <row r="37" spans="1:15" ht="22.9" customHeight="1" x14ac:dyDescent="0.3">
      <c r="A37" s="15" t="str">
        <f>" 작업효율 : " &amp;"E = " &amp; L37</f>
        <v xml:space="preserve"> 작업효율 : E = 0.6</v>
      </c>
      <c r="B37" s="17">
        <v>0</v>
      </c>
      <c r="C37" s="17">
        <v>0</v>
      </c>
      <c r="D37" s="17">
        <v>0</v>
      </c>
      <c r="E37" s="17">
        <v>0</v>
      </c>
      <c r="F37" s="17"/>
      <c r="J37">
        <v>0</v>
      </c>
      <c r="K37" t="s">
        <v>149</v>
      </c>
      <c r="L37">
        <v>0.6</v>
      </c>
    </row>
    <row r="38" spans="1:15" ht="22.9" customHeight="1" x14ac:dyDescent="0.3">
      <c r="A38" s="15" t="str">
        <f>" 토량환산계수 : " &amp;"f = " &amp; L38</f>
        <v xml:space="preserve"> 토량환산계수 : f = 1</v>
      </c>
      <c r="B38" s="17">
        <v>0</v>
      </c>
      <c r="C38" s="17">
        <v>0</v>
      </c>
      <c r="D38" s="17">
        <v>0</v>
      </c>
      <c r="E38" s="17">
        <v>0</v>
      </c>
      <c r="F38" s="17"/>
      <c r="J38">
        <v>0</v>
      </c>
      <c r="K38" t="s">
        <v>148</v>
      </c>
      <c r="L38">
        <v>1</v>
      </c>
    </row>
    <row r="39" spans="1:15" ht="22.9" customHeight="1" x14ac:dyDescent="0.3">
      <c r="A39" s="15" t="str">
        <f>" 소요다짐횟수 : " &amp;"N = " &amp; L39</f>
        <v xml:space="preserve"> 소요다짐횟수 : N = 3</v>
      </c>
      <c r="B39" s="17">
        <v>0</v>
      </c>
      <c r="C39" s="17">
        <v>0</v>
      </c>
      <c r="D39" s="17">
        <v>0</v>
      </c>
      <c r="E39" s="17">
        <v>0</v>
      </c>
      <c r="F39" s="17"/>
      <c r="J39">
        <v>0</v>
      </c>
      <c r="K39" t="s">
        <v>162</v>
      </c>
      <c r="L39">
        <v>3</v>
      </c>
    </row>
    <row r="40" spans="1:15" ht="22.9" customHeight="1" x14ac:dyDescent="0.3">
      <c r="A40" s="15" t="str">
        <f>" 시간당 다짐토량 : " &amp;"Q = 1000*V*W*D*E*f/N = " &amp; L40</f>
        <v xml:space="preserve"> 시간당 다짐토량 : Q = 1000*V*W*D*E*f/N = 9</v>
      </c>
      <c r="B40" s="17">
        <v>0</v>
      </c>
      <c r="C40" s="17">
        <v>0</v>
      </c>
      <c r="D40" s="17">
        <v>0</v>
      </c>
      <c r="E40" s="17">
        <v>0</v>
      </c>
      <c r="F40" s="17"/>
      <c r="J40">
        <v>0</v>
      </c>
      <c r="K40" t="s">
        <v>151</v>
      </c>
      <c r="L40">
        <f>ROUNDDOWN(1000*L34*L35*L36*L37*L38/L39, 7)</f>
        <v>9</v>
      </c>
    </row>
    <row r="41" spans="1:15" ht="22.9" customHeight="1" x14ac:dyDescent="0.3">
      <c r="A41" s="15" t="str">
        <f>" 재료비 : " &amp; TEXT(TRUNC(M41,0), "#,##0") &amp; " / 9"</f>
        <v xml:space="preserve"> 재료비 : 2,011 / 9</v>
      </c>
      <c r="B41" s="17">
        <f>ROUNDDOWN(M33/L40, 1)</f>
        <v>223.4</v>
      </c>
      <c r="C41" s="17">
        <v>0</v>
      </c>
      <c r="D41" s="17">
        <v>0</v>
      </c>
      <c r="E41" s="17">
        <f>B41+C41+D41</f>
        <v>223.4</v>
      </c>
      <c r="F41" s="17"/>
      <c r="I41" s="1" t="s">
        <v>107</v>
      </c>
      <c r="J41">
        <v>1</v>
      </c>
      <c r="L41">
        <v>0</v>
      </c>
      <c r="M41">
        <f>M33</f>
        <v>2011</v>
      </c>
    </row>
    <row r="42" spans="1:15" ht="22.9" customHeight="1" x14ac:dyDescent="0.3">
      <c r="A42" s="15" t="str">
        <f>" 노무비 : " &amp; TEXT(TRUNC(N42,0), "#,##0") &amp; " / 9"</f>
        <v xml:space="preserve"> 노무비 : 36,248 / 9</v>
      </c>
      <c r="B42" s="17">
        <v>0</v>
      </c>
      <c r="C42" s="17">
        <f>ROUNDDOWN(N33/L40, 1)</f>
        <v>4027.5</v>
      </c>
      <c r="D42" s="17">
        <v>0</v>
      </c>
      <c r="E42" s="17">
        <f>B42+C42+D42</f>
        <v>4027.5</v>
      </c>
      <c r="F42" s="17"/>
      <c r="I42" s="1" t="s">
        <v>107</v>
      </c>
      <c r="J42">
        <v>1</v>
      </c>
      <c r="L42">
        <v>0</v>
      </c>
      <c r="N42">
        <f>N33</f>
        <v>36248</v>
      </c>
    </row>
    <row r="43" spans="1:15" ht="22.9" customHeight="1" x14ac:dyDescent="0.3">
      <c r="A43" s="15" t="str">
        <f>" 경  비 : " &amp; TEXT(TRUNC(O43,0), "#,##0") &amp; " / 9"</f>
        <v xml:space="preserve"> 경  비 : 620 / 9</v>
      </c>
      <c r="B43" s="17">
        <v>0</v>
      </c>
      <c r="C43" s="17">
        <v>0</v>
      </c>
      <c r="D43" s="17">
        <f>ROUNDDOWN(O33/L40, 1)</f>
        <v>68.8</v>
      </c>
      <c r="E43" s="17">
        <f>B43+C43+D43</f>
        <v>68.8</v>
      </c>
      <c r="F43" s="17"/>
      <c r="I43" s="1" t="s">
        <v>107</v>
      </c>
      <c r="J43">
        <v>1</v>
      </c>
      <c r="L43">
        <v>0</v>
      </c>
      <c r="O43">
        <f>O33</f>
        <v>620</v>
      </c>
    </row>
    <row r="44" spans="1:15" ht="22.9" customHeight="1" x14ac:dyDescent="0.3">
      <c r="A44" s="15" t="s">
        <v>156</v>
      </c>
      <c r="B44" s="17">
        <f>SUMIF(J33:J43, "1", B33:B43)</f>
        <v>223.4</v>
      </c>
      <c r="C44" s="17">
        <f>SUMIF(J33:J43, "1", C33:C43)</f>
        <v>4027.5</v>
      </c>
      <c r="D44" s="17">
        <f>SUMIF(J33:J43, "1", D33:D43)</f>
        <v>68.8</v>
      </c>
      <c r="E44" s="17">
        <f>B44+C44+D44</f>
        <v>4319.7</v>
      </c>
      <c r="F44" s="17"/>
      <c r="J44">
        <v>0</v>
      </c>
      <c r="L44">
        <v>0</v>
      </c>
    </row>
    <row r="45" spans="1:15" ht="22.9" customHeight="1" x14ac:dyDescent="0.3">
      <c r="A45" s="18" t="s">
        <v>119</v>
      </c>
      <c r="B45" s="21">
        <f>ROUNDDOWN(SUMIF(J20:J44, "1", B20:B44), 0)</f>
        <v>635</v>
      </c>
      <c r="C45" s="21">
        <f>ROUNDDOWN(SUMIF(J20:J44, "1", C20:C44), 0)</f>
        <v>6452</v>
      </c>
      <c r="D45" s="21">
        <f>ROUNDDOWN(SUMIF(J20:J44, "1", D20:D44), 0)</f>
        <v>638</v>
      </c>
      <c r="E45" s="21">
        <f>B45+C45+D45</f>
        <v>7725</v>
      </c>
      <c r="F45" s="21"/>
    </row>
    <row r="46" spans="1:15" ht="22.9" customHeight="1" x14ac:dyDescent="0.3">
      <c r="A46" s="15"/>
      <c r="B46" s="17"/>
      <c r="C46" s="17"/>
      <c r="D46" s="17"/>
      <c r="E46" s="17"/>
      <c r="F46" s="17"/>
    </row>
    <row r="47" spans="1:15" ht="22.9" customHeight="1" x14ac:dyDescent="0.3">
      <c r="A47" s="15"/>
      <c r="B47" s="17"/>
      <c r="C47" s="17"/>
      <c r="D47" s="17"/>
      <c r="E47" s="17"/>
      <c r="F47" s="17"/>
    </row>
    <row r="48" spans="1:15" ht="22.9" customHeight="1" x14ac:dyDescent="0.3">
      <c r="A48" s="15"/>
      <c r="B48" s="17"/>
      <c r="C48" s="17"/>
      <c r="D48" s="17"/>
      <c r="E48" s="17"/>
      <c r="F48" s="17"/>
    </row>
    <row r="49" spans="1:6" ht="22.9" customHeight="1" x14ac:dyDescent="0.3">
      <c r="A49" s="15"/>
      <c r="B49" s="17"/>
      <c r="C49" s="17"/>
      <c r="D49" s="17"/>
      <c r="E49" s="17"/>
      <c r="F49" s="17"/>
    </row>
    <row r="50" spans="1:6" ht="22.9" customHeight="1" x14ac:dyDescent="0.3">
      <c r="A50" s="15"/>
      <c r="B50" s="17"/>
      <c r="C50" s="17"/>
      <c r="D50" s="17"/>
      <c r="E50" s="17"/>
      <c r="F50" s="17"/>
    </row>
    <row r="51" spans="1:6" ht="22.9" customHeight="1" x14ac:dyDescent="0.3">
      <c r="A51" s="15"/>
      <c r="B51" s="17"/>
      <c r="C51" s="17"/>
      <c r="D51" s="17"/>
      <c r="E51" s="17"/>
      <c r="F51" s="17"/>
    </row>
    <row r="52" spans="1:6" ht="22.9" customHeight="1" x14ac:dyDescent="0.3">
      <c r="A52" s="15"/>
      <c r="B52" s="17"/>
      <c r="C52" s="17"/>
      <c r="D52" s="17"/>
      <c r="E52" s="17"/>
      <c r="F52" s="17"/>
    </row>
  </sheetData>
  <mergeCells count="10">
    <mergeCell ref="A5:E5"/>
    <mergeCell ref="A19:E19"/>
    <mergeCell ref="A1:F1"/>
    <mergeCell ref="A2:F2"/>
    <mergeCell ref="A3:A4"/>
    <mergeCell ref="F3:F4"/>
    <mergeCell ref="B3:B4"/>
    <mergeCell ref="C3:C4"/>
    <mergeCell ref="D3:D4"/>
    <mergeCell ref="E3:E4"/>
  </mergeCells>
  <phoneticPr fontId="1" type="noConversion"/>
  <conditionalFormatting sqref="A5 F5 A6:F52">
    <cfRule type="containsText" dxfId="19" priority="1" stopIfTrue="1" operator="containsText" text=".">
      <formula>NOT(ISERROR(SEARCH(".",A5)))</formula>
    </cfRule>
    <cfRule type="notContainsText" dxfId="18" priority="2" stopIfTrue="1" operator="notContains" text=".">
      <formula>ISERROR(SEARCH(".",A5))</formula>
    </cfRule>
  </conditionalFormatting>
  <pageMargins left="0.74803149606299213" right="0" top="0.55118110236220474" bottom="0.15748031496062992" header="0.31496062992125984" footer="0.15748031496062992"/>
  <pageSetup paperSize="9" scale="95" orientation="landscape" r:id="rId1"/>
  <rowBreaks count="3" manualBreakCount="3">
    <brk id="20" max="16383" man="1"/>
    <brk id="36" max="16383" man="1"/>
    <brk id="5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3AF50-6F8E-4031-AF93-8C6057C7D6A9}">
  <sheetPr>
    <tabColor rgb="FFF19D86"/>
  </sheetPr>
  <dimension ref="A1:O20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N1"/>
    </sheetView>
  </sheetViews>
  <sheetFormatPr defaultRowHeight="16.5" x14ac:dyDescent="0.3"/>
  <cols>
    <col min="1" max="1" width="6.75" style="3" customWidth="1"/>
    <col min="2" max="3" width="20.75" style="2" customWidth="1"/>
    <col min="4" max="4" width="4.75" style="3" customWidth="1"/>
    <col min="5" max="5" width="6.75" style="3" customWidth="1"/>
    <col min="6" max="6" width="6.75" style="4" customWidth="1"/>
    <col min="7" max="7" width="7.75" style="4" customWidth="1"/>
    <col min="8" max="8" width="6.75" style="4" customWidth="1"/>
    <col min="9" max="9" width="7.75" style="4" customWidth="1"/>
    <col min="10" max="10" width="6.75" style="4" customWidth="1"/>
    <col min="11" max="11" width="7.75" style="4" customWidth="1"/>
    <col min="12" max="12" width="6.75" style="4" customWidth="1"/>
    <col min="13" max="13" width="7.75" style="4" customWidth="1"/>
    <col min="14" max="14" width="6.75" style="2" customWidth="1"/>
    <col min="15" max="18" width="0" hidden="1" customWidth="1"/>
  </cols>
  <sheetData>
    <row r="1" spans="1:15" ht="30" customHeight="1" x14ac:dyDescent="0.3">
      <c r="A1" s="44" t="s">
        <v>124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5" ht="22.9" customHeight="1" x14ac:dyDescent="0.3">
      <c r="A2" s="45" t="s">
        <v>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5" ht="22.9" customHeight="1" x14ac:dyDescent="0.3">
      <c r="A3" s="53" t="s">
        <v>125</v>
      </c>
      <c r="B3" s="53" t="s">
        <v>4</v>
      </c>
      <c r="C3" s="53" t="s">
        <v>5</v>
      </c>
      <c r="D3" s="53" t="s">
        <v>6</v>
      </c>
      <c r="E3" s="53" t="s">
        <v>126</v>
      </c>
      <c r="F3" s="53" t="s">
        <v>127</v>
      </c>
      <c r="G3" s="53"/>
      <c r="H3" s="53" t="s">
        <v>128</v>
      </c>
      <c r="I3" s="53"/>
      <c r="J3" s="53" t="s">
        <v>129</v>
      </c>
      <c r="K3" s="53"/>
      <c r="L3" s="53" t="s">
        <v>130</v>
      </c>
      <c r="M3" s="53"/>
      <c r="N3" s="53" t="s">
        <v>93</v>
      </c>
    </row>
    <row r="4" spans="1:15" ht="22.9" customHeight="1" x14ac:dyDescent="0.3">
      <c r="A4" s="53"/>
      <c r="B4" s="53"/>
      <c r="C4" s="53"/>
      <c r="D4" s="53"/>
      <c r="E4" s="53"/>
      <c r="F4" s="12" t="s">
        <v>94</v>
      </c>
      <c r="G4" s="12" t="s">
        <v>95</v>
      </c>
      <c r="H4" s="12" t="s">
        <v>94</v>
      </c>
      <c r="I4" s="12" t="s">
        <v>95</v>
      </c>
      <c r="J4" s="12" t="s">
        <v>94</v>
      </c>
      <c r="K4" s="12" t="s">
        <v>95</v>
      </c>
      <c r="L4" s="12" t="s">
        <v>94</v>
      </c>
      <c r="M4" s="12" t="s">
        <v>95</v>
      </c>
      <c r="N4" s="53"/>
      <c r="O4" t="s">
        <v>18</v>
      </c>
    </row>
    <row r="5" spans="1:15" ht="22.9" customHeight="1" x14ac:dyDescent="0.3">
      <c r="A5" s="16" t="s">
        <v>131</v>
      </c>
      <c r="B5" s="14" t="s">
        <v>132</v>
      </c>
      <c r="C5" s="14" t="s">
        <v>133</v>
      </c>
      <c r="D5" s="16" t="s">
        <v>134</v>
      </c>
      <c r="E5" s="22">
        <v>1</v>
      </c>
      <c r="F5" s="17">
        <f>중기경비!F16</f>
        <v>10024</v>
      </c>
      <c r="G5" s="17">
        <f>E5*F5</f>
        <v>10024</v>
      </c>
      <c r="H5" s="17">
        <f>중기경비!H16</f>
        <v>59020</v>
      </c>
      <c r="I5" s="17">
        <f>E5*H5</f>
        <v>59020</v>
      </c>
      <c r="J5" s="17">
        <f>중기경비!J16</f>
        <v>13873</v>
      </c>
      <c r="K5" s="17">
        <f>E5*J5</f>
        <v>13873</v>
      </c>
      <c r="L5" s="17">
        <f t="shared" ref="L5:M7" si="0">F5+H5+J5</f>
        <v>82917</v>
      </c>
      <c r="M5" s="17">
        <f t="shared" si="0"/>
        <v>82917</v>
      </c>
      <c r="N5" s="14" t="s">
        <v>103</v>
      </c>
    </row>
    <row r="6" spans="1:15" ht="22.9" customHeight="1" x14ac:dyDescent="0.3">
      <c r="A6" s="16" t="s">
        <v>135</v>
      </c>
      <c r="B6" s="14" t="s">
        <v>136</v>
      </c>
      <c r="C6" s="14" t="s">
        <v>137</v>
      </c>
      <c r="D6" s="16" t="s">
        <v>134</v>
      </c>
      <c r="E6" s="22">
        <v>1</v>
      </c>
      <c r="F6" s="17">
        <f>중기경비!F29</f>
        <v>11532</v>
      </c>
      <c r="G6" s="17">
        <f>E6*F6</f>
        <v>11532</v>
      </c>
      <c r="H6" s="17">
        <f>중기경비!H29</f>
        <v>59020</v>
      </c>
      <c r="I6" s="17">
        <f>E6*H6</f>
        <v>59020</v>
      </c>
      <c r="J6" s="17">
        <f>중기경비!J29</f>
        <v>14120</v>
      </c>
      <c r="K6" s="17">
        <f>E6*J6</f>
        <v>14120</v>
      </c>
      <c r="L6" s="17">
        <f t="shared" si="0"/>
        <v>84672</v>
      </c>
      <c r="M6" s="17">
        <f t="shared" si="0"/>
        <v>84672</v>
      </c>
      <c r="N6" s="14" t="s">
        <v>121</v>
      </c>
    </row>
    <row r="7" spans="1:15" ht="22.9" customHeight="1" x14ac:dyDescent="0.3">
      <c r="A7" s="16" t="s">
        <v>138</v>
      </c>
      <c r="B7" s="14" t="s">
        <v>82</v>
      </c>
      <c r="C7" s="14" t="s">
        <v>139</v>
      </c>
      <c r="D7" s="16" t="s">
        <v>134</v>
      </c>
      <c r="E7" s="22">
        <v>1</v>
      </c>
      <c r="F7" s="17">
        <f>중기경비!F42</f>
        <v>2011</v>
      </c>
      <c r="G7" s="17">
        <f>E7*F7</f>
        <v>2011</v>
      </c>
      <c r="H7" s="17">
        <f>중기경비!H42</f>
        <v>36248</v>
      </c>
      <c r="I7" s="17">
        <f>E7*H7</f>
        <v>36248</v>
      </c>
      <c r="J7" s="17">
        <f>중기경비!J42</f>
        <v>620</v>
      </c>
      <c r="K7" s="17">
        <f>E7*J7</f>
        <v>620</v>
      </c>
      <c r="L7" s="17">
        <f t="shared" si="0"/>
        <v>38879</v>
      </c>
      <c r="M7" s="17">
        <f t="shared" si="0"/>
        <v>38879</v>
      </c>
      <c r="N7" s="14" t="s">
        <v>123</v>
      </c>
    </row>
    <row r="8" spans="1:15" ht="22.9" customHeight="1" x14ac:dyDescent="0.3">
      <c r="A8" s="22"/>
      <c r="B8" s="15"/>
      <c r="C8" s="15"/>
      <c r="D8" s="22"/>
      <c r="E8" s="22"/>
      <c r="F8" s="17"/>
      <c r="G8" s="17"/>
      <c r="H8" s="17"/>
      <c r="I8" s="17"/>
      <c r="J8" s="17"/>
      <c r="K8" s="17"/>
      <c r="L8" s="17"/>
      <c r="M8" s="17"/>
      <c r="N8" s="15"/>
    </row>
    <row r="9" spans="1:15" ht="22.9" customHeight="1" x14ac:dyDescent="0.3">
      <c r="A9" s="22"/>
      <c r="B9" s="15"/>
      <c r="C9" s="15"/>
      <c r="D9" s="22"/>
      <c r="E9" s="22"/>
      <c r="F9" s="17"/>
      <c r="G9" s="17"/>
      <c r="H9" s="17"/>
      <c r="I9" s="17"/>
      <c r="J9" s="17"/>
      <c r="K9" s="17"/>
      <c r="L9" s="17"/>
      <c r="M9" s="17"/>
      <c r="N9" s="15"/>
    </row>
    <row r="10" spans="1:15" ht="22.9" customHeight="1" x14ac:dyDescent="0.3">
      <c r="A10" s="22"/>
      <c r="B10" s="15"/>
      <c r="C10" s="15"/>
      <c r="D10" s="22"/>
      <c r="E10" s="22"/>
      <c r="F10" s="17"/>
      <c r="G10" s="17"/>
      <c r="H10" s="17"/>
      <c r="I10" s="17"/>
      <c r="J10" s="17"/>
      <c r="K10" s="17"/>
      <c r="L10" s="17"/>
      <c r="M10" s="17"/>
      <c r="N10" s="15"/>
    </row>
    <row r="11" spans="1:15" ht="22.9" customHeight="1" x14ac:dyDescent="0.3">
      <c r="A11" s="22"/>
      <c r="B11" s="15"/>
      <c r="C11" s="15"/>
      <c r="D11" s="22"/>
      <c r="E11" s="22"/>
      <c r="F11" s="17"/>
      <c r="G11" s="17"/>
      <c r="H11" s="17"/>
      <c r="I11" s="17"/>
      <c r="J11" s="17"/>
      <c r="K11" s="17"/>
      <c r="L11" s="17"/>
      <c r="M11" s="17"/>
      <c r="N11" s="15"/>
    </row>
    <row r="12" spans="1:15" ht="22.9" customHeight="1" x14ac:dyDescent="0.3">
      <c r="A12" s="22"/>
      <c r="B12" s="15"/>
      <c r="C12" s="15"/>
      <c r="D12" s="22"/>
      <c r="E12" s="22"/>
      <c r="F12" s="17"/>
      <c r="G12" s="17"/>
      <c r="H12" s="17"/>
      <c r="I12" s="17"/>
      <c r="J12" s="17"/>
      <c r="K12" s="17"/>
      <c r="L12" s="17"/>
      <c r="M12" s="17"/>
      <c r="N12" s="15"/>
    </row>
    <row r="13" spans="1:15" ht="22.9" customHeight="1" x14ac:dyDescent="0.3">
      <c r="A13" s="22"/>
      <c r="B13" s="15"/>
      <c r="C13" s="15"/>
      <c r="D13" s="22"/>
      <c r="E13" s="22"/>
      <c r="F13" s="17"/>
      <c r="G13" s="17"/>
      <c r="H13" s="17"/>
      <c r="I13" s="17"/>
      <c r="J13" s="17"/>
      <c r="K13" s="17"/>
      <c r="L13" s="17"/>
      <c r="M13" s="17"/>
      <c r="N13" s="15"/>
    </row>
    <row r="14" spans="1:15" ht="22.9" customHeight="1" x14ac:dyDescent="0.3">
      <c r="A14" s="22"/>
      <c r="B14" s="15"/>
      <c r="C14" s="15"/>
      <c r="D14" s="22"/>
      <c r="E14" s="22"/>
      <c r="F14" s="17"/>
      <c r="G14" s="17"/>
      <c r="H14" s="17"/>
      <c r="I14" s="17"/>
      <c r="J14" s="17"/>
      <c r="K14" s="17"/>
      <c r="L14" s="17"/>
      <c r="M14" s="17"/>
      <c r="N14" s="15"/>
    </row>
    <row r="15" spans="1:15" ht="22.9" customHeight="1" x14ac:dyDescent="0.3">
      <c r="A15" s="22"/>
      <c r="B15" s="15"/>
      <c r="C15" s="15"/>
      <c r="D15" s="22"/>
      <c r="E15" s="22"/>
      <c r="F15" s="17"/>
      <c r="G15" s="17"/>
      <c r="H15" s="17"/>
      <c r="I15" s="17"/>
      <c r="J15" s="17"/>
      <c r="K15" s="17"/>
      <c r="L15" s="17"/>
      <c r="M15" s="17"/>
      <c r="N15" s="15"/>
    </row>
    <row r="16" spans="1:15" ht="22.9" customHeight="1" x14ac:dyDescent="0.3">
      <c r="A16" s="22"/>
      <c r="B16" s="15"/>
      <c r="C16" s="15"/>
      <c r="D16" s="22"/>
      <c r="E16" s="22"/>
      <c r="F16" s="17"/>
      <c r="G16" s="17"/>
      <c r="H16" s="17"/>
      <c r="I16" s="17"/>
      <c r="J16" s="17"/>
      <c r="K16" s="17"/>
      <c r="L16" s="17"/>
      <c r="M16" s="17"/>
      <c r="N16" s="15"/>
    </row>
    <row r="17" spans="1:14" ht="22.9" customHeight="1" x14ac:dyDescent="0.3">
      <c r="A17" s="22"/>
      <c r="B17" s="15"/>
      <c r="C17" s="15"/>
      <c r="D17" s="22"/>
      <c r="E17" s="22"/>
      <c r="F17" s="17"/>
      <c r="G17" s="17"/>
      <c r="H17" s="17"/>
      <c r="I17" s="17"/>
      <c r="J17" s="17"/>
      <c r="K17" s="17"/>
      <c r="L17" s="17"/>
      <c r="M17" s="17"/>
      <c r="N17" s="15"/>
    </row>
    <row r="18" spans="1:14" ht="22.9" customHeight="1" x14ac:dyDescent="0.3">
      <c r="A18" s="22"/>
      <c r="B18" s="15"/>
      <c r="C18" s="15"/>
      <c r="D18" s="22"/>
      <c r="E18" s="22"/>
      <c r="F18" s="17"/>
      <c r="G18" s="17"/>
      <c r="H18" s="17"/>
      <c r="I18" s="17"/>
      <c r="J18" s="17"/>
      <c r="K18" s="17"/>
      <c r="L18" s="17"/>
      <c r="M18" s="17"/>
      <c r="N18" s="15"/>
    </row>
    <row r="19" spans="1:14" ht="22.9" customHeight="1" x14ac:dyDescent="0.3">
      <c r="A19" s="22"/>
      <c r="B19" s="15"/>
      <c r="C19" s="15"/>
      <c r="D19" s="22"/>
      <c r="E19" s="22"/>
      <c r="F19" s="17"/>
      <c r="G19" s="17"/>
      <c r="H19" s="17"/>
      <c r="I19" s="17"/>
      <c r="J19" s="17"/>
      <c r="K19" s="17"/>
      <c r="L19" s="17"/>
      <c r="M19" s="17"/>
      <c r="N19" s="15"/>
    </row>
    <row r="20" spans="1:14" ht="22.9" customHeight="1" x14ac:dyDescent="0.3">
      <c r="A20" s="22"/>
      <c r="B20" s="15"/>
      <c r="C20" s="15"/>
      <c r="D20" s="22"/>
      <c r="E20" s="22"/>
      <c r="F20" s="17"/>
      <c r="G20" s="17"/>
      <c r="H20" s="17"/>
      <c r="I20" s="17"/>
      <c r="J20" s="17"/>
      <c r="K20" s="17"/>
      <c r="L20" s="17"/>
      <c r="M20" s="17"/>
      <c r="N20" s="15"/>
    </row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1" type="noConversion"/>
  <conditionalFormatting sqref="A5:N20">
    <cfRule type="containsText" dxfId="17" priority="1" stopIfTrue="1" operator="containsText" text=".">
      <formula>NOT(ISERROR(SEARCH(".",A5)))</formula>
    </cfRule>
    <cfRule type="notContainsText" dxfId="16" priority="2" stopIfTrue="1" operator="notContains" text=".">
      <formula>ISERROR(SEARCH(".",A5))</formula>
    </cfRule>
  </conditionalFormatting>
  <pageMargins left="0.74555149110298213" right="0" top="0.54870109740219475" bottom="0.1388888888888889" header="0.3" footer="0.1388888888888889"/>
  <pageSetup paperSize="9" orientation="landscape" r:id="rId1"/>
  <rowBreaks count="1" manualBreakCount="1">
    <brk id="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6A8E9-6E3F-42C5-ABAC-AB61051F49DC}">
  <sheetPr>
    <tabColor rgb="FFFFFFB7"/>
  </sheetPr>
  <dimension ref="A1:T52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M1"/>
    </sheetView>
  </sheetViews>
  <sheetFormatPr defaultRowHeight="16.5" x14ac:dyDescent="0.3"/>
  <cols>
    <col min="1" max="2" width="20.75" style="2" customWidth="1"/>
    <col min="3" max="3" width="4.75" style="3" customWidth="1"/>
    <col min="4" max="5" width="6.75" style="4" customWidth="1"/>
    <col min="6" max="6" width="9.75" style="4" customWidth="1"/>
    <col min="7" max="7" width="6.75" style="4" customWidth="1"/>
    <col min="8" max="8" width="9.75" style="4" customWidth="1"/>
    <col min="9" max="9" width="6.75" style="4" customWidth="1"/>
    <col min="10" max="10" width="9.75" style="4" customWidth="1"/>
    <col min="11" max="11" width="6.75" style="4" customWidth="1"/>
    <col min="12" max="12" width="9.75" style="4" customWidth="1"/>
    <col min="13" max="13" width="8.75" style="2" customWidth="1"/>
    <col min="14" max="20" width="0" hidden="1" customWidth="1"/>
  </cols>
  <sheetData>
    <row r="1" spans="1:20" ht="30" customHeight="1" x14ac:dyDescent="0.3">
      <c r="A1" s="44" t="s">
        <v>85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20" ht="22.9" customHeight="1" x14ac:dyDescent="0.3">
      <c r="A2" s="45" t="s">
        <v>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0" ht="22.9" customHeight="1" x14ac:dyDescent="0.3">
      <c r="A3" s="53" t="s">
        <v>86</v>
      </c>
      <c r="B3" s="53" t="s">
        <v>87</v>
      </c>
      <c r="C3" s="53" t="s">
        <v>6</v>
      </c>
      <c r="D3" s="53" t="s">
        <v>88</v>
      </c>
      <c r="E3" s="53" t="s">
        <v>89</v>
      </c>
      <c r="F3" s="53"/>
      <c r="G3" s="53" t="s">
        <v>90</v>
      </c>
      <c r="H3" s="53"/>
      <c r="I3" s="53" t="s">
        <v>91</v>
      </c>
      <c r="J3" s="53"/>
      <c r="K3" s="53" t="s">
        <v>92</v>
      </c>
      <c r="L3" s="53"/>
      <c r="M3" s="53" t="s">
        <v>93</v>
      </c>
    </row>
    <row r="4" spans="1:20" ht="22.9" customHeight="1" x14ac:dyDescent="0.3">
      <c r="A4" s="53"/>
      <c r="B4" s="53"/>
      <c r="C4" s="53"/>
      <c r="D4" s="53"/>
      <c r="E4" s="12" t="s">
        <v>94</v>
      </c>
      <c r="F4" s="12" t="s">
        <v>95</v>
      </c>
      <c r="G4" s="12" t="s">
        <v>94</v>
      </c>
      <c r="H4" s="12" t="s">
        <v>95</v>
      </c>
      <c r="I4" s="12" t="s">
        <v>94</v>
      </c>
      <c r="J4" s="12" t="s">
        <v>95</v>
      </c>
      <c r="K4" s="12" t="s">
        <v>94</v>
      </c>
      <c r="L4" s="12" t="s">
        <v>95</v>
      </c>
      <c r="M4" s="53"/>
      <c r="N4" t="s">
        <v>96</v>
      </c>
      <c r="O4" t="s">
        <v>97</v>
      </c>
      <c r="P4" t="s">
        <v>98</v>
      </c>
      <c r="Q4" t="s">
        <v>99</v>
      </c>
      <c r="R4" t="s">
        <v>100</v>
      </c>
      <c r="S4" t="s">
        <v>101</v>
      </c>
      <c r="T4" t="s">
        <v>18</v>
      </c>
    </row>
    <row r="5" spans="1:20" ht="22.9" customHeight="1" x14ac:dyDescent="0.3">
      <c r="A5" s="63" t="s">
        <v>102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5"/>
      <c r="M5" s="13" t="s">
        <v>103</v>
      </c>
    </row>
    <row r="6" spans="1:20" ht="22.9" customHeight="1" x14ac:dyDescent="0.3">
      <c r="A6" s="14" t="s">
        <v>104</v>
      </c>
      <c r="B6" s="15"/>
      <c r="C6" s="16" t="s">
        <v>105</v>
      </c>
      <c r="D6" s="17"/>
      <c r="E6" s="17"/>
      <c r="F6" s="17">
        <f>ROUNDDOWN(D6*E6, 1)</f>
        <v>0</v>
      </c>
      <c r="G6" s="17"/>
      <c r="H6" s="17">
        <f>ROUNDDOWN(D6*G6, 1)</f>
        <v>0</v>
      </c>
      <c r="I6" s="17"/>
      <c r="J6" s="17">
        <f>ROUNDDOWN(D6*I6, 1)</f>
        <v>0</v>
      </c>
      <c r="K6" s="17">
        <f t="shared" ref="K6:K15" si="0">E6+G6+I6</f>
        <v>0</v>
      </c>
      <c r="L6" s="17">
        <f t="shared" ref="L6:L15" si="1">F6+H6+J6</f>
        <v>0</v>
      </c>
      <c r="M6" s="15"/>
    </row>
    <row r="7" spans="1:20" ht="22.9" customHeight="1" x14ac:dyDescent="0.3">
      <c r="A7" s="14" t="s">
        <v>75</v>
      </c>
      <c r="B7" s="14" t="s">
        <v>76</v>
      </c>
      <c r="C7" s="16" t="s">
        <v>77</v>
      </c>
      <c r="D7" s="17">
        <v>2.085E-4</v>
      </c>
      <c r="E7" s="17">
        <v>0</v>
      </c>
      <c r="F7" s="17">
        <f>ROUNDDOWN(D7*E7, 1)</f>
        <v>0</v>
      </c>
      <c r="G7" s="17">
        <v>0</v>
      </c>
      <c r="H7" s="17">
        <f>ROUNDDOWN(D7*G7, 1)</f>
        <v>0</v>
      </c>
      <c r="I7" s="17">
        <f>단가대비표!O20</f>
        <v>66538000</v>
      </c>
      <c r="J7" s="17">
        <f>ROUNDDOWN(D7*I7, 1)</f>
        <v>13873.1</v>
      </c>
      <c r="K7" s="17">
        <f t="shared" si="0"/>
        <v>66538000</v>
      </c>
      <c r="L7" s="17">
        <f t="shared" si="1"/>
        <v>13873.1</v>
      </c>
      <c r="M7" s="14" t="s">
        <v>78</v>
      </c>
      <c r="O7" s="1" t="s">
        <v>106</v>
      </c>
      <c r="P7" s="1" t="s">
        <v>107</v>
      </c>
      <c r="Q7">
        <v>1</v>
      </c>
    </row>
    <row r="8" spans="1:20" ht="22.9" customHeight="1" x14ac:dyDescent="0.3">
      <c r="A8" s="16" t="s">
        <v>108</v>
      </c>
      <c r="B8" s="15"/>
      <c r="C8" s="16" t="s">
        <v>105</v>
      </c>
      <c r="D8" s="17"/>
      <c r="E8" s="17"/>
      <c r="F8" s="17">
        <f>SUMIF(Q6:Q7, "1", F6:F7)</f>
        <v>0</v>
      </c>
      <c r="G8" s="17"/>
      <c r="H8" s="17">
        <f>SUMIF(Q6:Q7, "1", H6:H7)</f>
        <v>0</v>
      </c>
      <c r="I8" s="17"/>
      <c r="J8" s="17">
        <f>SUMIF(Q6:Q7, "1", J6:J7)</f>
        <v>13873.1</v>
      </c>
      <c r="K8" s="17">
        <f t="shared" si="0"/>
        <v>0</v>
      </c>
      <c r="L8" s="17">
        <f t="shared" si="1"/>
        <v>13873.1</v>
      </c>
      <c r="M8" s="15"/>
    </row>
    <row r="9" spans="1:20" ht="22.9" customHeight="1" x14ac:dyDescent="0.3">
      <c r="A9" s="14" t="s">
        <v>109</v>
      </c>
      <c r="B9" s="15"/>
      <c r="C9" s="16" t="s">
        <v>105</v>
      </c>
      <c r="D9" s="17"/>
      <c r="E9" s="17"/>
      <c r="F9" s="17">
        <f>ROUNDDOWN(D9*E9, 1)</f>
        <v>0</v>
      </c>
      <c r="G9" s="17"/>
      <c r="H9" s="17">
        <f>ROUNDDOWN(D9*G9, 1)</f>
        <v>0</v>
      </c>
      <c r="I9" s="17"/>
      <c r="J9" s="17">
        <f>ROUNDDOWN(D9*I9, 1)</f>
        <v>0</v>
      </c>
      <c r="K9" s="17">
        <f t="shared" si="0"/>
        <v>0</v>
      </c>
      <c r="L9" s="17">
        <f t="shared" si="1"/>
        <v>0</v>
      </c>
      <c r="M9" s="15"/>
    </row>
    <row r="10" spans="1:20" ht="22.9" customHeight="1" x14ac:dyDescent="0.3">
      <c r="A10" s="14" t="s">
        <v>19</v>
      </c>
      <c r="B10" s="14" t="s">
        <v>20</v>
      </c>
      <c r="C10" s="16" t="s">
        <v>21</v>
      </c>
      <c r="D10" s="17">
        <v>5</v>
      </c>
      <c r="E10" s="17">
        <f>단가대비표!O5</f>
        <v>1657</v>
      </c>
      <c r="F10" s="17">
        <f>ROUNDDOWN(D10*E10, 1)</f>
        <v>8285</v>
      </c>
      <c r="G10" s="17">
        <v>0</v>
      </c>
      <c r="H10" s="17">
        <f>ROUNDDOWN(D10*G10, 1)</f>
        <v>0</v>
      </c>
      <c r="I10" s="17">
        <v>0</v>
      </c>
      <c r="J10" s="17">
        <f>ROUNDDOWN(D10*I10, 1)</f>
        <v>0</v>
      </c>
      <c r="K10" s="17">
        <f t="shared" si="0"/>
        <v>1657</v>
      </c>
      <c r="L10" s="17">
        <f t="shared" si="1"/>
        <v>8285</v>
      </c>
      <c r="M10" s="15"/>
      <c r="O10" s="1" t="s">
        <v>110</v>
      </c>
      <c r="P10" s="1" t="s">
        <v>107</v>
      </c>
      <c r="Q10">
        <v>1</v>
      </c>
    </row>
    <row r="11" spans="1:20" ht="22.9" customHeight="1" x14ac:dyDescent="0.3">
      <c r="A11" s="14" t="s">
        <v>111</v>
      </c>
      <c r="B11" s="15" t="str">
        <f>"주연료비의 " &amp; N11*100 &amp; "%"</f>
        <v>주연료비의 21%</v>
      </c>
      <c r="C11" s="16" t="s">
        <v>112</v>
      </c>
      <c r="D11" s="17">
        <v>1</v>
      </c>
      <c r="E11" s="17">
        <f>SUMIF(O6:O15, "01", F6:F15)</f>
        <v>8285</v>
      </c>
      <c r="F11" s="17">
        <f>ROUNDDOWN((E11)*N11, 1)</f>
        <v>1739.8</v>
      </c>
      <c r="G11" s="17">
        <v>0</v>
      </c>
      <c r="H11" s="17">
        <v>0</v>
      </c>
      <c r="I11" s="17">
        <v>0</v>
      </c>
      <c r="J11" s="17">
        <v>0</v>
      </c>
      <c r="K11" s="17">
        <f t="shared" si="0"/>
        <v>8285</v>
      </c>
      <c r="L11" s="17">
        <f t="shared" si="1"/>
        <v>1739.8</v>
      </c>
      <c r="M11" s="14" t="s">
        <v>113</v>
      </c>
      <c r="N11">
        <v>0.21</v>
      </c>
      <c r="P11" s="1" t="s">
        <v>107</v>
      </c>
      <c r="Q11">
        <v>1</v>
      </c>
      <c r="R11" s="1" t="s">
        <v>114</v>
      </c>
      <c r="S11" s="1" t="s">
        <v>115</v>
      </c>
      <c r="T11" s="1" t="s">
        <v>116</v>
      </c>
    </row>
    <row r="12" spans="1:20" ht="22.9" customHeight="1" x14ac:dyDescent="0.3">
      <c r="A12" s="16" t="s">
        <v>108</v>
      </c>
      <c r="B12" s="15"/>
      <c r="C12" s="16" t="s">
        <v>105</v>
      </c>
      <c r="D12" s="17"/>
      <c r="E12" s="17"/>
      <c r="F12" s="17">
        <f>SUMIF(Q9:Q11, "1", F9:F11)</f>
        <v>10024.799999999999</v>
      </c>
      <c r="G12" s="17"/>
      <c r="H12" s="17">
        <f>SUMIF(Q9:Q11, "1", H9:H11)</f>
        <v>0</v>
      </c>
      <c r="I12" s="17"/>
      <c r="J12" s="17">
        <f>SUMIF(Q9:Q11, "1", J9:J11)</f>
        <v>0</v>
      </c>
      <c r="K12" s="17">
        <f t="shared" si="0"/>
        <v>0</v>
      </c>
      <c r="L12" s="17">
        <f t="shared" si="1"/>
        <v>10024.799999999999</v>
      </c>
      <c r="M12" s="15"/>
    </row>
    <row r="13" spans="1:20" ht="22.9" customHeight="1" x14ac:dyDescent="0.3">
      <c r="A13" s="14" t="s">
        <v>117</v>
      </c>
      <c r="B13" s="15"/>
      <c r="C13" s="16" t="s">
        <v>105</v>
      </c>
      <c r="D13" s="17"/>
      <c r="E13" s="17"/>
      <c r="F13" s="17">
        <f>ROUNDDOWN(D13*E13, 1)</f>
        <v>0</v>
      </c>
      <c r="G13" s="17"/>
      <c r="H13" s="17">
        <f>ROUNDDOWN(D13*G13, 1)</f>
        <v>0</v>
      </c>
      <c r="I13" s="17"/>
      <c r="J13" s="17">
        <f>ROUNDDOWN(D13*I13, 1)</f>
        <v>0</v>
      </c>
      <c r="K13" s="17">
        <f t="shared" si="0"/>
        <v>0</v>
      </c>
      <c r="L13" s="17">
        <f t="shared" si="1"/>
        <v>0</v>
      </c>
      <c r="M13" s="15"/>
    </row>
    <row r="14" spans="1:20" ht="22.9" customHeight="1" x14ac:dyDescent="0.3">
      <c r="A14" s="14" t="s">
        <v>64</v>
      </c>
      <c r="B14" s="14" t="s">
        <v>65</v>
      </c>
      <c r="C14" s="16" t="s">
        <v>66</v>
      </c>
      <c r="D14" s="17">
        <v>0.20833333333333334</v>
      </c>
      <c r="E14" s="17">
        <v>0</v>
      </c>
      <c r="F14" s="17">
        <f>ROUNDDOWN(D14*E14, 1)</f>
        <v>0</v>
      </c>
      <c r="G14" s="17">
        <f>단가대비표!O14</f>
        <v>283297</v>
      </c>
      <c r="H14" s="17">
        <f>ROUNDDOWN(D14*G14, 1)</f>
        <v>59020.2</v>
      </c>
      <c r="I14" s="17">
        <v>0</v>
      </c>
      <c r="J14" s="17">
        <f>ROUNDDOWN(D14*I14, 1)</f>
        <v>0</v>
      </c>
      <c r="K14" s="17">
        <f t="shared" si="0"/>
        <v>283297</v>
      </c>
      <c r="L14" s="17">
        <f t="shared" si="1"/>
        <v>59020.2</v>
      </c>
      <c r="M14" s="14" t="s">
        <v>67</v>
      </c>
      <c r="O14" s="1" t="s">
        <v>118</v>
      </c>
      <c r="P14" s="1" t="s">
        <v>107</v>
      </c>
      <c r="Q14">
        <v>1</v>
      </c>
    </row>
    <row r="15" spans="1:20" ht="22.9" customHeight="1" x14ac:dyDescent="0.3">
      <c r="A15" s="16" t="s">
        <v>108</v>
      </c>
      <c r="B15" s="15"/>
      <c r="C15" s="16" t="s">
        <v>105</v>
      </c>
      <c r="D15" s="17"/>
      <c r="E15" s="17"/>
      <c r="F15" s="17">
        <f>SUMIF(Q13:Q14, "1", F13:F14)</f>
        <v>0</v>
      </c>
      <c r="G15" s="17"/>
      <c r="H15" s="17">
        <f>SUMIF(Q13:Q14, "1", H13:H14)</f>
        <v>59020.2</v>
      </c>
      <c r="I15" s="17"/>
      <c r="J15" s="17">
        <f>SUMIF(Q13:Q14, "1", J13:J14)</f>
        <v>0</v>
      </c>
      <c r="K15" s="17">
        <f t="shared" si="0"/>
        <v>0</v>
      </c>
      <c r="L15" s="17">
        <f t="shared" si="1"/>
        <v>59020.2</v>
      </c>
      <c r="M15" s="15"/>
    </row>
    <row r="16" spans="1:20" ht="22.9" customHeight="1" x14ac:dyDescent="0.3">
      <c r="A16" s="18" t="s">
        <v>119</v>
      </c>
      <c r="B16" s="19"/>
      <c r="C16" s="20"/>
      <c r="D16" s="21"/>
      <c r="E16" s="21"/>
      <c r="F16" s="21">
        <f>ROUNDDOWN(SUMIF(Q6:Q15, "1", F6:F15), 0)</f>
        <v>10024</v>
      </c>
      <c r="G16" s="21"/>
      <c r="H16" s="21">
        <f>ROUNDDOWN(SUMIF(Q6:Q15, "1", H6:H15), 0)</f>
        <v>59020</v>
      </c>
      <c r="I16" s="21"/>
      <c r="J16" s="21">
        <f>ROUNDDOWN(SUMIF(Q6:Q15, "1", J6:J15), 0)</f>
        <v>13873</v>
      </c>
      <c r="K16" s="21"/>
      <c r="L16" s="21">
        <f>F16+H16+J16</f>
        <v>82917</v>
      </c>
      <c r="M16" s="19"/>
    </row>
    <row r="17" spans="1:20" ht="22.9" customHeight="1" x14ac:dyDescent="0.3">
      <c r="A17" s="15"/>
      <c r="B17" s="15"/>
      <c r="C17" s="22"/>
      <c r="D17" s="17"/>
      <c r="E17" s="17"/>
      <c r="F17" s="17"/>
      <c r="G17" s="17"/>
      <c r="H17" s="17"/>
      <c r="I17" s="17"/>
      <c r="J17" s="17"/>
      <c r="K17" s="17"/>
      <c r="L17" s="17"/>
      <c r="M17" s="15"/>
    </row>
    <row r="18" spans="1:20" ht="22.9" customHeight="1" x14ac:dyDescent="0.3">
      <c r="A18" s="66" t="s">
        <v>120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13" t="s">
        <v>121</v>
      </c>
    </row>
    <row r="19" spans="1:20" ht="22.9" customHeight="1" x14ac:dyDescent="0.3">
      <c r="A19" s="14" t="s">
        <v>104</v>
      </c>
      <c r="B19" s="15"/>
      <c r="C19" s="16" t="s">
        <v>105</v>
      </c>
      <c r="D19" s="17"/>
      <c r="E19" s="17"/>
      <c r="F19" s="17">
        <f>ROUNDDOWN(D19*E19, 1)</f>
        <v>0</v>
      </c>
      <c r="G19" s="17"/>
      <c r="H19" s="17">
        <f>ROUNDDOWN(D19*G19, 1)</f>
        <v>0</v>
      </c>
      <c r="I19" s="17"/>
      <c r="J19" s="17">
        <f>ROUNDDOWN(D19*I19, 1)</f>
        <v>0</v>
      </c>
      <c r="K19" s="17">
        <f t="shared" ref="K19:K28" si="2">E19+G19+I19</f>
        <v>0</v>
      </c>
      <c r="L19" s="17">
        <f t="shared" ref="L19:L28" si="3">F19+H19+J19</f>
        <v>0</v>
      </c>
      <c r="M19" s="15"/>
    </row>
    <row r="20" spans="1:20" ht="22.9" customHeight="1" x14ac:dyDescent="0.3">
      <c r="A20" s="14" t="s">
        <v>79</v>
      </c>
      <c r="B20" s="14" t="s">
        <v>80</v>
      </c>
      <c r="C20" s="16" t="s">
        <v>77</v>
      </c>
      <c r="D20" s="17">
        <v>1.8090000000000001E-4</v>
      </c>
      <c r="E20" s="17">
        <v>0</v>
      </c>
      <c r="F20" s="17">
        <f>ROUNDDOWN(D20*E20, 1)</f>
        <v>0</v>
      </c>
      <c r="G20" s="17">
        <v>0</v>
      </c>
      <c r="H20" s="17">
        <f>ROUNDDOWN(D20*G20, 1)</f>
        <v>0</v>
      </c>
      <c r="I20" s="17">
        <f>단가대비표!O21</f>
        <v>78059000</v>
      </c>
      <c r="J20" s="17">
        <f>ROUNDDOWN(D20*I20, 1)</f>
        <v>14120.8</v>
      </c>
      <c r="K20" s="17">
        <f t="shared" si="2"/>
        <v>78059000</v>
      </c>
      <c r="L20" s="17">
        <f t="shared" si="3"/>
        <v>14120.8</v>
      </c>
      <c r="M20" s="14" t="s">
        <v>81</v>
      </c>
      <c r="O20" s="1" t="s">
        <v>106</v>
      </c>
      <c r="P20" s="1" t="s">
        <v>107</v>
      </c>
      <c r="Q20">
        <v>1</v>
      </c>
    </row>
    <row r="21" spans="1:20" ht="22.9" customHeight="1" x14ac:dyDescent="0.3">
      <c r="A21" s="16" t="s">
        <v>108</v>
      </c>
      <c r="B21" s="15"/>
      <c r="C21" s="16" t="s">
        <v>105</v>
      </c>
      <c r="D21" s="17"/>
      <c r="E21" s="17"/>
      <c r="F21" s="17">
        <f>SUMIF(Q19:Q20, "1", F19:F20)</f>
        <v>0</v>
      </c>
      <c r="G21" s="17"/>
      <c r="H21" s="17">
        <f>SUMIF(Q19:Q20, "1", H19:H20)</f>
        <v>0</v>
      </c>
      <c r="I21" s="17"/>
      <c r="J21" s="17">
        <f>SUMIF(Q19:Q20, "1", J19:J20)</f>
        <v>14120.8</v>
      </c>
      <c r="K21" s="17">
        <f t="shared" si="2"/>
        <v>0</v>
      </c>
      <c r="L21" s="17">
        <f t="shared" si="3"/>
        <v>14120.8</v>
      </c>
      <c r="M21" s="15"/>
    </row>
    <row r="22" spans="1:20" ht="22.9" customHeight="1" x14ac:dyDescent="0.3">
      <c r="A22" s="14" t="s">
        <v>109</v>
      </c>
      <c r="B22" s="15"/>
      <c r="C22" s="16" t="s">
        <v>105</v>
      </c>
      <c r="D22" s="17"/>
      <c r="E22" s="17"/>
      <c r="F22" s="17">
        <f>ROUNDDOWN(D22*E22, 1)</f>
        <v>0</v>
      </c>
      <c r="G22" s="17"/>
      <c r="H22" s="17">
        <f>ROUNDDOWN(D22*G22, 1)</f>
        <v>0</v>
      </c>
      <c r="I22" s="17"/>
      <c r="J22" s="17">
        <f>ROUNDDOWN(D22*I22, 1)</f>
        <v>0</v>
      </c>
      <c r="K22" s="17">
        <f t="shared" si="2"/>
        <v>0</v>
      </c>
      <c r="L22" s="17">
        <f t="shared" si="3"/>
        <v>0</v>
      </c>
      <c r="M22" s="15"/>
    </row>
    <row r="23" spans="1:20" ht="22.9" customHeight="1" x14ac:dyDescent="0.3">
      <c r="A23" s="14" t="s">
        <v>19</v>
      </c>
      <c r="B23" s="14" t="s">
        <v>20</v>
      </c>
      <c r="C23" s="16" t="s">
        <v>21</v>
      </c>
      <c r="D23" s="17">
        <v>5.8</v>
      </c>
      <c r="E23" s="17">
        <f>단가대비표!O5</f>
        <v>1657</v>
      </c>
      <c r="F23" s="17">
        <f>ROUNDDOWN(D23*E23, 1)</f>
        <v>9610.6</v>
      </c>
      <c r="G23" s="17">
        <v>0</v>
      </c>
      <c r="H23" s="17">
        <f>ROUNDDOWN(D23*G23, 1)</f>
        <v>0</v>
      </c>
      <c r="I23" s="17">
        <v>0</v>
      </c>
      <c r="J23" s="17">
        <f>ROUNDDOWN(D23*I23, 1)</f>
        <v>0</v>
      </c>
      <c r="K23" s="17">
        <f t="shared" si="2"/>
        <v>1657</v>
      </c>
      <c r="L23" s="17">
        <f t="shared" si="3"/>
        <v>9610.6</v>
      </c>
      <c r="M23" s="15"/>
      <c r="O23" s="1" t="s">
        <v>110</v>
      </c>
      <c r="P23" s="1" t="s">
        <v>107</v>
      </c>
      <c r="Q23">
        <v>1</v>
      </c>
    </row>
    <row r="24" spans="1:20" ht="22.9" customHeight="1" x14ac:dyDescent="0.3">
      <c r="A24" s="14" t="s">
        <v>111</v>
      </c>
      <c r="B24" s="15" t="str">
        <f>"주연료비의 " &amp; N24*100 &amp; "%"</f>
        <v>주연료비의 20%</v>
      </c>
      <c r="C24" s="16" t="s">
        <v>112</v>
      </c>
      <c r="D24" s="17">
        <v>1</v>
      </c>
      <c r="E24" s="17">
        <f>SUMIF(O19:O28, "01", F19:F28)</f>
        <v>9610.6</v>
      </c>
      <c r="F24" s="17">
        <f>ROUNDDOWN((E24)*N24, 1)</f>
        <v>1922.1</v>
      </c>
      <c r="G24" s="17">
        <v>0</v>
      </c>
      <c r="H24" s="17">
        <v>0</v>
      </c>
      <c r="I24" s="17">
        <v>0</v>
      </c>
      <c r="J24" s="17">
        <v>0</v>
      </c>
      <c r="K24" s="17">
        <f t="shared" si="2"/>
        <v>9610.6</v>
      </c>
      <c r="L24" s="17">
        <f t="shared" si="3"/>
        <v>1922.1</v>
      </c>
      <c r="M24" s="14" t="s">
        <v>113</v>
      </c>
      <c r="N24">
        <v>0.2</v>
      </c>
      <c r="P24" s="1" t="s">
        <v>107</v>
      </c>
      <c r="Q24">
        <v>1</v>
      </c>
      <c r="R24" s="1" t="s">
        <v>114</v>
      </c>
      <c r="S24" s="1" t="s">
        <v>115</v>
      </c>
      <c r="T24" s="1" t="s">
        <v>116</v>
      </c>
    </row>
    <row r="25" spans="1:20" ht="22.9" customHeight="1" x14ac:dyDescent="0.3">
      <c r="A25" s="16" t="s">
        <v>108</v>
      </c>
      <c r="B25" s="15"/>
      <c r="C25" s="16" t="s">
        <v>105</v>
      </c>
      <c r="D25" s="17"/>
      <c r="E25" s="17"/>
      <c r="F25" s="17">
        <f>SUMIF(Q22:Q24, "1", F22:F24)</f>
        <v>11532.7</v>
      </c>
      <c r="G25" s="17"/>
      <c r="H25" s="17">
        <f>SUMIF(Q22:Q24, "1", H22:H24)</f>
        <v>0</v>
      </c>
      <c r="I25" s="17"/>
      <c r="J25" s="17">
        <f>SUMIF(Q22:Q24, "1", J22:J24)</f>
        <v>0</v>
      </c>
      <c r="K25" s="17">
        <f t="shared" si="2"/>
        <v>0</v>
      </c>
      <c r="L25" s="17">
        <f t="shared" si="3"/>
        <v>11532.7</v>
      </c>
      <c r="M25" s="15"/>
    </row>
    <row r="26" spans="1:20" ht="22.9" customHeight="1" x14ac:dyDescent="0.3">
      <c r="A26" s="14" t="s">
        <v>117</v>
      </c>
      <c r="B26" s="15"/>
      <c r="C26" s="16" t="s">
        <v>105</v>
      </c>
      <c r="D26" s="17"/>
      <c r="E26" s="17"/>
      <c r="F26" s="17">
        <f>ROUNDDOWN(D26*E26, 1)</f>
        <v>0</v>
      </c>
      <c r="G26" s="17"/>
      <c r="H26" s="17">
        <f>ROUNDDOWN(D26*G26, 1)</f>
        <v>0</v>
      </c>
      <c r="I26" s="17"/>
      <c r="J26" s="17">
        <f>ROUNDDOWN(D26*I26, 1)</f>
        <v>0</v>
      </c>
      <c r="K26" s="17">
        <f t="shared" si="2"/>
        <v>0</v>
      </c>
      <c r="L26" s="17">
        <f t="shared" si="3"/>
        <v>0</v>
      </c>
      <c r="M26" s="15"/>
    </row>
    <row r="27" spans="1:20" ht="22.9" customHeight="1" x14ac:dyDescent="0.3">
      <c r="A27" s="14" t="s">
        <v>64</v>
      </c>
      <c r="B27" s="14" t="s">
        <v>65</v>
      </c>
      <c r="C27" s="16" t="s">
        <v>66</v>
      </c>
      <c r="D27" s="17">
        <v>0.20833333333333334</v>
      </c>
      <c r="E27" s="17">
        <v>0</v>
      </c>
      <c r="F27" s="17">
        <f>ROUNDDOWN(D27*E27, 1)</f>
        <v>0</v>
      </c>
      <c r="G27" s="17">
        <f>단가대비표!O14</f>
        <v>283297</v>
      </c>
      <c r="H27" s="17">
        <f>ROUNDDOWN(D27*G27, 1)</f>
        <v>59020.2</v>
      </c>
      <c r="I27" s="17">
        <v>0</v>
      </c>
      <c r="J27" s="17">
        <f>ROUNDDOWN(D27*I27, 1)</f>
        <v>0</v>
      </c>
      <c r="K27" s="17">
        <f t="shared" si="2"/>
        <v>283297</v>
      </c>
      <c r="L27" s="17">
        <f t="shared" si="3"/>
        <v>59020.2</v>
      </c>
      <c r="M27" s="14" t="s">
        <v>67</v>
      </c>
      <c r="O27" s="1" t="s">
        <v>118</v>
      </c>
      <c r="P27" s="1" t="s">
        <v>107</v>
      </c>
      <c r="Q27">
        <v>1</v>
      </c>
    </row>
    <row r="28" spans="1:20" ht="22.9" customHeight="1" x14ac:dyDescent="0.3">
      <c r="A28" s="16" t="s">
        <v>108</v>
      </c>
      <c r="B28" s="15"/>
      <c r="C28" s="16" t="s">
        <v>105</v>
      </c>
      <c r="D28" s="17"/>
      <c r="E28" s="17"/>
      <c r="F28" s="17">
        <f>SUMIF(Q26:Q27, "1", F26:F27)</f>
        <v>0</v>
      </c>
      <c r="G28" s="17"/>
      <c r="H28" s="17">
        <f>SUMIF(Q26:Q27, "1", H26:H27)</f>
        <v>59020.2</v>
      </c>
      <c r="I28" s="17"/>
      <c r="J28" s="17">
        <f>SUMIF(Q26:Q27, "1", J26:J27)</f>
        <v>0</v>
      </c>
      <c r="K28" s="17">
        <f t="shared" si="2"/>
        <v>0</v>
      </c>
      <c r="L28" s="17">
        <f t="shared" si="3"/>
        <v>59020.2</v>
      </c>
      <c r="M28" s="15"/>
    </row>
    <row r="29" spans="1:20" ht="22.9" customHeight="1" x14ac:dyDescent="0.3">
      <c r="A29" s="18" t="s">
        <v>119</v>
      </c>
      <c r="B29" s="19"/>
      <c r="C29" s="20"/>
      <c r="D29" s="21"/>
      <c r="E29" s="21"/>
      <c r="F29" s="21">
        <f>ROUNDDOWN(SUMIF(Q19:Q28, "1", F19:F28), 0)</f>
        <v>11532</v>
      </c>
      <c r="G29" s="21"/>
      <c r="H29" s="21">
        <f>ROUNDDOWN(SUMIF(Q19:Q28, "1", H19:H28), 0)</f>
        <v>59020</v>
      </c>
      <c r="I29" s="21"/>
      <c r="J29" s="21">
        <f>ROUNDDOWN(SUMIF(Q19:Q28, "1", J19:J28), 0)</f>
        <v>14120</v>
      </c>
      <c r="K29" s="21"/>
      <c r="L29" s="21">
        <f>F29+H29+J29</f>
        <v>84672</v>
      </c>
      <c r="M29" s="19"/>
    </row>
    <row r="30" spans="1:20" ht="22.9" customHeight="1" x14ac:dyDescent="0.3">
      <c r="A30" s="15"/>
      <c r="B30" s="15"/>
      <c r="C30" s="22"/>
      <c r="D30" s="17"/>
      <c r="E30" s="17"/>
      <c r="F30" s="17"/>
      <c r="G30" s="17"/>
      <c r="H30" s="17"/>
      <c r="I30" s="17"/>
      <c r="J30" s="17"/>
      <c r="K30" s="17"/>
      <c r="L30" s="17"/>
      <c r="M30" s="15"/>
    </row>
    <row r="31" spans="1:20" ht="22.9" customHeight="1" x14ac:dyDescent="0.3">
      <c r="A31" s="66" t="s">
        <v>122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13" t="s">
        <v>123</v>
      </c>
    </row>
    <row r="32" spans="1:20" ht="22.9" customHeight="1" x14ac:dyDescent="0.3">
      <c r="A32" s="14" t="s">
        <v>104</v>
      </c>
      <c r="B32" s="15"/>
      <c r="C32" s="16" t="s">
        <v>105</v>
      </c>
      <c r="D32" s="17"/>
      <c r="E32" s="17"/>
      <c r="F32" s="17">
        <f>ROUNDDOWN(D32*E32, 1)</f>
        <v>0</v>
      </c>
      <c r="G32" s="17"/>
      <c r="H32" s="17">
        <f>ROUNDDOWN(D32*G32, 1)</f>
        <v>0</v>
      </c>
      <c r="I32" s="17"/>
      <c r="J32" s="17">
        <f>ROUNDDOWN(D32*I32, 1)</f>
        <v>0</v>
      </c>
      <c r="K32" s="17">
        <f t="shared" ref="K32:K41" si="4">E32+G32+I32</f>
        <v>0</v>
      </c>
      <c r="L32" s="17">
        <f t="shared" ref="L32:L41" si="5">F32+H32+J32</f>
        <v>0</v>
      </c>
      <c r="M32" s="15"/>
    </row>
    <row r="33" spans="1:20" ht="22.9" customHeight="1" x14ac:dyDescent="0.3">
      <c r="A33" s="14" t="s">
        <v>82</v>
      </c>
      <c r="B33" s="14" t="s">
        <v>83</v>
      </c>
      <c r="C33" s="16" t="s">
        <v>77</v>
      </c>
      <c r="D33" s="17">
        <v>3.7080000000000001E-4</v>
      </c>
      <c r="E33" s="17">
        <v>0</v>
      </c>
      <c r="F33" s="17">
        <f>ROUNDDOWN(D33*E33, 1)</f>
        <v>0</v>
      </c>
      <c r="G33" s="17">
        <v>0</v>
      </c>
      <c r="H33" s="17">
        <f>ROUNDDOWN(D33*G33, 1)</f>
        <v>0</v>
      </c>
      <c r="I33" s="17">
        <f>단가대비표!O22</f>
        <v>1673000</v>
      </c>
      <c r="J33" s="17">
        <f>ROUNDDOWN(D33*I33, 1)</f>
        <v>620.29999999999995</v>
      </c>
      <c r="K33" s="17">
        <f t="shared" si="4"/>
        <v>1673000</v>
      </c>
      <c r="L33" s="17">
        <f t="shared" si="5"/>
        <v>620.29999999999995</v>
      </c>
      <c r="M33" s="14" t="s">
        <v>84</v>
      </c>
      <c r="O33" s="1" t="s">
        <v>106</v>
      </c>
      <c r="P33" s="1" t="s">
        <v>107</v>
      </c>
      <c r="Q33">
        <v>1</v>
      </c>
    </row>
    <row r="34" spans="1:20" ht="22.9" customHeight="1" x14ac:dyDescent="0.3">
      <c r="A34" s="16" t="s">
        <v>108</v>
      </c>
      <c r="B34" s="15"/>
      <c r="C34" s="16" t="s">
        <v>105</v>
      </c>
      <c r="D34" s="17"/>
      <c r="E34" s="17"/>
      <c r="F34" s="17">
        <f>SUMIF(Q32:Q33, "1", F32:F33)</f>
        <v>0</v>
      </c>
      <c r="G34" s="17"/>
      <c r="H34" s="17">
        <f>SUMIF(Q32:Q33, "1", H32:H33)</f>
        <v>0</v>
      </c>
      <c r="I34" s="17"/>
      <c r="J34" s="17">
        <f>SUMIF(Q32:Q33, "1", J32:J33)</f>
        <v>620.29999999999995</v>
      </c>
      <c r="K34" s="17">
        <f t="shared" si="4"/>
        <v>0</v>
      </c>
      <c r="L34" s="17">
        <f t="shared" si="5"/>
        <v>620.29999999999995</v>
      </c>
      <c r="M34" s="15"/>
    </row>
    <row r="35" spans="1:20" ht="22.9" customHeight="1" x14ac:dyDescent="0.3">
      <c r="A35" s="14" t="s">
        <v>109</v>
      </c>
      <c r="B35" s="15"/>
      <c r="C35" s="16" t="s">
        <v>105</v>
      </c>
      <c r="D35" s="17"/>
      <c r="E35" s="17"/>
      <c r="F35" s="17">
        <f>ROUNDDOWN(D35*E35, 1)</f>
        <v>0</v>
      </c>
      <c r="G35" s="17"/>
      <c r="H35" s="17">
        <f>ROUNDDOWN(D35*G35, 1)</f>
        <v>0</v>
      </c>
      <c r="I35" s="17"/>
      <c r="J35" s="17">
        <f>ROUNDDOWN(D35*I35, 1)</f>
        <v>0</v>
      </c>
      <c r="K35" s="17">
        <f t="shared" si="4"/>
        <v>0</v>
      </c>
      <c r="L35" s="17">
        <f t="shared" si="5"/>
        <v>0</v>
      </c>
      <c r="M35" s="15"/>
    </row>
    <row r="36" spans="1:20" ht="22.9" customHeight="1" x14ac:dyDescent="0.3">
      <c r="A36" s="14" t="s">
        <v>25</v>
      </c>
      <c r="B36" s="14" t="s">
        <v>26</v>
      </c>
      <c r="C36" s="16" t="s">
        <v>21</v>
      </c>
      <c r="D36" s="17">
        <v>1</v>
      </c>
      <c r="E36" s="17">
        <f>단가대비표!O6</f>
        <v>1676</v>
      </c>
      <c r="F36" s="17">
        <f>ROUNDDOWN(D36*E36, 1)</f>
        <v>1676</v>
      </c>
      <c r="G36" s="17">
        <v>0</v>
      </c>
      <c r="H36" s="17">
        <f>ROUNDDOWN(D36*G36, 1)</f>
        <v>0</v>
      </c>
      <c r="I36" s="17">
        <v>0</v>
      </c>
      <c r="J36" s="17">
        <f>ROUNDDOWN(D36*I36, 1)</f>
        <v>0</v>
      </c>
      <c r="K36" s="17">
        <f t="shared" si="4"/>
        <v>1676</v>
      </c>
      <c r="L36" s="17">
        <f t="shared" si="5"/>
        <v>1676</v>
      </c>
      <c r="M36" s="15"/>
      <c r="O36" s="1" t="s">
        <v>110</v>
      </c>
      <c r="P36" s="1" t="s">
        <v>107</v>
      </c>
      <c r="Q36">
        <v>1</v>
      </c>
    </row>
    <row r="37" spans="1:20" ht="22.9" customHeight="1" x14ac:dyDescent="0.3">
      <c r="A37" s="14" t="s">
        <v>111</v>
      </c>
      <c r="B37" s="15" t="str">
        <f>"주연료비의 " &amp; N37*100 &amp; "%"</f>
        <v>주연료비의 20%</v>
      </c>
      <c r="C37" s="16" t="s">
        <v>112</v>
      </c>
      <c r="D37" s="17">
        <v>1</v>
      </c>
      <c r="E37" s="17">
        <f>SUMIF(O32:O41, "01", F32:F41)</f>
        <v>1676</v>
      </c>
      <c r="F37" s="17">
        <f>ROUNDDOWN((E37)*N37, 1)</f>
        <v>335.2</v>
      </c>
      <c r="G37" s="17">
        <v>0</v>
      </c>
      <c r="H37" s="17">
        <v>0</v>
      </c>
      <c r="I37" s="17">
        <v>0</v>
      </c>
      <c r="J37" s="17">
        <v>0</v>
      </c>
      <c r="K37" s="17">
        <f t="shared" si="4"/>
        <v>1676</v>
      </c>
      <c r="L37" s="17">
        <f t="shared" si="5"/>
        <v>335.2</v>
      </c>
      <c r="M37" s="14" t="s">
        <v>113</v>
      </c>
      <c r="N37">
        <v>0.2</v>
      </c>
      <c r="P37" s="1" t="s">
        <v>107</v>
      </c>
      <c r="Q37">
        <v>1</v>
      </c>
      <c r="R37" s="1" t="s">
        <v>114</v>
      </c>
      <c r="S37" s="1" t="s">
        <v>115</v>
      </c>
      <c r="T37" s="1" t="s">
        <v>116</v>
      </c>
    </row>
    <row r="38" spans="1:20" ht="22.9" customHeight="1" x14ac:dyDescent="0.3">
      <c r="A38" s="16" t="s">
        <v>108</v>
      </c>
      <c r="B38" s="15"/>
      <c r="C38" s="16" t="s">
        <v>105</v>
      </c>
      <c r="D38" s="17"/>
      <c r="E38" s="17"/>
      <c r="F38" s="17">
        <f>SUMIF(Q35:Q37, "1", F35:F37)</f>
        <v>2011.2</v>
      </c>
      <c r="G38" s="17"/>
      <c r="H38" s="17">
        <f>SUMIF(Q35:Q37, "1", H35:H37)</f>
        <v>0</v>
      </c>
      <c r="I38" s="17"/>
      <c r="J38" s="17">
        <f>SUMIF(Q35:Q37, "1", J35:J37)</f>
        <v>0</v>
      </c>
      <c r="K38" s="17">
        <f t="shared" si="4"/>
        <v>0</v>
      </c>
      <c r="L38" s="17">
        <f t="shared" si="5"/>
        <v>2011.2</v>
      </c>
      <c r="M38" s="15"/>
    </row>
    <row r="39" spans="1:20" ht="22.9" customHeight="1" x14ac:dyDescent="0.3">
      <c r="A39" s="14" t="s">
        <v>117</v>
      </c>
      <c r="B39" s="15"/>
      <c r="C39" s="16" t="s">
        <v>105</v>
      </c>
      <c r="D39" s="17"/>
      <c r="E39" s="17"/>
      <c r="F39" s="17">
        <f>ROUNDDOWN(D39*E39, 1)</f>
        <v>0</v>
      </c>
      <c r="G39" s="17"/>
      <c r="H39" s="17">
        <f>ROUNDDOWN(D39*G39, 1)</f>
        <v>0</v>
      </c>
      <c r="I39" s="17"/>
      <c r="J39" s="17">
        <f>ROUNDDOWN(D39*I39, 1)</f>
        <v>0</v>
      </c>
      <c r="K39" s="17">
        <f t="shared" si="4"/>
        <v>0</v>
      </c>
      <c r="L39" s="17">
        <f t="shared" si="5"/>
        <v>0</v>
      </c>
      <c r="M39" s="15"/>
    </row>
    <row r="40" spans="1:20" ht="22.9" customHeight="1" x14ac:dyDescent="0.3">
      <c r="A40" s="14" t="s">
        <v>70</v>
      </c>
      <c r="B40" s="14" t="s">
        <v>65</v>
      </c>
      <c r="C40" s="16" t="s">
        <v>66</v>
      </c>
      <c r="D40" s="17">
        <v>0.20833333333333334</v>
      </c>
      <c r="E40" s="17">
        <v>0</v>
      </c>
      <c r="F40" s="17">
        <f>ROUNDDOWN(D40*E40, 1)</f>
        <v>0</v>
      </c>
      <c r="G40" s="17">
        <f>단가대비표!O17</f>
        <v>173995</v>
      </c>
      <c r="H40" s="17">
        <f>ROUNDDOWN(D40*G40, 1)</f>
        <v>36248.9</v>
      </c>
      <c r="I40" s="17">
        <v>0</v>
      </c>
      <c r="J40" s="17">
        <f>ROUNDDOWN(D40*I40, 1)</f>
        <v>0</v>
      </c>
      <c r="K40" s="17">
        <f t="shared" si="4"/>
        <v>173995</v>
      </c>
      <c r="L40" s="17">
        <f t="shared" si="5"/>
        <v>36248.9</v>
      </c>
      <c r="M40" s="14" t="s">
        <v>71</v>
      </c>
      <c r="O40" s="1" t="s">
        <v>118</v>
      </c>
      <c r="P40" s="1" t="s">
        <v>107</v>
      </c>
      <c r="Q40">
        <v>1</v>
      </c>
    </row>
    <row r="41" spans="1:20" ht="22.9" customHeight="1" x14ac:dyDescent="0.3">
      <c r="A41" s="16" t="s">
        <v>108</v>
      </c>
      <c r="B41" s="15"/>
      <c r="C41" s="16" t="s">
        <v>105</v>
      </c>
      <c r="D41" s="17"/>
      <c r="E41" s="17"/>
      <c r="F41" s="17">
        <f>SUMIF(Q39:Q40, "1", F39:F40)</f>
        <v>0</v>
      </c>
      <c r="G41" s="17"/>
      <c r="H41" s="17">
        <f>SUMIF(Q39:Q40, "1", H39:H40)</f>
        <v>36248.9</v>
      </c>
      <c r="I41" s="17"/>
      <c r="J41" s="17">
        <f>SUMIF(Q39:Q40, "1", J39:J40)</f>
        <v>0</v>
      </c>
      <c r="K41" s="17">
        <f t="shared" si="4"/>
        <v>0</v>
      </c>
      <c r="L41" s="17">
        <f t="shared" si="5"/>
        <v>36248.9</v>
      </c>
      <c r="M41" s="15"/>
    </row>
    <row r="42" spans="1:20" ht="22.9" customHeight="1" x14ac:dyDescent="0.3">
      <c r="A42" s="18" t="s">
        <v>119</v>
      </c>
      <c r="B42" s="19"/>
      <c r="C42" s="20"/>
      <c r="D42" s="21"/>
      <c r="E42" s="21"/>
      <c r="F42" s="21">
        <f>ROUNDDOWN(SUMIF(Q32:Q41, "1", F32:F41), 0)</f>
        <v>2011</v>
      </c>
      <c r="G42" s="21"/>
      <c r="H42" s="21">
        <f>ROUNDDOWN(SUMIF(Q32:Q41, "1", H32:H41), 0)</f>
        <v>36248</v>
      </c>
      <c r="I42" s="21"/>
      <c r="J42" s="21">
        <f>ROUNDDOWN(SUMIF(Q32:Q41, "1", J32:J41), 0)</f>
        <v>620</v>
      </c>
      <c r="K42" s="21"/>
      <c r="L42" s="21">
        <f>F42+H42+J42</f>
        <v>38879</v>
      </c>
      <c r="M42" s="19"/>
    </row>
    <row r="43" spans="1:20" ht="22.9" customHeight="1" x14ac:dyDescent="0.3">
      <c r="A43" s="15"/>
      <c r="B43" s="15"/>
      <c r="C43" s="22"/>
      <c r="D43" s="17"/>
      <c r="E43" s="17"/>
      <c r="F43" s="17"/>
      <c r="G43" s="17"/>
      <c r="H43" s="17"/>
      <c r="I43" s="17"/>
      <c r="J43" s="17"/>
      <c r="K43" s="17"/>
      <c r="L43" s="17"/>
      <c r="M43" s="15"/>
    </row>
    <row r="44" spans="1:20" ht="22.9" customHeight="1" x14ac:dyDescent="0.3">
      <c r="A44" s="15"/>
      <c r="B44" s="15"/>
      <c r="C44" s="22"/>
      <c r="D44" s="17"/>
      <c r="E44" s="17"/>
      <c r="F44" s="17"/>
      <c r="G44" s="17"/>
      <c r="H44" s="17"/>
      <c r="I44" s="17"/>
      <c r="J44" s="17"/>
      <c r="K44" s="17"/>
      <c r="L44" s="17"/>
      <c r="M44" s="15"/>
    </row>
    <row r="45" spans="1:20" ht="22.9" customHeight="1" x14ac:dyDescent="0.3">
      <c r="A45" s="15"/>
      <c r="B45" s="15"/>
      <c r="C45" s="22"/>
      <c r="D45" s="17"/>
      <c r="E45" s="17"/>
      <c r="F45" s="17"/>
      <c r="G45" s="17"/>
      <c r="H45" s="17"/>
      <c r="I45" s="17"/>
      <c r="J45" s="17"/>
      <c r="K45" s="17"/>
      <c r="L45" s="17"/>
      <c r="M45" s="15"/>
    </row>
    <row r="46" spans="1:20" ht="22.9" customHeight="1" x14ac:dyDescent="0.3">
      <c r="A46" s="15"/>
      <c r="B46" s="15"/>
      <c r="C46" s="22"/>
      <c r="D46" s="17"/>
      <c r="E46" s="17"/>
      <c r="F46" s="17"/>
      <c r="G46" s="17"/>
      <c r="H46" s="17"/>
      <c r="I46" s="17"/>
      <c r="J46" s="17"/>
      <c r="K46" s="17"/>
      <c r="L46" s="17"/>
      <c r="M46" s="15"/>
    </row>
    <row r="47" spans="1:20" ht="22.9" customHeight="1" x14ac:dyDescent="0.3">
      <c r="A47" s="15"/>
      <c r="B47" s="15"/>
      <c r="C47" s="22"/>
      <c r="D47" s="17"/>
      <c r="E47" s="17"/>
      <c r="F47" s="17"/>
      <c r="G47" s="17"/>
      <c r="H47" s="17"/>
      <c r="I47" s="17"/>
      <c r="J47" s="17"/>
      <c r="K47" s="17"/>
      <c r="L47" s="17"/>
      <c r="M47" s="15"/>
    </row>
    <row r="48" spans="1:20" ht="22.9" customHeight="1" x14ac:dyDescent="0.3">
      <c r="A48" s="15"/>
      <c r="B48" s="15"/>
      <c r="C48" s="22"/>
      <c r="D48" s="17"/>
      <c r="E48" s="17"/>
      <c r="F48" s="17"/>
      <c r="G48" s="17"/>
      <c r="H48" s="17"/>
      <c r="I48" s="17"/>
      <c r="J48" s="17"/>
      <c r="K48" s="17"/>
      <c r="L48" s="17"/>
      <c r="M48" s="15"/>
    </row>
    <row r="49" spans="1:13" ht="22.9" customHeight="1" x14ac:dyDescent="0.3">
      <c r="A49" s="15"/>
      <c r="B49" s="15"/>
      <c r="C49" s="22"/>
      <c r="D49" s="17"/>
      <c r="E49" s="17"/>
      <c r="F49" s="17"/>
      <c r="G49" s="17"/>
      <c r="H49" s="17"/>
      <c r="I49" s="17"/>
      <c r="J49" s="17"/>
      <c r="K49" s="17"/>
      <c r="L49" s="17"/>
      <c r="M49" s="15"/>
    </row>
    <row r="50" spans="1:13" ht="22.9" customHeight="1" x14ac:dyDescent="0.3">
      <c r="A50" s="15"/>
      <c r="B50" s="15"/>
      <c r="C50" s="22"/>
      <c r="D50" s="17"/>
      <c r="E50" s="17"/>
      <c r="F50" s="17"/>
      <c r="G50" s="17"/>
      <c r="H50" s="17"/>
      <c r="I50" s="17"/>
      <c r="J50" s="17"/>
      <c r="K50" s="17"/>
      <c r="L50" s="17"/>
      <c r="M50" s="15"/>
    </row>
    <row r="51" spans="1:13" ht="22.9" customHeight="1" x14ac:dyDescent="0.3">
      <c r="A51" s="15"/>
      <c r="B51" s="15"/>
      <c r="C51" s="22"/>
      <c r="D51" s="17"/>
      <c r="E51" s="17"/>
      <c r="F51" s="17"/>
      <c r="G51" s="17"/>
      <c r="H51" s="17"/>
      <c r="I51" s="17"/>
      <c r="J51" s="17"/>
      <c r="K51" s="17"/>
      <c r="L51" s="17"/>
      <c r="M51" s="15"/>
    </row>
    <row r="52" spans="1:13" ht="22.9" customHeight="1" x14ac:dyDescent="0.3">
      <c r="A52" s="15"/>
      <c r="B52" s="15"/>
      <c r="C52" s="22"/>
      <c r="D52" s="17"/>
      <c r="E52" s="17"/>
      <c r="F52" s="17"/>
      <c r="G52" s="17"/>
      <c r="H52" s="17"/>
      <c r="I52" s="17"/>
      <c r="J52" s="17"/>
      <c r="K52" s="17"/>
      <c r="L52" s="17"/>
      <c r="M52" s="15"/>
    </row>
  </sheetData>
  <mergeCells count="14">
    <mergeCell ref="K3:L3"/>
    <mergeCell ref="A5:L5"/>
    <mergeCell ref="A18:L18"/>
    <mergeCell ref="A31:L31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conditionalFormatting sqref="A5 M5 A6:M52">
    <cfRule type="containsText" dxfId="15" priority="1" stopIfTrue="1" operator="containsText" text=".">
      <formula>NOT(ISERROR(SEARCH(".",A5)))</formula>
    </cfRule>
    <cfRule type="notContainsText" dxfId="14" priority="2" stopIfTrue="1" operator="notContains" text=".">
      <formula>ISERROR(SEARCH(".",A5))</formula>
    </cfRule>
  </conditionalFormatting>
  <pageMargins left="0.74803149606299213" right="0" top="0.55118110236220474" bottom="0.15748031496062992" header="0.31496062992125984" footer="0.15748031496062992"/>
  <pageSetup paperSize="9" scale="95" orientation="landscape" r:id="rId1"/>
  <rowBreaks count="3" manualBreakCount="3">
    <brk id="20" max="16383" man="1"/>
    <brk id="36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20</vt:i4>
      </vt:variant>
    </vt:vector>
  </HeadingPairs>
  <TitlesOfParts>
    <vt:vector size="31" baseType="lpstr">
      <vt:lpstr>원가계산서</vt:lpstr>
      <vt:lpstr>집계표</vt:lpstr>
      <vt:lpstr>내역서</vt:lpstr>
      <vt:lpstr>일위대가목록</vt:lpstr>
      <vt:lpstr>일위대가표</vt:lpstr>
      <vt:lpstr>단가산출서목록</vt:lpstr>
      <vt:lpstr>단가산출서</vt:lpstr>
      <vt:lpstr>중기경비목록</vt:lpstr>
      <vt:lpstr>중기경비</vt:lpstr>
      <vt:lpstr>단가대비표</vt:lpstr>
      <vt:lpstr>Sheet1</vt:lpstr>
      <vt:lpstr>내역서!Print_Area</vt:lpstr>
      <vt:lpstr>단가대비표!Print_Area</vt:lpstr>
      <vt:lpstr>단가산출서!Print_Area</vt:lpstr>
      <vt:lpstr>단가산출서목록!Print_Area</vt:lpstr>
      <vt:lpstr>원가계산서!Print_Area</vt:lpstr>
      <vt:lpstr>일위대가목록!Print_Area</vt:lpstr>
      <vt:lpstr>일위대가표!Print_Area</vt:lpstr>
      <vt:lpstr>중기경비!Print_Area</vt:lpstr>
      <vt:lpstr>중기경비목록!Print_Area</vt:lpstr>
      <vt:lpstr>집계표!Print_Area</vt:lpstr>
      <vt:lpstr>내역서!Print_Titles</vt:lpstr>
      <vt:lpstr>단가대비표!Print_Titles</vt:lpstr>
      <vt:lpstr>단가산출서!Print_Titles</vt:lpstr>
      <vt:lpstr>단가산출서목록!Print_Titles</vt:lpstr>
      <vt:lpstr>원가계산서!Print_Titles</vt:lpstr>
      <vt:lpstr>일위대가목록!Print_Titles</vt:lpstr>
      <vt:lpstr>일위대가표!Print_Titles</vt:lpstr>
      <vt:lpstr>중기경비!Print_Titles</vt:lpstr>
      <vt:lpstr>중기경비목록!Print_Titles</vt:lpstr>
      <vt:lpstr>집계표!Print_Titles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 k</dc:creator>
  <cp:lastModifiedBy>User</cp:lastModifiedBy>
  <cp:lastPrinted>2026-05-26T09:00:13Z</cp:lastPrinted>
  <dcterms:created xsi:type="dcterms:W3CDTF">2026-05-26T08:54:36Z</dcterms:created>
  <dcterms:modified xsi:type="dcterms:W3CDTF">2026-09-04T01:32:06Z</dcterms:modified>
</cp:coreProperties>
</file>