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강은지\01빈집관련\0빈집정비지원사업\2026\철거후공공활용\3.철거및조성\"/>
    </mc:Choice>
  </mc:AlternateContent>
  <xr:revisionPtr revIDLastSave="0" documentId="13_ncr:1_{53445DA5-57A1-45FC-A90C-5E0E55CD5B0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원가계산서" sheetId="2" r:id="rId1"/>
    <sheet name="집계표" sheetId="3" r:id="rId2"/>
    <sheet name="내역서" sheetId="4" r:id="rId3"/>
    <sheet name="일위대가목록" sheetId="5" r:id="rId4"/>
    <sheet name="일위대가표" sheetId="6" r:id="rId5"/>
    <sheet name="단가산출서목록" sheetId="7" r:id="rId6"/>
    <sheet name="단가산출서" sheetId="8" r:id="rId7"/>
    <sheet name="중기경비목록" sheetId="9" r:id="rId8"/>
    <sheet name="중기경비" sheetId="10" r:id="rId9"/>
    <sheet name="단가대비표" sheetId="11" r:id="rId10"/>
    <sheet name="Sheet1" sheetId="12" r:id="rId11"/>
  </sheets>
  <externalReferences>
    <externalReference r:id="rId12"/>
  </externalReferences>
  <definedNames>
    <definedName name="_xlnm.Print_Area" localSheetId="2">내역서!$A$1:$M$228</definedName>
    <definedName name="_xlnm.Print_Area" localSheetId="9">단가대비표!$A$1:$P$52</definedName>
    <definedName name="_xlnm.Print_Area" localSheetId="6">단가산출서!$A$1:$F$116</definedName>
    <definedName name="_xlnm.Print_Area" localSheetId="5">단가산출서목록!$A$1:$N$20</definedName>
    <definedName name="_xlnm.Print_Area" localSheetId="0">원가계산서!$A$1:$H$43</definedName>
    <definedName name="_xlnm.Print_Area" localSheetId="3">일위대가목록!$A$1:$N$52</definedName>
    <definedName name="_xlnm.Print_Area" localSheetId="4">일위대가표!$A$1:$M$228</definedName>
    <definedName name="_xlnm.Print_Area" localSheetId="8">중기경비!$A$1:$M$164</definedName>
    <definedName name="_xlnm.Print_Area" localSheetId="7">중기경비목록!$A$1:$N$20</definedName>
    <definedName name="_xlnm.Print_Area" localSheetId="1">집계표!$A$1:$L$52</definedName>
    <definedName name="_xlnm.Print_Titles" localSheetId="2">내역서!$1:$4</definedName>
    <definedName name="_xlnm.Print_Titles" localSheetId="9">단가대비표!$1:$4</definedName>
    <definedName name="_xlnm.Print_Titles" localSheetId="6">단가산출서!$1:$4</definedName>
    <definedName name="_xlnm.Print_Titles" localSheetId="5">단가산출서목록!$1:$4</definedName>
    <definedName name="_xlnm.Print_Titles" localSheetId="0">원가계산서!$1:$4</definedName>
    <definedName name="_xlnm.Print_Titles" localSheetId="3">일위대가목록!$1:$4</definedName>
    <definedName name="_xlnm.Print_Titles" localSheetId="4">일위대가표!$1:$4</definedName>
    <definedName name="_xlnm.Print_Titles" localSheetId="8">중기경비!$1:$4</definedName>
    <definedName name="_xlnm.Print_Titles" localSheetId="7">중기경비목록!$1:$4</definedName>
    <definedName name="_xlnm.Print_Titles" localSheetId="1">집계표!$1:$4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36" i="3" l="1"/>
  <c r="O52" i="11" l="1"/>
  <c r="O51" i="11"/>
  <c r="O50" i="11"/>
  <c r="O49" i="11"/>
  <c r="O48" i="11"/>
  <c r="O47" i="11"/>
  <c r="O46" i="11"/>
  <c r="O45" i="11"/>
  <c r="O44" i="11"/>
  <c r="O43" i="11"/>
  <c r="O42" i="11"/>
  <c r="O41" i="11"/>
  <c r="O40" i="11"/>
  <c r="O39" i="11"/>
  <c r="O38" i="11"/>
  <c r="O37" i="11"/>
  <c r="O36" i="11"/>
  <c r="O35" i="11"/>
  <c r="O34" i="11"/>
  <c r="O33" i="11"/>
  <c r="O32" i="11"/>
  <c r="O31" i="11"/>
  <c r="O30" i="11"/>
  <c r="O29" i="11"/>
  <c r="O28" i="11"/>
  <c r="O27" i="11"/>
  <c r="O26" i="11"/>
  <c r="O25" i="11"/>
  <c r="O24" i="11"/>
  <c r="O23" i="11"/>
  <c r="O22" i="11"/>
  <c r="O21" i="11"/>
  <c r="O20" i="11"/>
  <c r="O19" i="11"/>
  <c r="O18" i="11"/>
  <c r="O17" i="11"/>
  <c r="O16" i="11"/>
  <c r="O15" i="11"/>
  <c r="O14" i="11"/>
  <c r="O13" i="11"/>
  <c r="O12" i="11"/>
  <c r="O11" i="11"/>
  <c r="O10" i="11"/>
  <c r="O9" i="11"/>
  <c r="O8" i="11"/>
  <c r="O7" i="11"/>
  <c r="O6" i="11"/>
  <c r="O5" i="11"/>
  <c r="K155" i="10"/>
  <c r="H155" i="10"/>
  <c r="J154" i="10"/>
  <c r="J155" i="10" s="1"/>
  <c r="H154" i="10"/>
  <c r="G154" i="10"/>
  <c r="K154" i="10" s="1"/>
  <c r="F154" i="10"/>
  <c r="F155" i="10" s="1"/>
  <c r="K153" i="10"/>
  <c r="J153" i="10"/>
  <c r="H153" i="10"/>
  <c r="F153" i="10"/>
  <c r="L153" i="10" s="1"/>
  <c r="K152" i="10"/>
  <c r="B151" i="10"/>
  <c r="J150" i="10"/>
  <c r="J152" i="10" s="1"/>
  <c r="H150" i="10"/>
  <c r="H152" i="10" s="1"/>
  <c r="E150" i="10"/>
  <c r="F150" i="10" s="1"/>
  <c r="K149" i="10"/>
  <c r="J149" i="10"/>
  <c r="H149" i="10"/>
  <c r="F149" i="10"/>
  <c r="L149" i="10" s="1"/>
  <c r="K148" i="10"/>
  <c r="F148" i="10"/>
  <c r="I147" i="10"/>
  <c r="H147" i="10"/>
  <c r="F147" i="10"/>
  <c r="K146" i="10"/>
  <c r="I146" i="10"/>
  <c r="J146" i="10" s="1"/>
  <c r="H146" i="10"/>
  <c r="H148" i="10" s="1"/>
  <c r="F146" i="10"/>
  <c r="K145" i="10"/>
  <c r="J145" i="10"/>
  <c r="H145" i="10"/>
  <c r="F145" i="10"/>
  <c r="K141" i="10"/>
  <c r="J141" i="10"/>
  <c r="K140" i="10"/>
  <c r="J140" i="10"/>
  <c r="H140" i="10"/>
  <c r="H141" i="10" s="1"/>
  <c r="G140" i="10"/>
  <c r="F140" i="10"/>
  <c r="K139" i="10"/>
  <c r="J139" i="10"/>
  <c r="H139" i="10"/>
  <c r="F139" i="10"/>
  <c r="K138" i="10"/>
  <c r="J138" i="10"/>
  <c r="B137" i="10"/>
  <c r="L136" i="10"/>
  <c r="J136" i="10"/>
  <c r="H136" i="10"/>
  <c r="H138" i="10" s="1"/>
  <c r="F136" i="10"/>
  <c r="E136" i="10"/>
  <c r="K136" i="10" s="1"/>
  <c r="K135" i="10"/>
  <c r="J135" i="10"/>
  <c r="H135" i="10"/>
  <c r="F135" i="10"/>
  <c r="K134" i="10"/>
  <c r="F134" i="10"/>
  <c r="I133" i="10"/>
  <c r="K133" i="10" s="1"/>
  <c r="H133" i="10"/>
  <c r="H134" i="10" s="1"/>
  <c r="F133" i="10"/>
  <c r="K132" i="10"/>
  <c r="J132" i="10"/>
  <c r="H132" i="10"/>
  <c r="F132" i="10"/>
  <c r="L132" i="10" s="1"/>
  <c r="K128" i="10"/>
  <c r="B127" i="10"/>
  <c r="J126" i="10"/>
  <c r="J128" i="10" s="1"/>
  <c r="H126" i="10"/>
  <c r="H128" i="10" s="1"/>
  <c r="E126" i="10"/>
  <c r="F126" i="10" s="1"/>
  <c r="K125" i="10"/>
  <c r="J125" i="10"/>
  <c r="H125" i="10"/>
  <c r="F125" i="10"/>
  <c r="L125" i="10" s="1"/>
  <c r="K124" i="10"/>
  <c r="H124" i="10"/>
  <c r="F124" i="10"/>
  <c r="I123" i="10"/>
  <c r="H123" i="10"/>
  <c r="H129" i="10" s="1"/>
  <c r="F123" i="10"/>
  <c r="K122" i="10"/>
  <c r="J122" i="10"/>
  <c r="H122" i="10"/>
  <c r="F122" i="10"/>
  <c r="L122" i="10" s="1"/>
  <c r="K118" i="10"/>
  <c r="F118" i="10"/>
  <c r="K117" i="10"/>
  <c r="J117" i="10"/>
  <c r="J118" i="10" s="1"/>
  <c r="L118" i="10" s="1"/>
  <c r="H117" i="10"/>
  <c r="H118" i="10" s="1"/>
  <c r="G117" i="10"/>
  <c r="F117" i="10"/>
  <c r="L117" i="10" s="1"/>
  <c r="K116" i="10"/>
  <c r="J116" i="10"/>
  <c r="H116" i="10"/>
  <c r="F116" i="10"/>
  <c r="L116" i="10" s="1"/>
  <c r="K115" i="10"/>
  <c r="B114" i="10"/>
  <c r="J113" i="10"/>
  <c r="J115" i="10" s="1"/>
  <c r="H113" i="10"/>
  <c r="H115" i="10" s="1"/>
  <c r="E113" i="10"/>
  <c r="K113" i="10" s="1"/>
  <c r="K112" i="10"/>
  <c r="J112" i="10"/>
  <c r="H112" i="10"/>
  <c r="F112" i="10"/>
  <c r="L112" i="10" s="1"/>
  <c r="K111" i="10"/>
  <c r="H111" i="10"/>
  <c r="F111" i="10"/>
  <c r="J110" i="10"/>
  <c r="I110" i="10"/>
  <c r="K110" i="10" s="1"/>
  <c r="H110" i="10"/>
  <c r="H119" i="10" s="1"/>
  <c r="F110" i="10"/>
  <c r="K109" i="10"/>
  <c r="J109" i="10"/>
  <c r="H109" i="10"/>
  <c r="F109" i="10"/>
  <c r="L109" i="10" s="1"/>
  <c r="H106" i="10"/>
  <c r="F106" i="10"/>
  <c r="K105" i="10"/>
  <c r="H105" i="10"/>
  <c r="F105" i="10"/>
  <c r="J104" i="10"/>
  <c r="I104" i="10"/>
  <c r="K104" i="10" s="1"/>
  <c r="H104" i="10"/>
  <c r="F104" i="10"/>
  <c r="K103" i="10"/>
  <c r="J103" i="10"/>
  <c r="H103" i="10"/>
  <c r="F103" i="10"/>
  <c r="L103" i="10" s="1"/>
  <c r="K99" i="10"/>
  <c r="H99" i="10"/>
  <c r="F99" i="10"/>
  <c r="K98" i="10"/>
  <c r="J98" i="10"/>
  <c r="J99" i="10" s="1"/>
  <c r="H98" i="10"/>
  <c r="G98" i="10"/>
  <c r="F98" i="10"/>
  <c r="K97" i="10"/>
  <c r="J97" i="10"/>
  <c r="H97" i="10"/>
  <c r="F97" i="10"/>
  <c r="L97" i="10" s="1"/>
  <c r="K96" i="10"/>
  <c r="H96" i="10"/>
  <c r="B95" i="10"/>
  <c r="J94" i="10"/>
  <c r="J96" i="10" s="1"/>
  <c r="H94" i="10"/>
  <c r="E94" i="10"/>
  <c r="K93" i="10"/>
  <c r="J93" i="10"/>
  <c r="H93" i="10"/>
  <c r="F93" i="10"/>
  <c r="L93" i="10" s="1"/>
  <c r="K92" i="10"/>
  <c r="J92" i="10"/>
  <c r="H92" i="10"/>
  <c r="K91" i="10"/>
  <c r="J91" i="10"/>
  <c r="I91" i="10"/>
  <c r="H91" i="10"/>
  <c r="H100" i="10" s="1"/>
  <c r="F91" i="10"/>
  <c r="K90" i="10"/>
  <c r="J90" i="10"/>
  <c r="H90" i="10"/>
  <c r="F90" i="10"/>
  <c r="K86" i="10"/>
  <c r="H86" i="10"/>
  <c r="K85" i="10"/>
  <c r="J85" i="10"/>
  <c r="J86" i="10" s="1"/>
  <c r="G85" i="10"/>
  <c r="H85" i="10" s="1"/>
  <c r="F85" i="10"/>
  <c r="K84" i="10"/>
  <c r="J84" i="10"/>
  <c r="H84" i="10"/>
  <c r="F84" i="10"/>
  <c r="L84" i="10" s="1"/>
  <c r="K83" i="10"/>
  <c r="J83" i="10"/>
  <c r="H83" i="10"/>
  <c r="B82" i="10"/>
  <c r="J81" i="10"/>
  <c r="H81" i="10"/>
  <c r="E81" i="10"/>
  <c r="F81" i="10" s="1"/>
  <c r="K80" i="10"/>
  <c r="J80" i="10"/>
  <c r="H80" i="10"/>
  <c r="F80" i="10"/>
  <c r="L80" i="10" s="1"/>
  <c r="K79" i="10"/>
  <c r="K78" i="10"/>
  <c r="I78" i="10"/>
  <c r="J78" i="10" s="1"/>
  <c r="H78" i="10"/>
  <c r="H79" i="10" s="1"/>
  <c r="F78" i="10"/>
  <c r="F79" i="10" s="1"/>
  <c r="K77" i="10"/>
  <c r="J77" i="10"/>
  <c r="H77" i="10"/>
  <c r="F77" i="10"/>
  <c r="H74" i="10"/>
  <c r="K73" i="10"/>
  <c r="J73" i="10"/>
  <c r="K72" i="10"/>
  <c r="J72" i="10"/>
  <c r="G72" i="10"/>
  <c r="H72" i="10" s="1"/>
  <c r="H73" i="10" s="1"/>
  <c r="F72" i="10"/>
  <c r="F73" i="10" s="1"/>
  <c r="L73" i="10" s="1"/>
  <c r="K71" i="10"/>
  <c r="J71" i="10"/>
  <c r="H71" i="10"/>
  <c r="F71" i="10"/>
  <c r="L71" i="10" s="1"/>
  <c r="K70" i="10"/>
  <c r="J70" i="10"/>
  <c r="B69" i="10"/>
  <c r="J68" i="10"/>
  <c r="H68" i="10"/>
  <c r="H70" i="10" s="1"/>
  <c r="F68" i="10"/>
  <c r="E68" i="10"/>
  <c r="K68" i="10" s="1"/>
  <c r="K67" i="10"/>
  <c r="J67" i="10"/>
  <c r="H67" i="10"/>
  <c r="F67" i="10"/>
  <c r="K66" i="10"/>
  <c r="F66" i="10"/>
  <c r="I65" i="10"/>
  <c r="H65" i="10"/>
  <c r="H66" i="10" s="1"/>
  <c r="F65" i="10"/>
  <c r="K64" i="10"/>
  <c r="J64" i="10"/>
  <c r="H64" i="10"/>
  <c r="F64" i="10"/>
  <c r="L64" i="10" s="1"/>
  <c r="K60" i="10"/>
  <c r="F60" i="10"/>
  <c r="J59" i="10"/>
  <c r="J60" i="10" s="1"/>
  <c r="H59" i="10"/>
  <c r="G59" i="10"/>
  <c r="K59" i="10" s="1"/>
  <c r="F59" i="10"/>
  <c r="K58" i="10"/>
  <c r="J58" i="10"/>
  <c r="H58" i="10"/>
  <c r="F58" i="10"/>
  <c r="K57" i="10"/>
  <c r="B56" i="10"/>
  <c r="J55" i="10"/>
  <c r="J57" i="10" s="1"/>
  <c r="H55" i="10"/>
  <c r="H57" i="10" s="1"/>
  <c r="E55" i="10"/>
  <c r="K55" i="10" s="1"/>
  <c r="K54" i="10"/>
  <c r="J54" i="10"/>
  <c r="H54" i="10"/>
  <c r="F54" i="10"/>
  <c r="L54" i="10" s="1"/>
  <c r="K53" i="10"/>
  <c r="H53" i="10"/>
  <c r="F53" i="10"/>
  <c r="I52" i="10"/>
  <c r="K52" i="10" s="1"/>
  <c r="H52" i="10"/>
  <c r="F52" i="10"/>
  <c r="K51" i="10"/>
  <c r="J51" i="10"/>
  <c r="H51" i="10"/>
  <c r="F51" i="10"/>
  <c r="L51" i="10" s="1"/>
  <c r="K47" i="10"/>
  <c r="F47" i="10"/>
  <c r="K46" i="10"/>
  <c r="J46" i="10"/>
  <c r="J47" i="10" s="1"/>
  <c r="H46" i="10"/>
  <c r="H47" i="10" s="1"/>
  <c r="L47" i="10" s="1"/>
  <c r="G46" i="10"/>
  <c r="F46" i="10"/>
  <c r="L46" i="10" s="1"/>
  <c r="K45" i="10"/>
  <c r="J45" i="10"/>
  <c r="H45" i="10"/>
  <c r="F45" i="10"/>
  <c r="L45" i="10" s="1"/>
  <c r="K44" i="10"/>
  <c r="H44" i="10"/>
  <c r="B43" i="10"/>
  <c r="J42" i="10"/>
  <c r="J44" i="10" s="1"/>
  <c r="H42" i="10"/>
  <c r="E42" i="10"/>
  <c r="K41" i="10"/>
  <c r="J41" i="10"/>
  <c r="H41" i="10"/>
  <c r="F41" i="10"/>
  <c r="L41" i="10" s="1"/>
  <c r="K40" i="10"/>
  <c r="J40" i="10"/>
  <c r="H40" i="10"/>
  <c r="K39" i="10"/>
  <c r="J39" i="10"/>
  <c r="J48" i="10" s="1"/>
  <c r="I39" i="10"/>
  <c r="H39" i="10"/>
  <c r="H48" i="10" s="1"/>
  <c r="F39" i="10"/>
  <c r="K38" i="10"/>
  <c r="J38" i="10"/>
  <c r="H38" i="10"/>
  <c r="F38" i="10"/>
  <c r="L38" i="10" s="1"/>
  <c r="K34" i="10"/>
  <c r="J34" i="10"/>
  <c r="H34" i="10"/>
  <c r="K33" i="10"/>
  <c r="J33" i="10"/>
  <c r="G33" i="10"/>
  <c r="H33" i="10" s="1"/>
  <c r="F33" i="10"/>
  <c r="K32" i="10"/>
  <c r="J32" i="10"/>
  <c r="H32" i="10"/>
  <c r="F32" i="10"/>
  <c r="L32" i="10" s="1"/>
  <c r="K31" i="10"/>
  <c r="J31" i="10"/>
  <c r="H31" i="10"/>
  <c r="B30" i="10"/>
  <c r="K29" i="10"/>
  <c r="J29" i="10"/>
  <c r="H29" i="10"/>
  <c r="E29" i="10"/>
  <c r="F29" i="10" s="1"/>
  <c r="K28" i="10"/>
  <c r="J28" i="10"/>
  <c r="H28" i="10"/>
  <c r="F28" i="10"/>
  <c r="K27" i="10"/>
  <c r="F27" i="10"/>
  <c r="I26" i="10"/>
  <c r="H26" i="10"/>
  <c r="F26" i="10"/>
  <c r="K25" i="10"/>
  <c r="J25" i="10"/>
  <c r="H25" i="10"/>
  <c r="F25" i="10"/>
  <c r="J22" i="10"/>
  <c r="J6" i="9" s="1"/>
  <c r="K21" i="10"/>
  <c r="J21" i="10"/>
  <c r="F21" i="10"/>
  <c r="L21" i="10" s="1"/>
  <c r="K20" i="10"/>
  <c r="J20" i="10"/>
  <c r="H20" i="10"/>
  <c r="H21" i="10" s="1"/>
  <c r="G20" i="10"/>
  <c r="F20" i="10"/>
  <c r="K19" i="10"/>
  <c r="J19" i="10"/>
  <c r="H19" i="10"/>
  <c r="F19" i="10"/>
  <c r="K18" i="10"/>
  <c r="B17" i="10"/>
  <c r="J16" i="10"/>
  <c r="J18" i="10" s="1"/>
  <c r="H16" i="10"/>
  <c r="H18" i="10" s="1"/>
  <c r="E16" i="10"/>
  <c r="F16" i="10" s="1"/>
  <c r="K15" i="10"/>
  <c r="J15" i="10"/>
  <c r="H15" i="10"/>
  <c r="F15" i="10"/>
  <c r="L15" i="10" s="1"/>
  <c r="K14" i="10"/>
  <c r="K13" i="10"/>
  <c r="I13" i="10"/>
  <c r="J13" i="10" s="1"/>
  <c r="J14" i="10" s="1"/>
  <c r="H13" i="10"/>
  <c r="H14" i="10" s="1"/>
  <c r="F13" i="10"/>
  <c r="K12" i="10"/>
  <c r="J12" i="10"/>
  <c r="H12" i="10"/>
  <c r="F12" i="10"/>
  <c r="L12" i="10" s="1"/>
  <c r="J9" i="10"/>
  <c r="J5" i="9" s="1"/>
  <c r="K5" i="9" s="1"/>
  <c r="K8" i="10"/>
  <c r="J8" i="10"/>
  <c r="K7" i="10"/>
  <c r="I7" i="10"/>
  <c r="J7" i="10" s="1"/>
  <c r="H7" i="10"/>
  <c r="H8" i="10" s="1"/>
  <c r="F7" i="10"/>
  <c r="K6" i="10"/>
  <c r="J6" i="10"/>
  <c r="H6" i="10"/>
  <c r="F6" i="10"/>
  <c r="L6" i="10" s="1"/>
  <c r="H15" i="9"/>
  <c r="I15" i="9" s="1"/>
  <c r="H14" i="9"/>
  <c r="I14" i="9" s="1"/>
  <c r="H13" i="9"/>
  <c r="I13" i="9" s="1"/>
  <c r="G13" i="9"/>
  <c r="F13" i="9"/>
  <c r="H12" i="9"/>
  <c r="I12" i="9" s="1"/>
  <c r="N61" i="8" s="1"/>
  <c r="H10" i="9"/>
  <c r="I10" i="9" s="1"/>
  <c r="K8" i="9"/>
  <c r="J8" i="9"/>
  <c r="H8" i="9"/>
  <c r="I8" i="9" s="1"/>
  <c r="K6" i="9"/>
  <c r="D106" i="8"/>
  <c r="C106" i="8"/>
  <c r="B106" i="8"/>
  <c r="N104" i="8"/>
  <c r="A104" i="8" s="1"/>
  <c r="C104" i="8"/>
  <c r="L103" i="8"/>
  <c r="L104" i="8" s="1"/>
  <c r="A103" i="8"/>
  <c r="A102" i="8"/>
  <c r="L94" i="8"/>
  <c r="A94" i="8" s="1"/>
  <c r="A93" i="8"/>
  <c r="A92" i="8"/>
  <c r="A91" i="8"/>
  <c r="A90" i="8"/>
  <c r="A89" i="8"/>
  <c r="A77" i="8"/>
  <c r="A76" i="8"/>
  <c r="A75" i="8"/>
  <c r="A74" i="8"/>
  <c r="A73" i="8"/>
  <c r="A72" i="8"/>
  <c r="A71" i="8"/>
  <c r="L70" i="8"/>
  <c r="A70" i="8"/>
  <c r="A69" i="8"/>
  <c r="A68" i="8"/>
  <c r="A67" i="8"/>
  <c r="L66" i="8"/>
  <c r="A65" i="8"/>
  <c r="A64" i="8"/>
  <c r="A63" i="8"/>
  <c r="A62" i="8"/>
  <c r="L55" i="8"/>
  <c r="A55" i="8" s="1"/>
  <c r="A54" i="8"/>
  <c r="A53" i="8"/>
  <c r="A52" i="8"/>
  <c r="A51" i="8"/>
  <c r="A50" i="8"/>
  <c r="C44" i="8"/>
  <c r="C42" i="8"/>
  <c r="E42" i="8" s="1"/>
  <c r="L40" i="8"/>
  <c r="A40" i="8" s="1"/>
  <c r="A39" i="8"/>
  <c r="A38" i="8"/>
  <c r="A37" i="8"/>
  <c r="A36" i="8"/>
  <c r="A35" i="8"/>
  <c r="A34" i="8"/>
  <c r="N33" i="8"/>
  <c r="N42" i="8" s="1"/>
  <c r="A42" i="8" s="1"/>
  <c r="L27" i="8"/>
  <c r="A27" i="8" s="1"/>
  <c r="A26" i="8"/>
  <c r="A25" i="8"/>
  <c r="A24" i="8"/>
  <c r="A23" i="8"/>
  <c r="A22" i="8"/>
  <c r="L12" i="8"/>
  <c r="A12" i="8"/>
  <c r="A11" i="8"/>
  <c r="A10" i="8"/>
  <c r="A9" i="8"/>
  <c r="A8" i="8"/>
  <c r="A7" i="8"/>
  <c r="J9" i="7"/>
  <c r="K9" i="7" s="1"/>
  <c r="I190" i="6" s="1"/>
  <c r="F9" i="7"/>
  <c r="H223" i="6"/>
  <c r="G223" i="6"/>
  <c r="J221" i="6"/>
  <c r="G221" i="6"/>
  <c r="F221" i="6"/>
  <c r="K220" i="6"/>
  <c r="J220" i="6"/>
  <c r="H220" i="6"/>
  <c r="G220" i="6"/>
  <c r="F220" i="6"/>
  <c r="K219" i="6"/>
  <c r="J219" i="6"/>
  <c r="H219" i="6"/>
  <c r="F219" i="6"/>
  <c r="I215" i="6"/>
  <c r="J215" i="6" s="1"/>
  <c r="G215" i="6"/>
  <c r="H215" i="6" s="1"/>
  <c r="B214" i="6"/>
  <c r="B213" i="6"/>
  <c r="J210" i="6"/>
  <c r="G210" i="6"/>
  <c r="F210" i="6"/>
  <c r="J209" i="6"/>
  <c r="H209" i="6"/>
  <c r="G209" i="6"/>
  <c r="K209" i="6" s="1"/>
  <c r="F209" i="6"/>
  <c r="J206" i="6"/>
  <c r="J205" i="6"/>
  <c r="G205" i="6"/>
  <c r="F205" i="6"/>
  <c r="J204" i="6"/>
  <c r="H204" i="6"/>
  <c r="G204" i="6"/>
  <c r="K204" i="6" s="1"/>
  <c r="F204" i="6"/>
  <c r="F206" i="6" s="1"/>
  <c r="B200" i="6"/>
  <c r="J199" i="6"/>
  <c r="H199" i="6"/>
  <c r="L199" i="6" s="1"/>
  <c r="G199" i="6"/>
  <c r="K199" i="6" s="1"/>
  <c r="F199" i="6"/>
  <c r="K198" i="6"/>
  <c r="J198" i="6"/>
  <c r="J201" i="6" s="1"/>
  <c r="H198" i="6"/>
  <c r="G198" i="6"/>
  <c r="F198" i="6"/>
  <c r="J194" i="6"/>
  <c r="J195" i="6" s="1"/>
  <c r="H194" i="6"/>
  <c r="H195" i="6" s="1"/>
  <c r="G194" i="6"/>
  <c r="K194" i="6" s="1"/>
  <c r="F194" i="6"/>
  <c r="F195" i="6" s="1"/>
  <c r="L195" i="6" s="1"/>
  <c r="J190" i="6"/>
  <c r="J189" i="6"/>
  <c r="H189" i="6"/>
  <c r="E189" i="6"/>
  <c r="F189" i="6" s="1"/>
  <c r="L189" i="6" s="1"/>
  <c r="J188" i="6"/>
  <c r="H188" i="6"/>
  <c r="F188" i="6"/>
  <c r="L188" i="6" s="1"/>
  <c r="E188" i="6"/>
  <c r="K188" i="6" s="1"/>
  <c r="G187" i="6"/>
  <c r="H187" i="6" s="1"/>
  <c r="F187" i="6"/>
  <c r="E187" i="6"/>
  <c r="K186" i="6"/>
  <c r="J186" i="6"/>
  <c r="G186" i="6"/>
  <c r="H186" i="6" s="1"/>
  <c r="F186" i="6"/>
  <c r="K185" i="6"/>
  <c r="J185" i="6"/>
  <c r="H185" i="6"/>
  <c r="F185" i="6"/>
  <c r="L185" i="6" s="1"/>
  <c r="J184" i="6"/>
  <c r="H184" i="6"/>
  <c r="G184" i="6"/>
  <c r="K184" i="6" s="1"/>
  <c r="F184" i="6"/>
  <c r="J183" i="6"/>
  <c r="G183" i="6"/>
  <c r="H183" i="6" s="1"/>
  <c r="F183" i="6"/>
  <c r="K182" i="6"/>
  <c r="J182" i="6"/>
  <c r="H182" i="6"/>
  <c r="F182" i="6"/>
  <c r="L182" i="6" s="1"/>
  <c r="H179" i="6"/>
  <c r="K178" i="6"/>
  <c r="J178" i="6"/>
  <c r="J179" i="6" s="1"/>
  <c r="J33" i="5" s="1"/>
  <c r="K33" i="5" s="1"/>
  <c r="H178" i="6"/>
  <c r="F178" i="6"/>
  <c r="F179" i="6" s="1"/>
  <c r="J175" i="6"/>
  <c r="J32" i="5" s="1"/>
  <c r="K32" i="5" s="1"/>
  <c r="K174" i="6"/>
  <c r="J174" i="6"/>
  <c r="H174" i="6"/>
  <c r="H175" i="6" s="1"/>
  <c r="L175" i="6" s="1"/>
  <c r="F174" i="6"/>
  <c r="F175" i="6" s="1"/>
  <c r="L170" i="6"/>
  <c r="J170" i="6"/>
  <c r="H170" i="6"/>
  <c r="F170" i="6"/>
  <c r="E170" i="6"/>
  <c r="K170" i="6" s="1"/>
  <c r="J169" i="6"/>
  <c r="H169" i="6"/>
  <c r="E169" i="6"/>
  <c r="F169" i="6" s="1"/>
  <c r="L169" i="6" s="1"/>
  <c r="B168" i="6"/>
  <c r="J165" i="6"/>
  <c r="H165" i="6"/>
  <c r="G165" i="6"/>
  <c r="K165" i="6" s="1"/>
  <c r="F165" i="6"/>
  <c r="J164" i="6"/>
  <c r="G164" i="6"/>
  <c r="H164" i="6" s="1"/>
  <c r="F164" i="6"/>
  <c r="J163" i="6"/>
  <c r="H163" i="6"/>
  <c r="G163" i="6"/>
  <c r="K163" i="6" s="1"/>
  <c r="F163" i="6"/>
  <c r="L163" i="6" s="1"/>
  <c r="B159" i="6"/>
  <c r="J156" i="6"/>
  <c r="H156" i="6"/>
  <c r="L156" i="6" s="1"/>
  <c r="G156" i="6"/>
  <c r="K156" i="6" s="1"/>
  <c r="F156" i="6"/>
  <c r="K155" i="6"/>
  <c r="J155" i="6"/>
  <c r="G155" i="6"/>
  <c r="H155" i="6" s="1"/>
  <c r="F155" i="6"/>
  <c r="F152" i="6"/>
  <c r="J151" i="6"/>
  <c r="G151" i="6"/>
  <c r="F151" i="6"/>
  <c r="K150" i="6"/>
  <c r="J150" i="6"/>
  <c r="J152" i="6" s="1"/>
  <c r="G150" i="6"/>
  <c r="H150" i="6" s="1"/>
  <c r="F150" i="6"/>
  <c r="J146" i="6"/>
  <c r="G146" i="6"/>
  <c r="K146" i="6" s="1"/>
  <c r="F146" i="6"/>
  <c r="K145" i="6"/>
  <c r="J145" i="6"/>
  <c r="J147" i="6" s="1"/>
  <c r="G145" i="6"/>
  <c r="H145" i="6" s="1"/>
  <c r="F145" i="6"/>
  <c r="F142" i="6"/>
  <c r="L141" i="6"/>
  <c r="J141" i="6"/>
  <c r="J142" i="6" s="1"/>
  <c r="J27" i="5" s="1"/>
  <c r="K27" i="5" s="1"/>
  <c r="H141" i="6"/>
  <c r="H142" i="6" s="1"/>
  <c r="G141" i="6"/>
  <c r="K141" i="6" s="1"/>
  <c r="F141" i="6"/>
  <c r="B137" i="6"/>
  <c r="J136" i="6"/>
  <c r="G136" i="6"/>
  <c r="F136" i="6"/>
  <c r="J135" i="6"/>
  <c r="H135" i="6"/>
  <c r="G135" i="6"/>
  <c r="K135" i="6" s="1"/>
  <c r="F135" i="6"/>
  <c r="F138" i="6" s="1"/>
  <c r="B131" i="6"/>
  <c r="L130" i="6"/>
  <c r="J130" i="6"/>
  <c r="H130" i="6"/>
  <c r="G130" i="6"/>
  <c r="K130" i="6" s="1"/>
  <c r="F130" i="6"/>
  <c r="K129" i="6"/>
  <c r="J129" i="6"/>
  <c r="G129" i="6"/>
  <c r="H129" i="6" s="1"/>
  <c r="F129" i="6"/>
  <c r="F126" i="6"/>
  <c r="J125" i="6"/>
  <c r="J126" i="6" s="1"/>
  <c r="H125" i="6"/>
  <c r="G125" i="6"/>
  <c r="K125" i="6" s="1"/>
  <c r="F125" i="6"/>
  <c r="J122" i="6"/>
  <c r="H122" i="6"/>
  <c r="H23" i="5" s="1"/>
  <c r="I23" i="5" s="1"/>
  <c r="B121" i="6"/>
  <c r="J120" i="6"/>
  <c r="G120" i="6"/>
  <c r="H120" i="6" s="1"/>
  <c r="F120" i="6"/>
  <c r="L120" i="6" s="1"/>
  <c r="J119" i="6"/>
  <c r="H119" i="6"/>
  <c r="G119" i="6"/>
  <c r="K119" i="6" s="1"/>
  <c r="F119" i="6"/>
  <c r="B115" i="6"/>
  <c r="J114" i="6"/>
  <c r="H114" i="6"/>
  <c r="L114" i="6" s="1"/>
  <c r="G114" i="6"/>
  <c r="K114" i="6" s="1"/>
  <c r="F114" i="6"/>
  <c r="K113" i="6"/>
  <c r="J113" i="6"/>
  <c r="H113" i="6"/>
  <c r="G113" i="6"/>
  <c r="F113" i="6"/>
  <c r="J109" i="6"/>
  <c r="H109" i="6"/>
  <c r="L109" i="6" s="1"/>
  <c r="G109" i="6"/>
  <c r="K109" i="6" s="1"/>
  <c r="F109" i="6"/>
  <c r="K108" i="6"/>
  <c r="J108" i="6"/>
  <c r="J110" i="6" s="1"/>
  <c r="J21" i="5" s="1"/>
  <c r="K21" i="5" s="1"/>
  <c r="H108" i="6"/>
  <c r="G108" i="6"/>
  <c r="F108" i="6"/>
  <c r="K104" i="6"/>
  <c r="J104" i="6"/>
  <c r="H104" i="6"/>
  <c r="G104" i="6"/>
  <c r="F104" i="6"/>
  <c r="L104" i="6" s="1"/>
  <c r="K103" i="6"/>
  <c r="J103" i="6"/>
  <c r="J105" i="6" s="1"/>
  <c r="G103" i="6"/>
  <c r="H103" i="6" s="1"/>
  <c r="H105" i="6" s="1"/>
  <c r="F103" i="6"/>
  <c r="F100" i="6"/>
  <c r="J99" i="6"/>
  <c r="J100" i="6" s="1"/>
  <c r="J19" i="5" s="1"/>
  <c r="K19" i="5" s="1"/>
  <c r="H99" i="6"/>
  <c r="G99" i="6"/>
  <c r="K99" i="6" s="1"/>
  <c r="F99" i="6"/>
  <c r="B95" i="6"/>
  <c r="J94" i="6"/>
  <c r="G94" i="6"/>
  <c r="F94" i="6"/>
  <c r="K93" i="6"/>
  <c r="J93" i="6"/>
  <c r="H93" i="6"/>
  <c r="G93" i="6"/>
  <c r="F93" i="6"/>
  <c r="F96" i="6" s="1"/>
  <c r="B89" i="6"/>
  <c r="J88" i="6"/>
  <c r="H88" i="6"/>
  <c r="L88" i="6" s="1"/>
  <c r="G88" i="6"/>
  <c r="K88" i="6" s="1"/>
  <c r="F88" i="6"/>
  <c r="K87" i="6"/>
  <c r="J87" i="6"/>
  <c r="G87" i="6"/>
  <c r="H87" i="6" s="1"/>
  <c r="F87" i="6"/>
  <c r="F84" i="6"/>
  <c r="B83" i="6"/>
  <c r="K82" i="6"/>
  <c r="J82" i="6"/>
  <c r="H82" i="6"/>
  <c r="G82" i="6"/>
  <c r="F82" i="6"/>
  <c r="J81" i="6"/>
  <c r="G81" i="6"/>
  <c r="F81" i="6"/>
  <c r="B77" i="6"/>
  <c r="K76" i="6"/>
  <c r="J76" i="6"/>
  <c r="G76" i="6"/>
  <c r="H76" i="6" s="1"/>
  <c r="F76" i="6"/>
  <c r="J75" i="6"/>
  <c r="H75" i="6"/>
  <c r="G75" i="6"/>
  <c r="K75" i="6" s="1"/>
  <c r="F75" i="6"/>
  <c r="J72" i="6"/>
  <c r="J14" i="5" s="1"/>
  <c r="K14" i="5" s="1"/>
  <c r="K71" i="6"/>
  <c r="J71" i="6"/>
  <c r="G71" i="6"/>
  <c r="H71" i="6" s="1"/>
  <c r="F71" i="6"/>
  <c r="L71" i="6" s="1"/>
  <c r="J70" i="6"/>
  <c r="H70" i="6"/>
  <c r="G70" i="6"/>
  <c r="K70" i="6" s="1"/>
  <c r="F70" i="6"/>
  <c r="F72" i="6" s="1"/>
  <c r="B66" i="6"/>
  <c r="J65" i="6"/>
  <c r="G65" i="6"/>
  <c r="F65" i="6"/>
  <c r="K64" i="6"/>
  <c r="J64" i="6"/>
  <c r="H64" i="6"/>
  <c r="G64" i="6"/>
  <c r="F64" i="6"/>
  <c r="F67" i="6" s="1"/>
  <c r="J60" i="6"/>
  <c r="G60" i="6"/>
  <c r="F60" i="6"/>
  <c r="K59" i="6"/>
  <c r="J59" i="6"/>
  <c r="J61" i="6" s="1"/>
  <c r="J12" i="5" s="1"/>
  <c r="K12" i="5" s="1"/>
  <c r="H59" i="6"/>
  <c r="G59" i="6"/>
  <c r="F59" i="6"/>
  <c r="L59" i="6" s="1"/>
  <c r="J55" i="6"/>
  <c r="G55" i="6"/>
  <c r="F55" i="6"/>
  <c r="K54" i="6"/>
  <c r="J54" i="6"/>
  <c r="J56" i="6" s="1"/>
  <c r="J11" i="5" s="1"/>
  <c r="K11" i="5" s="1"/>
  <c r="H54" i="6"/>
  <c r="G54" i="6"/>
  <c r="F54" i="6"/>
  <c r="B50" i="6"/>
  <c r="J48" i="6"/>
  <c r="H48" i="6"/>
  <c r="L48" i="6" s="1"/>
  <c r="G48" i="6"/>
  <c r="K48" i="6" s="1"/>
  <c r="F48" i="6"/>
  <c r="K47" i="6"/>
  <c r="J47" i="6"/>
  <c r="G47" i="6"/>
  <c r="H47" i="6" s="1"/>
  <c r="F47" i="6"/>
  <c r="I43" i="6"/>
  <c r="J43" i="6" s="1"/>
  <c r="B42" i="6"/>
  <c r="K41" i="6"/>
  <c r="J41" i="6"/>
  <c r="H41" i="6"/>
  <c r="G41" i="6"/>
  <c r="F41" i="6"/>
  <c r="J40" i="6"/>
  <c r="J44" i="6" s="1"/>
  <c r="J9" i="5" s="1"/>
  <c r="K9" i="5" s="1"/>
  <c r="G40" i="6"/>
  <c r="F40" i="6"/>
  <c r="K33" i="6"/>
  <c r="J33" i="6"/>
  <c r="H33" i="6"/>
  <c r="G33" i="6"/>
  <c r="F33" i="6"/>
  <c r="B28" i="6"/>
  <c r="J27" i="6"/>
  <c r="H27" i="6"/>
  <c r="L27" i="6" s="1"/>
  <c r="G27" i="6"/>
  <c r="K27" i="6" s="1"/>
  <c r="F27" i="6"/>
  <c r="K26" i="6"/>
  <c r="J26" i="6"/>
  <c r="G26" i="6"/>
  <c r="H26" i="6" s="1"/>
  <c r="F26" i="6"/>
  <c r="J21" i="6"/>
  <c r="H21" i="6"/>
  <c r="F21" i="6"/>
  <c r="E21" i="6"/>
  <c r="K21" i="6" s="1"/>
  <c r="J18" i="6"/>
  <c r="J5" i="5" s="1"/>
  <c r="K5" i="5" s="1"/>
  <c r="K17" i="6"/>
  <c r="J17" i="6"/>
  <c r="G17" i="6"/>
  <c r="H17" i="6" s="1"/>
  <c r="F17" i="6"/>
  <c r="L17" i="6" s="1"/>
  <c r="J16" i="6"/>
  <c r="H16" i="6"/>
  <c r="L16" i="6" s="1"/>
  <c r="G16" i="6"/>
  <c r="K16" i="6" s="1"/>
  <c r="F16" i="6"/>
  <c r="K15" i="6"/>
  <c r="J15" i="6"/>
  <c r="H15" i="6"/>
  <c r="E15" i="6"/>
  <c r="F15" i="6" s="1"/>
  <c r="L15" i="6" s="1"/>
  <c r="J14" i="6"/>
  <c r="H14" i="6"/>
  <c r="F14" i="6"/>
  <c r="L14" i="6" s="1"/>
  <c r="E14" i="6"/>
  <c r="K14" i="6" s="1"/>
  <c r="K13" i="6"/>
  <c r="J13" i="6"/>
  <c r="H13" i="6"/>
  <c r="E13" i="6"/>
  <c r="F13" i="6" s="1"/>
  <c r="L13" i="6" s="1"/>
  <c r="J12" i="6"/>
  <c r="H12" i="6"/>
  <c r="F12" i="6"/>
  <c r="L12" i="6" s="1"/>
  <c r="E12" i="6"/>
  <c r="K12" i="6" s="1"/>
  <c r="K11" i="6"/>
  <c r="J11" i="6"/>
  <c r="H11" i="6"/>
  <c r="E11" i="6"/>
  <c r="F11" i="6" s="1"/>
  <c r="L11" i="6" s="1"/>
  <c r="J10" i="6"/>
  <c r="H10" i="6"/>
  <c r="F10" i="6"/>
  <c r="L10" i="6" s="1"/>
  <c r="E10" i="6"/>
  <c r="K10" i="6" s="1"/>
  <c r="K9" i="6"/>
  <c r="J9" i="6"/>
  <c r="H9" i="6"/>
  <c r="E9" i="6"/>
  <c r="F9" i="6" s="1"/>
  <c r="L9" i="6" s="1"/>
  <c r="J8" i="6"/>
  <c r="H8" i="6"/>
  <c r="F8" i="6"/>
  <c r="L8" i="6" s="1"/>
  <c r="E8" i="6"/>
  <c r="K8" i="6" s="1"/>
  <c r="K7" i="6"/>
  <c r="J7" i="6"/>
  <c r="H7" i="6"/>
  <c r="E7" i="6"/>
  <c r="F7" i="6" s="1"/>
  <c r="L7" i="6" s="1"/>
  <c r="J6" i="6"/>
  <c r="H6" i="6"/>
  <c r="H18" i="6" s="1"/>
  <c r="F6" i="6"/>
  <c r="L6" i="6" s="1"/>
  <c r="E6" i="6"/>
  <c r="K6" i="6" s="1"/>
  <c r="K37" i="5"/>
  <c r="J37" i="5"/>
  <c r="G37" i="5"/>
  <c r="F37" i="5"/>
  <c r="K36" i="5"/>
  <c r="J36" i="5"/>
  <c r="K35" i="5"/>
  <c r="J35" i="5"/>
  <c r="H35" i="5"/>
  <c r="I35" i="5" s="1"/>
  <c r="M35" i="5" s="1"/>
  <c r="G35" i="5"/>
  <c r="F35" i="5"/>
  <c r="H33" i="5"/>
  <c r="I33" i="5" s="1"/>
  <c r="G33" i="5"/>
  <c r="F33" i="5"/>
  <c r="H32" i="5"/>
  <c r="I32" i="5" s="1"/>
  <c r="M32" i="5" s="1"/>
  <c r="G32" i="5"/>
  <c r="F32" i="5"/>
  <c r="K29" i="5"/>
  <c r="J29" i="5"/>
  <c r="K28" i="5"/>
  <c r="J28" i="5"/>
  <c r="H27" i="5"/>
  <c r="I27" i="5" s="1"/>
  <c r="G27" i="5"/>
  <c r="F27" i="5"/>
  <c r="G26" i="5"/>
  <c r="F26" i="5"/>
  <c r="K24" i="5"/>
  <c r="J24" i="5"/>
  <c r="G24" i="5"/>
  <c r="F24" i="5"/>
  <c r="K23" i="5"/>
  <c r="J23" i="5"/>
  <c r="K20" i="5"/>
  <c r="J20" i="5"/>
  <c r="H20" i="5"/>
  <c r="I20" i="5" s="1"/>
  <c r="H5" i="5"/>
  <c r="I5" i="5" s="1"/>
  <c r="AY228" i="4"/>
  <c r="AX228" i="4"/>
  <c r="AW228" i="4"/>
  <c r="AV228" i="4"/>
  <c r="AT228" i="4"/>
  <c r="AL228" i="4"/>
  <c r="AF228" i="4"/>
  <c r="AE228" i="4"/>
  <c r="Z228" i="4"/>
  <c r="T228" i="4"/>
  <c r="AU215" i="4"/>
  <c r="AT215" i="4"/>
  <c r="AS215" i="4"/>
  <c r="AR215" i="4"/>
  <c r="AQ215" i="4"/>
  <c r="AP215" i="4"/>
  <c r="AP228" i="4" s="1"/>
  <c r="AO215" i="4"/>
  <c r="AN215" i="4"/>
  <c r="AM215" i="4"/>
  <c r="AL215" i="4"/>
  <c r="AK215" i="4"/>
  <c r="AJ215" i="4"/>
  <c r="AI215" i="4"/>
  <c r="AH215" i="4"/>
  <c r="AH228" i="4" s="1"/>
  <c r="AG215" i="4"/>
  <c r="AF215" i="4"/>
  <c r="AE215" i="4"/>
  <c r="AD215" i="4"/>
  <c r="AD228" i="4" s="1"/>
  <c r="AC215" i="4"/>
  <c r="AB215" i="4"/>
  <c r="AA215" i="4"/>
  <c r="Z215" i="4"/>
  <c r="Y215" i="4"/>
  <c r="X215" i="4"/>
  <c r="W215" i="4"/>
  <c r="V215" i="4"/>
  <c r="V228" i="4" s="1"/>
  <c r="U215" i="4"/>
  <c r="T215" i="4"/>
  <c r="S215" i="4"/>
  <c r="O215" i="4"/>
  <c r="I215" i="4"/>
  <c r="J215" i="4" s="1"/>
  <c r="R215" i="4" s="1"/>
  <c r="F215" i="4"/>
  <c r="E215" i="4"/>
  <c r="AU214" i="4"/>
  <c r="AU228" i="4" s="1"/>
  <c r="AT214" i="4"/>
  <c r="AS214" i="4"/>
  <c r="AR214" i="4"/>
  <c r="AQ214" i="4"/>
  <c r="AQ228" i="4" s="1"/>
  <c r="AP214" i="4"/>
  <c r="AO214" i="4"/>
  <c r="AN214" i="4"/>
  <c r="AM214" i="4"/>
  <c r="AM228" i="4" s="1"/>
  <c r="AL214" i="4"/>
  <c r="AK214" i="4"/>
  <c r="AJ214" i="4"/>
  <c r="AI214" i="4"/>
  <c r="AI228" i="4" s="1"/>
  <c r="AH214" i="4"/>
  <c r="AG214" i="4"/>
  <c r="AF214" i="4"/>
  <c r="AE214" i="4"/>
  <c r="AD214" i="4"/>
  <c r="AC214" i="4"/>
  <c r="AB214" i="4"/>
  <c r="AB228" i="4" s="1"/>
  <c r="AA214" i="4"/>
  <c r="AA228" i="4" s="1"/>
  <c r="Z214" i="4"/>
  <c r="Y214" i="4"/>
  <c r="X214" i="4"/>
  <c r="X228" i="4" s="1"/>
  <c r="W214" i="4"/>
  <c r="W228" i="4" s="1"/>
  <c r="V214" i="4"/>
  <c r="U214" i="4"/>
  <c r="T214" i="4"/>
  <c r="S214" i="4"/>
  <c r="S228" i="4" s="1"/>
  <c r="O214" i="4"/>
  <c r="I214" i="4"/>
  <c r="J214" i="4" s="1"/>
  <c r="R214" i="4" s="1"/>
  <c r="R228" i="4" s="1"/>
  <c r="E214" i="4"/>
  <c r="F214" i="4" s="1"/>
  <c r="F228" i="4" s="1"/>
  <c r="AY212" i="4"/>
  <c r="AX212" i="4"/>
  <c r="AW212" i="4"/>
  <c r="AV212" i="4"/>
  <c r="AR212" i="4"/>
  <c r="AN212" i="4"/>
  <c r="AJ212" i="4"/>
  <c r="AI212" i="4"/>
  <c r="AB212" i="4"/>
  <c r="X212" i="4"/>
  <c r="U212" i="4"/>
  <c r="T212" i="4"/>
  <c r="J212" i="4"/>
  <c r="H212" i="4"/>
  <c r="AU198" i="4"/>
  <c r="AU212" i="4" s="1"/>
  <c r="AT198" i="4"/>
  <c r="AT212" i="4" s="1"/>
  <c r="AS198" i="4"/>
  <c r="AS212" i="4" s="1"/>
  <c r="AR198" i="4"/>
  <c r="AQ198" i="4"/>
  <c r="AQ212" i="4" s="1"/>
  <c r="AP198" i="4"/>
  <c r="AP212" i="4" s="1"/>
  <c r="AO198" i="4"/>
  <c r="AO212" i="4" s="1"/>
  <c r="AN198" i="4"/>
  <c r="AM198" i="4"/>
  <c r="AM212" i="4" s="1"/>
  <c r="AL198" i="4"/>
  <c r="AL212" i="4" s="1"/>
  <c r="AK198" i="4"/>
  <c r="AK212" i="4" s="1"/>
  <c r="AJ198" i="4"/>
  <c r="AI198" i="4"/>
  <c r="AH198" i="4"/>
  <c r="AH212" i="4" s="1"/>
  <c r="AG198" i="4"/>
  <c r="AG212" i="4" s="1"/>
  <c r="AF198" i="4"/>
  <c r="AF212" i="4" s="1"/>
  <c r="AE198" i="4"/>
  <c r="AE212" i="4" s="1"/>
  <c r="AD198" i="4"/>
  <c r="AD212" i="4" s="1"/>
  <c r="AC42" i="3" s="1"/>
  <c r="AC198" i="4"/>
  <c r="AC212" i="4" s="1"/>
  <c r="AB198" i="4"/>
  <c r="AA198" i="4"/>
  <c r="AA212" i="4" s="1"/>
  <c r="Z198" i="4"/>
  <c r="Z212" i="4" s="1"/>
  <c r="Y198" i="4"/>
  <c r="Y212" i="4" s="1"/>
  <c r="X198" i="4"/>
  <c r="W198" i="4"/>
  <c r="W212" i="4" s="1"/>
  <c r="V198" i="4"/>
  <c r="V212" i="4" s="1"/>
  <c r="U198" i="4"/>
  <c r="T198" i="4"/>
  <c r="S198" i="4"/>
  <c r="S212" i="4" s="1"/>
  <c r="R198" i="4"/>
  <c r="R212" i="4" s="1"/>
  <c r="O198" i="4"/>
  <c r="K198" i="4"/>
  <c r="J198" i="4"/>
  <c r="I198" i="4"/>
  <c r="H198" i="4"/>
  <c r="F198" i="4"/>
  <c r="F212" i="4" s="1"/>
  <c r="L212" i="4" s="1"/>
  <c r="AY196" i="4"/>
  <c r="AX196" i="4"/>
  <c r="AW196" i="4"/>
  <c r="AV196" i="4"/>
  <c r="AU196" i="4"/>
  <c r="AR196" i="4"/>
  <c r="AQ196" i="4"/>
  <c r="AN196" i="4"/>
  <c r="AM196" i="4"/>
  <c r="AJ196" i="4"/>
  <c r="AI196" i="4"/>
  <c r="AF196" i="4"/>
  <c r="AE196" i="4"/>
  <c r="AB196" i="4"/>
  <c r="AA196" i="4"/>
  <c r="X196" i="4"/>
  <c r="W196" i="4"/>
  <c r="T196" i="4"/>
  <c r="S196" i="4"/>
  <c r="H196" i="4"/>
  <c r="AU183" i="4"/>
  <c r="AT183" i="4"/>
  <c r="AS183" i="4"/>
  <c r="AR183" i="4"/>
  <c r="AQ183" i="4"/>
  <c r="AP183" i="4"/>
  <c r="AO183" i="4"/>
  <c r="AN183" i="4"/>
  <c r="AM183" i="4"/>
  <c r="AL183" i="4"/>
  <c r="AK183" i="4"/>
  <c r="AJ183" i="4"/>
  <c r="AI183" i="4"/>
  <c r="AH183" i="4"/>
  <c r="AF183" i="4"/>
  <c r="AE183" i="4"/>
  <c r="AD183" i="4"/>
  <c r="AC183" i="4"/>
  <c r="AB183" i="4"/>
  <c r="AA183" i="4"/>
  <c r="Z183" i="4"/>
  <c r="Y183" i="4"/>
  <c r="X183" i="4"/>
  <c r="W183" i="4"/>
  <c r="V183" i="4"/>
  <c r="U183" i="4"/>
  <c r="T183" i="4"/>
  <c r="S183" i="4"/>
  <c r="R183" i="4"/>
  <c r="O183" i="4"/>
  <c r="J183" i="4"/>
  <c r="H183" i="4"/>
  <c r="F183" i="4"/>
  <c r="L183" i="4" s="1"/>
  <c r="AG183" i="4" s="1"/>
  <c r="E183" i="4"/>
  <c r="K183" i="4" s="1"/>
  <c r="AU182" i="4"/>
  <c r="AT182" i="4"/>
  <c r="AT196" i="4" s="1"/>
  <c r="AS182" i="4"/>
  <c r="AS196" i="4" s="1"/>
  <c r="AR182" i="4"/>
  <c r="AQ182" i="4"/>
  <c r="AP182" i="4"/>
  <c r="AP196" i="4" s="1"/>
  <c r="AO182" i="4"/>
  <c r="AO196" i="4" s="1"/>
  <c r="AN182" i="4"/>
  <c r="AM182" i="4"/>
  <c r="AL182" i="4"/>
  <c r="AL196" i="4" s="1"/>
  <c r="AK182" i="4"/>
  <c r="AK196" i="4" s="1"/>
  <c r="AJ182" i="4"/>
  <c r="AI182" i="4"/>
  <c r="AH182" i="4"/>
  <c r="AH196" i="4" s="1"/>
  <c r="AF182" i="4"/>
  <c r="AE182" i="4"/>
  <c r="AD182" i="4"/>
  <c r="AD196" i="4" s="1"/>
  <c r="AC182" i="4"/>
  <c r="AB182" i="4"/>
  <c r="AA182" i="4"/>
  <c r="Z182" i="4"/>
  <c r="Z196" i="4" s="1"/>
  <c r="Y182" i="4"/>
  <c r="X182" i="4"/>
  <c r="W182" i="4"/>
  <c r="V182" i="4"/>
  <c r="V196" i="4" s="1"/>
  <c r="U182" i="4"/>
  <c r="T182" i="4"/>
  <c r="S182" i="4"/>
  <c r="R182" i="4"/>
  <c r="R196" i="4" s="1"/>
  <c r="O182" i="4"/>
  <c r="J182" i="4"/>
  <c r="J196" i="4" s="1"/>
  <c r="H182" i="4"/>
  <c r="E182" i="4"/>
  <c r="F182" i="4" s="1"/>
  <c r="AY180" i="4"/>
  <c r="AX180" i="4"/>
  <c r="AW180" i="4"/>
  <c r="AV180" i="4"/>
  <c r="AU174" i="4"/>
  <c r="AT174" i="4"/>
  <c r="AS174" i="4"/>
  <c r="AR174" i="4"/>
  <c r="AQ174" i="4"/>
  <c r="AP174" i="4"/>
  <c r="AO174" i="4"/>
  <c r="AN174" i="4"/>
  <c r="AM174" i="4"/>
  <c r="AL174" i="4"/>
  <c r="AK174" i="4"/>
  <c r="AJ174" i="4"/>
  <c r="AI174" i="4"/>
  <c r="AH174" i="4"/>
  <c r="AG174" i="4"/>
  <c r="AF174" i="4"/>
  <c r="AE174" i="4"/>
  <c r="AD174" i="4"/>
  <c r="AC174" i="4"/>
  <c r="AB174" i="4"/>
  <c r="AA174" i="4"/>
  <c r="Z174" i="4"/>
  <c r="Y174" i="4"/>
  <c r="X174" i="4"/>
  <c r="W174" i="4"/>
  <c r="V174" i="4"/>
  <c r="U174" i="4"/>
  <c r="T174" i="4"/>
  <c r="S174" i="4"/>
  <c r="O174" i="4"/>
  <c r="AU173" i="4"/>
  <c r="AT173" i="4"/>
  <c r="AS173" i="4"/>
  <c r="AR173" i="4"/>
  <c r="AQ173" i="4"/>
  <c r="AP173" i="4"/>
  <c r="AO173" i="4"/>
  <c r="AN173" i="4"/>
  <c r="AM173" i="4"/>
  <c r="AL173" i="4"/>
  <c r="AK173" i="4"/>
  <c r="AJ173" i="4"/>
  <c r="AI173" i="4"/>
  <c r="AH173" i="4"/>
  <c r="AG173" i="4"/>
  <c r="AF173" i="4"/>
  <c r="AE173" i="4"/>
  <c r="AD173" i="4"/>
  <c r="AC173" i="4"/>
  <c r="AB173" i="4"/>
  <c r="AA173" i="4"/>
  <c r="Z173" i="4"/>
  <c r="Y173" i="4"/>
  <c r="X173" i="4"/>
  <c r="W173" i="4"/>
  <c r="V173" i="4"/>
  <c r="U173" i="4"/>
  <c r="T173" i="4"/>
  <c r="S173" i="4"/>
  <c r="O173" i="4"/>
  <c r="AU172" i="4"/>
  <c r="AT172" i="4"/>
  <c r="AS172" i="4"/>
  <c r="AR172" i="4"/>
  <c r="AQ172" i="4"/>
  <c r="AP172" i="4"/>
  <c r="AO172" i="4"/>
  <c r="AN172" i="4"/>
  <c r="AM172" i="4"/>
  <c r="AL172" i="4"/>
  <c r="AK172" i="4"/>
  <c r="AJ172" i="4"/>
  <c r="AI172" i="4"/>
  <c r="AH172" i="4"/>
  <c r="AG172" i="4"/>
  <c r="AF172" i="4"/>
  <c r="AE172" i="4"/>
  <c r="AD172" i="4"/>
  <c r="AC172" i="4"/>
  <c r="AB172" i="4"/>
  <c r="AA172" i="4"/>
  <c r="Z172" i="4"/>
  <c r="Y172" i="4"/>
  <c r="X172" i="4"/>
  <c r="W172" i="4"/>
  <c r="V172" i="4"/>
  <c r="U172" i="4"/>
  <c r="T172" i="4"/>
  <c r="S172" i="4"/>
  <c r="O172" i="4"/>
  <c r="AU171" i="4"/>
  <c r="AT171" i="4"/>
  <c r="AS171" i="4"/>
  <c r="AR171" i="4"/>
  <c r="AQ171" i="4"/>
  <c r="AP171" i="4"/>
  <c r="AO171" i="4"/>
  <c r="AN171" i="4"/>
  <c r="AM171" i="4"/>
  <c r="AL171" i="4"/>
  <c r="AK171" i="4"/>
  <c r="AJ171" i="4"/>
  <c r="AI171" i="4"/>
  <c r="AH171" i="4"/>
  <c r="AG171" i="4"/>
  <c r="AF171" i="4"/>
  <c r="AE171" i="4"/>
  <c r="AD171" i="4"/>
  <c r="AC171" i="4"/>
  <c r="AB171" i="4"/>
  <c r="AA171" i="4"/>
  <c r="Z171" i="4"/>
  <c r="Y171" i="4"/>
  <c r="X171" i="4"/>
  <c r="W171" i="4"/>
  <c r="V171" i="4"/>
  <c r="U171" i="4"/>
  <c r="T171" i="4"/>
  <c r="S171" i="4"/>
  <c r="O171" i="4"/>
  <c r="AU170" i="4"/>
  <c r="AT170" i="4"/>
  <c r="AS170" i="4"/>
  <c r="AR170" i="4"/>
  <c r="AQ170" i="4"/>
  <c r="AP170" i="4"/>
  <c r="AO170" i="4"/>
  <c r="AN170" i="4"/>
  <c r="AM170" i="4"/>
  <c r="AL170" i="4"/>
  <c r="AK170" i="4"/>
  <c r="AJ170" i="4"/>
  <c r="AI170" i="4"/>
  <c r="AH170" i="4"/>
  <c r="AG170" i="4"/>
  <c r="AF170" i="4"/>
  <c r="AE170" i="4"/>
  <c r="AD170" i="4"/>
  <c r="AC170" i="4"/>
  <c r="AB170" i="4"/>
  <c r="AA170" i="4"/>
  <c r="Z170" i="4"/>
  <c r="Y170" i="4"/>
  <c r="X170" i="4"/>
  <c r="W170" i="4"/>
  <c r="V170" i="4"/>
  <c r="U170" i="4"/>
  <c r="T170" i="4"/>
  <c r="S170" i="4"/>
  <c r="O170" i="4"/>
  <c r="AU169" i="4"/>
  <c r="AT169" i="4"/>
  <c r="AS169" i="4"/>
  <c r="AR169" i="4"/>
  <c r="AQ169" i="4"/>
  <c r="AP169" i="4"/>
  <c r="AO169" i="4"/>
  <c r="AN169" i="4"/>
  <c r="AM169" i="4"/>
  <c r="AL169" i="4"/>
  <c r="AK169" i="4"/>
  <c r="AJ169" i="4"/>
  <c r="AI169" i="4"/>
  <c r="AH169" i="4"/>
  <c r="AG169" i="4"/>
  <c r="AF169" i="4"/>
  <c r="AE169" i="4"/>
  <c r="AD169" i="4"/>
  <c r="AC169" i="4"/>
  <c r="AB169" i="4"/>
  <c r="AA169" i="4"/>
  <c r="Z169" i="4"/>
  <c r="Y169" i="4"/>
  <c r="X169" i="4"/>
  <c r="W169" i="4"/>
  <c r="V169" i="4"/>
  <c r="U169" i="4"/>
  <c r="T169" i="4"/>
  <c r="S169" i="4"/>
  <c r="O169" i="4"/>
  <c r="I169" i="4"/>
  <c r="J169" i="4" s="1"/>
  <c r="R169" i="4" s="1"/>
  <c r="AU168" i="4"/>
  <c r="AT168" i="4"/>
  <c r="AS168" i="4"/>
  <c r="AR168" i="4"/>
  <c r="AQ168" i="4"/>
  <c r="AP168" i="4"/>
  <c r="AO168" i="4"/>
  <c r="AN168" i="4"/>
  <c r="AM168" i="4"/>
  <c r="AL168" i="4"/>
  <c r="AK168" i="4"/>
  <c r="AJ168" i="4"/>
  <c r="AI168" i="4"/>
  <c r="AH168" i="4"/>
  <c r="AG168" i="4"/>
  <c r="AF168" i="4"/>
  <c r="AE168" i="4"/>
  <c r="AD168" i="4"/>
  <c r="AC168" i="4"/>
  <c r="AB168" i="4"/>
  <c r="AA168" i="4"/>
  <c r="Z168" i="4"/>
  <c r="Y168" i="4"/>
  <c r="X168" i="4"/>
  <c r="W168" i="4"/>
  <c r="V168" i="4"/>
  <c r="U168" i="4"/>
  <c r="T168" i="4"/>
  <c r="S168" i="4"/>
  <c r="O168" i="4"/>
  <c r="J168" i="4"/>
  <c r="R168" i="4" s="1"/>
  <c r="I168" i="4"/>
  <c r="AU167" i="4"/>
  <c r="AT167" i="4"/>
  <c r="AS167" i="4"/>
  <c r="AR167" i="4"/>
  <c r="AQ167" i="4"/>
  <c r="AP167" i="4"/>
  <c r="AO167" i="4"/>
  <c r="AN167" i="4"/>
  <c r="AM167" i="4"/>
  <c r="AL167" i="4"/>
  <c r="AK167" i="4"/>
  <c r="AJ167" i="4"/>
  <c r="AI167" i="4"/>
  <c r="AH167" i="4"/>
  <c r="AG167" i="4"/>
  <c r="AF167" i="4"/>
  <c r="AE167" i="4"/>
  <c r="AD167" i="4"/>
  <c r="AC167" i="4"/>
  <c r="AB167" i="4"/>
  <c r="AA167" i="4"/>
  <c r="Z167" i="4"/>
  <c r="Y167" i="4"/>
  <c r="X167" i="4"/>
  <c r="W167" i="4"/>
  <c r="V167" i="4"/>
  <c r="U167" i="4"/>
  <c r="T167" i="4"/>
  <c r="S167" i="4"/>
  <c r="R167" i="4"/>
  <c r="O167" i="4"/>
  <c r="J167" i="4"/>
  <c r="I167" i="4"/>
  <c r="F167" i="4"/>
  <c r="E167" i="4"/>
  <c r="AU166" i="4"/>
  <c r="AT166" i="4"/>
  <c r="AS166" i="4"/>
  <c r="AR166" i="4"/>
  <c r="AQ166" i="4"/>
  <c r="AP166" i="4"/>
  <c r="AO166" i="4"/>
  <c r="AN166" i="4"/>
  <c r="AM166" i="4"/>
  <c r="AL166" i="4"/>
  <c r="AK166" i="4"/>
  <c r="AJ166" i="4"/>
  <c r="AI166" i="4"/>
  <c r="AH166" i="4"/>
  <c r="AG166" i="4"/>
  <c r="AF166" i="4"/>
  <c r="AE166" i="4"/>
  <c r="AD166" i="4"/>
  <c r="AC166" i="4"/>
  <c r="AB166" i="4"/>
  <c r="AA166" i="4"/>
  <c r="Z166" i="4"/>
  <c r="Y166" i="4"/>
  <c r="X166" i="4"/>
  <c r="W166" i="4"/>
  <c r="V166" i="4"/>
  <c r="U166" i="4"/>
  <c r="T166" i="4"/>
  <c r="S166" i="4"/>
  <c r="O166" i="4"/>
  <c r="I166" i="4"/>
  <c r="J166" i="4" s="1"/>
  <c r="R166" i="4" s="1"/>
  <c r="E166" i="4"/>
  <c r="AU165" i="4"/>
  <c r="AT165" i="4"/>
  <c r="AS165" i="4"/>
  <c r="AR165" i="4"/>
  <c r="AQ165" i="4"/>
  <c r="AP165" i="4"/>
  <c r="AO165" i="4"/>
  <c r="AN165" i="4"/>
  <c r="AM165" i="4"/>
  <c r="AL165" i="4"/>
  <c r="AK165" i="4"/>
  <c r="AJ165" i="4"/>
  <c r="AI165" i="4"/>
  <c r="AH165" i="4"/>
  <c r="AG165" i="4"/>
  <c r="AF165" i="4"/>
  <c r="AE165" i="4"/>
  <c r="AD165" i="4"/>
  <c r="AC165" i="4"/>
  <c r="AB165" i="4"/>
  <c r="AA165" i="4"/>
  <c r="Z165" i="4"/>
  <c r="Y165" i="4"/>
  <c r="X165" i="4"/>
  <c r="W165" i="4"/>
  <c r="V165" i="4"/>
  <c r="U165" i="4"/>
  <c r="T165" i="4"/>
  <c r="S165" i="4"/>
  <c r="O165" i="4"/>
  <c r="E165" i="4"/>
  <c r="AU164" i="4"/>
  <c r="AT164" i="4"/>
  <c r="AS164" i="4"/>
  <c r="AR164" i="4"/>
  <c r="AQ164" i="4"/>
  <c r="AQ180" i="4" s="1"/>
  <c r="AP40" i="3" s="1"/>
  <c r="AP52" i="3" s="1"/>
  <c r="AP6" i="3" s="1"/>
  <c r="AP164" i="4"/>
  <c r="AO164" i="4"/>
  <c r="AN164" i="4"/>
  <c r="AM164" i="4"/>
  <c r="AL164" i="4"/>
  <c r="AK164" i="4"/>
  <c r="AJ164" i="4"/>
  <c r="AI164" i="4"/>
  <c r="AH164" i="4"/>
  <c r="AG164" i="4"/>
  <c r="AF164" i="4"/>
  <c r="AE164" i="4"/>
  <c r="AD164" i="4"/>
  <c r="AC164" i="4"/>
  <c r="AB164" i="4"/>
  <c r="AA164" i="4"/>
  <c r="AA180" i="4" s="1"/>
  <c r="Z40" i="3" s="1"/>
  <c r="Z52" i="3" s="1"/>
  <c r="Z6" i="3" s="1"/>
  <c r="Z164" i="4"/>
  <c r="Y164" i="4"/>
  <c r="X164" i="4"/>
  <c r="W164" i="4"/>
  <c r="V164" i="4"/>
  <c r="U164" i="4"/>
  <c r="T164" i="4"/>
  <c r="S164" i="4"/>
  <c r="O164" i="4"/>
  <c r="AU163" i="4"/>
  <c r="AT163" i="4"/>
  <c r="AS163" i="4"/>
  <c r="AR163" i="4"/>
  <c r="AQ163" i="4"/>
  <c r="AP163" i="4"/>
  <c r="AO163" i="4"/>
  <c r="AN163" i="4"/>
  <c r="AM163" i="4"/>
  <c r="AL163" i="4"/>
  <c r="AK163" i="4"/>
  <c r="AJ163" i="4"/>
  <c r="AI163" i="4"/>
  <c r="AH163" i="4"/>
  <c r="AG163" i="4"/>
  <c r="AF163" i="4"/>
  <c r="AE163" i="4"/>
  <c r="AD163" i="4"/>
  <c r="AC163" i="4"/>
  <c r="AB163" i="4"/>
  <c r="AA163" i="4"/>
  <c r="Z163" i="4"/>
  <c r="Y163" i="4"/>
  <c r="X163" i="4"/>
  <c r="W163" i="4"/>
  <c r="V163" i="4"/>
  <c r="U163" i="4"/>
  <c r="T163" i="4"/>
  <c r="S163" i="4"/>
  <c r="R163" i="4"/>
  <c r="O163" i="4"/>
  <c r="J163" i="4"/>
  <c r="I163" i="4"/>
  <c r="AU162" i="4"/>
  <c r="AT162" i="4"/>
  <c r="AS162" i="4"/>
  <c r="AR162" i="4"/>
  <c r="AQ162" i="4"/>
  <c r="AP162" i="4"/>
  <c r="AO162" i="4"/>
  <c r="AN162" i="4"/>
  <c r="AM162" i="4"/>
  <c r="AL162" i="4"/>
  <c r="AK162" i="4"/>
  <c r="AJ162" i="4"/>
  <c r="AI162" i="4"/>
  <c r="AH162" i="4"/>
  <c r="AG162" i="4"/>
  <c r="AF162" i="4"/>
  <c r="AE162" i="4"/>
  <c r="AD162" i="4"/>
  <c r="AC162" i="4"/>
  <c r="AB162" i="4"/>
  <c r="AA162" i="4"/>
  <c r="Z162" i="4"/>
  <c r="Y162" i="4"/>
  <c r="X162" i="4"/>
  <c r="W162" i="4"/>
  <c r="V162" i="4"/>
  <c r="U162" i="4"/>
  <c r="T162" i="4"/>
  <c r="S162" i="4"/>
  <c r="O162" i="4"/>
  <c r="AU161" i="4"/>
  <c r="AT161" i="4"/>
  <c r="AS161" i="4"/>
  <c r="AR161" i="4"/>
  <c r="AQ161" i="4"/>
  <c r="AP161" i="4"/>
  <c r="AO161" i="4"/>
  <c r="AN161" i="4"/>
  <c r="AM161" i="4"/>
  <c r="AL161" i="4"/>
  <c r="AK161" i="4"/>
  <c r="AJ161" i="4"/>
  <c r="AI161" i="4"/>
  <c r="AH161" i="4"/>
  <c r="AG161" i="4"/>
  <c r="AF161" i="4"/>
  <c r="AE161" i="4"/>
  <c r="AD161" i="4"/>
  <c r="AC161" i="4"/>
  <c r="AB161" i="4"/>
  <c r="AA161" i="4"/>
  <c r="Z161" i="4"/>
  <c r="Y161" i="4"/>
  <c r="X161" i="4"/>
  <c r="W161" i="4"/>
  <c r="V161" i="4"/>
  <c r="U161" i="4"/>
  <c r="T161" i="4"/>
  <c r="S161" i="4"/>
  <c r="O161" i="4"/>
  <c r="I161" i="4"/>
  <c r="J161" i="4" s="1"/>
  <c r="R161" i="4" s="1"/>
  <c r="AU160" i="4"/>
  <c r="AT160" i="4"/>
  <c r="AS160" i="4"/>
  <c r="AR160" i="4"/>
  <c r="AQ160" i="4"/>
  <c r="AP160" i="4"/>
  <c r="AO160" i="4"/>
  <c r="AN160" i="4"/>
  <c r="AM160" i="4"/>
  <c r="AL160" i="4"/>
  <c r="AK160" i="4"/>
  <c r="AJ160" i="4"/>
  <c r="AI160" i="4"/>
  <c r="AH160" i="4"/>
  <c r="AG160" i="4"/>
  <c r="AF160" i="4"/>
  <c r="AE160" i="4"/>
  <c r="AD160" i="4"/>
  <c r="AC160" i="4"/>
  <c r="AB160" i="4"/>
  <c r="AA160" i="4"/>
  <c r="Z160" i="4"/>
  <c r="Y160" i="4"/>
  <c r="X160" i="4"/>
  <c r="W160" i="4"/>
  <c r="V160" i="4"/>
  <c r="U160" i="4"/>
  <c r="T160" i="4"/>
  <c r="S160" i="4"/>
  <c r="O160" i="4"/>
  <c r="J160" i="4"/>
  <c r="R160" i="4" s="1"/>
  <c r="I160" i="4"/>
  <c r="AU159" i="4"/>
  <c r="AT159" i="4"/>
  <c r="AS159" i="4"/>
  <c r="AR159" i="4"/>
  <c r="AQ159" i="4"/>
  <c r="AP159" i="4"/>
  <c r="AO159" i="4"/>
  <c r="AN159" i="4"/>
  <c r="AM159" i="4"/>
  <c r="AL159" i="4"/>
  <c r="AK159" i="4"/>
  <c r="AJ159" i="4"/>
  <c r="AI159" i="4"/>
  <c r="AH159" i="4"/>
  <c r="AG159" i="4"/>
  <c r="AF159" i="4"/>
  <c r="AE159" i="4"/>
  <c r="AD159" i="4"/>
  <c r="AC159" i="4"/>
  <c r="AB159" i="4"/>
  <c r="AA159" i="4"/>
  <c r="Z159" i="4"/>
  <c r="Y159" i="4"/>
  <c r="X159" i="4"/>
  <c r="W159" i="4"/>
  <c r="V159" i="4"/>
  <c r="U159" i="4"/>
  <c r="T159" i="4"/>
  <c r="S159" i="4"/>
  <c r="O159" i="4"/>
  <c r="AU158" i="4"/>
  <c r="AT158" i="4"/>
  <c r="AS158" i="4"/>
  <c r="AR158" i="4"/>
  <c r="AQ158" i="4"/>
  <c r="AP158" i="4"/>
  <c r="AO158" i="4"/>
  <c r="AN158" i="4"/>
  <c r="AM158" i="4"/>
  <c r="AL158" i="4"/>
  <c r="AK158" i="4"/>
  <c r="AJ158" i="4"/>
  <c r="AI158" i="4"/>
  <c r="AH158" i="4"/>
  <c r="AG158" i="4"/>
  <c r="AF158" i="4"/>
  <c r="AE158" i="4"/>
  <c r="AD158" i="4"/>
  <c r="AC158" i="4"/>
  <c r="AB158" i="4"/>
  <c r="AA158" i="4"/>
  <c r="Z158" i="4"/>
  <c r="Y158" i="4"/>
  <c r="X158" i="4"/>
  <c r="W158" i="4"/>
  <c r="V158" i="4"/>
  <c r="U158" i="4"/>
  <c r="T158" i="4"/>
  <c r="S158" i="4"/>
  <c r="O158" i="4"/>
  <c r="I158" i="4"/>
  <c r="J158" i="4" s="1"/>
  <c r="R158" i="4" s="1"/>
  <c r="AU157" i="4"/>
  <c r="AT157" i="4"/>
  <c r="AS157" i="4"/>
  <c r="AR157" i="4"/>
  <c r="AQ157" i="4"/>
  <c r="AP157" i="4"/>
  <c r="AO157" i="4"/>
  <c r="AN157" i="4"/>
  <c r="AM157" i="4"/>
  <c r="AL157" i="4"/>
  <c r="AK157" i="4"/>
  <c r="AJ157" i="4"/>
  <c r="AI157" i="4"/>
  <c r="AH157" i="4"/>
  <c r="AG157" i="4"/>
  <c r="AF157" i="4"/>
  <c r="AE157" i="4"/>
  <c r="AD157" i="4"/>
  <c r="AC157" i="4"/>
  <c r="AB157" i="4"/>
  <c r="AA157" i="4"/>
  <c r="Z157" i="4"/>
  <c r="Y157" i="4"/>
  <c r="X157" i="4"/>
  <c r="W157" i="4"/>
  <c r="V157" i="4"/>
  <c r="U157" i="4"/>
  <c r="T157" i="4"/>
  <c r="S157" i="4"/>
  <c r="O157" i="4"/>
  <c r="I157" i="4"/>
  <c r="J157" i="4" s="1"/>
  <c r="R157" i="4" s="1"/>
  <c r="AU156" i="4"/>
  <c r="AT156" i="4"/>
  <c r="AS156" i="4"/>
  <c r="AR156" i="4"/>
  <c r="AQ156" i="4"/>
  <c r="AP156" i="4"/>
  <c r="AO156" i="4"/>
  <c r="AN156" i="4"/>
  <c r="AM156" i="4"/>
  <c r="AL156" i="4"/>
  <c r="AK156" i="4"/>
  <c r="AJ156" i="4"/>
  <c r="AI156" i="4"/>
  <c r="AH156" i="4"/>
  <c r="AG156" i="4"/>
  <c r="AF156" i="4"/>
  <c r="AE156" i="4"/>
  <c r="AD156" i="4"/>
  <c r="AC156" i="4"/>
  <c r="AB156" i="4"/>
  <c r="AA156" i="4"/>
  <c r="Z156" i="4"/>
  <c r="Y156" i="4"/>
  <c r="X156" i="4"/>
  <c r="W156" i="4"/>
  <c r="V156" i="4"/>
  <c r="U156" i="4"/>
  <c r="T156" i="4"/>
  <c r="S156" i="4"/>
  <c r="O156" i="4"/>
  <c r="J156" i="4"/>
  <c r="R156" i="4" s="1"/>
  <c r="I156" i="4"/>
  <c r="F156" i="4"/>
  <c r="E156" i="4"/>
  <c r="AU155" i="4"/>
  <c r="AT155" i="4"/>
  <c r="AS155" i="4"/>
  <c r="AR155" i="4"/>
  <c r="AQ155" i="4"/>
  <c r="AP155" i="4"/>
  <c r="AO155" i="4"/>
  <c r="AN155" i="4"/>
  <c r="AM155" i="4"/>
  <c r="AL155" i="4"/>
  <c r="AK155" i="4"/>
  <c r="AJ155" i="4"/>
  <c r="AI155" i="4"/>
  <c r="AH155" i="4"/>
  <c r="AG155" i="4"/>
  <c r="AF155" i="4"/>
  <c r="AE155" i="4"/>
  <c r="AD155" i="4"/>
  <c r="AC155" i="4"/>
  <c r="AB155" i="4"/>
  <c r="AA155" i="4"/>
  <c r="Z155" i="4"/>
  <c r="Y155" i="4"/>
  <c r="X155" i="4"/>
  <c r="W155" i="4"/>
  <c r="V155" i="4"/>
  <c r="U155" i="4"/>
  <c r="T155" i="4"/>
  <c r="S155" i="4"/>
  <c r="R155" i="4"/>
  <c r="O155" i="4"/>
  <c r="J155" i="4"/>
  <c r="I155" i="4"/>
  <c r="AU154" i="4"/>
  <c r="AT154" i="4"/>
  <c r="AS154" i="4"/>
  <c r="AR154" i="4"/>
  <c r="AQ154" i="4"/>
  <c r="AP154" i="4"/>
  <c r="AO154" i="4"/>
  <c r="AN154" i="4"/>
  <c r="AM154" i="4"/>
  <c r="AL154" i="4"/>
  <c r="AK154" i="4"/>
  <c r="AJ154" i="4"/>
  <c r="AI154" i="4"/>
  <c r="AH154" i="4"/>
  <c r="AG154" i="4"/>
  <c r="AF154" i="4"/>
  <c r="AE154" i="4"/>
  <c r="AD154" i="4"/>
  <c r="AC154" i="4"/>
  <c r="AB154" i="4"/>
  <c r="AA154" i="4"/>
  <c r="Z154" i="4"/>
  <c r="Y154" i="4"/>
  <c r="X154" i="4"/>
  <c r="W154" i="4"/>
  <c r="V154" i="4"/>
  <c r="U154" i="4"/>
  <c r="T154" i="4"/>
  <c r="S154" i="4"/>
  <c r="R154" i="4"/>
  <c r="O154" i="4"/>
  <c r="J154" i="4"/>
  <c r="I154" i="4"/>
  <c r="H154" i="4"/>
  <c r="G154" i="4"/>
  <c r="AU153" i="4"/>
  <c r="AT153" i="4"/>
  <c r="AS153" i="4"/>
  <c r="AR153" i="4"/>
  <c r="AQ153" i="4"/>
  <c r="AP153" i="4"/>
  <c r="AO153" i="4"/>
  <c r="AN153" i="4"/>
  <c r="AM153" i="4"/>
  <c r="AL153" i="4"/>
  <c r="AK153" i="4"/>
  <c r="AJ153" i="4"/>
  <c r="AI153" i="4"/>
  <c r="AH153" i="4"/>
  <c r="AG153" i="4"/>
  <c r="AF153" i="4"/>
  <c r="AE153" i="4"/>
  <c r="AD153" i="4"/>
  <c r="AC153" i="4"/>
  <c r="AB153" i="4"/>
  <c r="AA153" i="4"/>
  <c r="Z153" i="4"/>
  <c r="Y153" i="4"/>
  <c r="X153" i="4"/>
  <c r="W153" i="4"/>
  <c r="V153" i="4"/>
  <c r="U153" i="4"/>
  <c r="T153" i="4"/>
  <c r="S153" i="4"/>
  <c r="O153" i="4"/>
  <c r="I153" i="4"/>
  <c r="J153" i="4" s="1"/>
  <c r="R153" i="4" s="1"/>
  <c r="H153" i="4"/>
  <c r="G153" i="4"/>
  <c r="E153" i="4"/>
  <c r="AU152" i="4"/>
  <c r="AT152" i="4"/>
  <c r="AS152" i="4"/>
  <c r="AR152" i="4"/>
  <c r="AQ152" i="4"/>
  <c r="AP152" i="4"/>
  <c r="AO152" i="4"/>
  <c r="AN152" i="4"/>
  <c r="AM152" i="4"/>
  <c r="AL152" i="4"/>
  <c r="AK152" i="4"/>
  <c r="AJ152" i="4"/>
  <c r="AI152" i="4"/>
  <c r="AH152" i="4"/>
  <c r="AG152" i="4"/>
  <c r="AF152" i="4"/>
  <c r="AE152" i="4"/>
  <c r="AD152" i="4"/>
  <c r="AC152" i="4"/>
  <c r="AB152" i="4"/>
  <c r="AA152" i="4"/>
  <c r="Z152" i="4"/>
  <c r="Y152" i="4"/>
  <c r="X152" i="4"/>
  <c r="W152" i="4"/>
  <c r="V152" i="4"/>
  <c r="U152" i="4"/>
  <c r="T152" i="4"/>
  <c r="S152" i="4"/>
  <c r="O152" i="4"/>
  <c r="AU151" i="4"/>
  <c r="AT151" i="4"/>
  <c r="AS151" i="4"/>
  <c r="AR151" i="4"/>
  <c r="AQ151" i="4"/>
  <c r="AP151" i="4"/>
  <c r="AO151" i="4"/>
  <c r="AN151" i="4"/>
  <c r="AM151" i="4"/>
  <c r="AL151" i="4"/>
  <c r="AK151" i="4"/>
  <c r="AJ151" i="4"/>
  <c r="AI151" i="4"/>
  <c r="AH151" i="4"/>
  <c r="AG151" i="4"/>
  <c r="AF151" i="4"/>
  <c r="AE151" i="4"/>
  <c r="AD151" i="4"/>
  <c r="AC151" i="4"/>
  <c r="AB151" i="4"/>
  <c r="AA151" i="4"/>
  <c r="Z151" i="4"/>
  <c r="Y151" i="4"/>
  <c r="X151" i="4"/>
  <c r="W151" i="4"/>
  <c r="V151" i="4"/>
  <c r="U151" i="4"/>
  <c r="T151" i="4"/>
  <c r="S151" i="4"/>
  <c r="O151" i="4"/>
  <c r="AU150" i="4"/>
  <c r="AT150" i="4"/>
  <c r="AS150" i="4"/>
  <c r="AR150" i="4"/>
  <c r="AQ150" i="4"/>
  <c r="AP150" i="4"/>
  <c r="AO150" i="4"/>
  <c r="AN150" i="4"/>
  <c r="AM150" i="4"/>
  <c r="AL150" i="4"/>
  <c r="AK150" i="4"/>
  <c r="AJ150" i="4"/>
  <c r="AI150" i="4"/>
  <c r="AH150" i="4"/>
  <c r="AG150" i="4"/>
  <c r="AF150" i="4"/>
  <c r="AE150" i="4"/>
  <c r="AD150" i="4"/>
  <c r="AC150" i="4"/>
  <c r="AB150" i="4"/>
  <c r="AA150" i="4"/>
  <c r="Z150" i="4"/>
  <c r="Y150" i="4"/>
  <c r="X150" i="4"/>
  <c r="W150" i="4"/>
  <c r="V150" i="4"/>
  <c r="U150" i="4"/>
  <c r="T150" i="4"/>
  <c r="S150" i="4"/>
  <c r="O150" i="4"/>
  <c r="I150" i="4"/>
  <c r="J150" i="4" s="1"/>
  <c r="AY148" i="4"/>
  <c r="AX148" i="4"/>
  <c r="AW148" i="4"/>
  <c r="AV148" i="4"/>
  <c r="AR148" i="4"/>
  <c r="AQ39" i="3" s="1"/>
  <c r="AU136" i="4"/>
  <c r="AT136" i="4"/>
  <c r="AS136" i="4"/>
  <c r="AR136" i="4"/>
  <c r="AQ136" i="4"/>
  <c r="AP136" i="4"/>
  <c r="AO136" i="4"/>
  <c r="AN136" i="4"/>
  <c r="AM136" i="4"/>
  <c r="AL136" i="4"/>
  <c r="AK136" i="4"/>
  <c r="AJ136" i="4"/>
  <c r="AI136" i="4"/>
  <c r="AH136" i="4"/>
  <c r="AG136" i="4"/>
  <c r="AF136" i="4"/>
  <c r="AE136" i="4"/>
  <c r="AD136" i="4"/>
  <c r="AC136" i="4"/>
  <c r="AB136" i="4"/>
  <c r="AA136" i="4"/>
  <c r="Z136" i="4"/>
  <c r="Y136" i="4"/>
  <c r="X136" i="4"/>
  <c r="W136" i="4"/>
  <c r="V136" i="4"/>
  <c r="U136" i="4"/>
  <c r="T136" i="4"/>
  <c r="S136" i="4"/>
  <c r="O136" i="4"/>
  <c r="AU135" i="4"/>
  <c r="AT135" i="4"/>
  <c r="AS135" i="4"/>
  <c r="AR135" i="4"/>
  <c r="AQ135" i="4"/>
  <c r="AP135" i="4"/>
  <c r="AO135" i="4"/>
  <c r="AN135" i="4"/>
  <c r="AM135" i="4"/>
  <c r="AL135" i="4"/>
  <c r="AK135" i="4"/>
  <c r="AJ135" i="4"/>
  <c r="AI135" i="4"/>
  <c r="AH135" i="4"/>
  <c r="AG135" i="4"/>
  <c r="AF135" i="4"/>
  <c r="AE135" i="4"/>
  <c r="AD135" i="4"/>
  <c r="AC135" i="4"/>
  <c r="AB135" i="4"/>
  <c r="AA135" i="4"/>
  <c r="Z135" i="4"/>
  <c r="Y135" i="4"/>
  <c r="X135" i="4"/>
  <c r="W135" i="4"/>
  <c r="V135" i="4"/>
  <c r="U135" i="4"/>
  <c r="T135" i="4"/>
  <c r="S135" i="4"/>
  <c r="O135" i="4"/>
  <c r="AU134" i="4"/>
  <c r="AU148" i="4" s="1"/>
  <c r="AT134" i="4"/>
  <c r="AS134" i="4"/>
  <c r="AR134" i="4"/>
  <c r="AQ134" i="4"/>
  <c r="AQ148" i="4" s="1"/>
  <c r="AP134" i="4"/>
  <c r="AO134" i="4"/>
  <c r="AN134" i="4"/>
  <c r="AN148" i="4" s="1"/>
  <c r="AM134" i="4"/>
  <c r="AM148" i="4" s="1"/>
  <c r="AL134" i="4"/>
  <c r="AK134" i="4"/>
  <c r="AJ134" i="4"/>
  <c r="AJ148" i="4" s="1"/>
  <c r="AI39" i="3" s="1"/>
  <c r="AI134" i="4"/>
  <c r="AI148" i="4" s="1"/>
  <c r="AH134" i="4"/>
  <c r="AG134" i="4"/>
  <c r="AF134" i="4"/>
  <c r="AF148" i="4" s="1"/>
  <c r="AE134" i="4"/>
  <c r="AE148" i="4" s="1"/>
  <c r="AD134" i="4"/>
  <c r="AC134" i="4"/>
  <c r="AB134" i="4"/>
  <c r="AB148" i="4" s="1"/>
  <c r="AA39" i="3" s="1"/>
  <c r="AA134" i="4"/>
  <c r="AA148" i="4" s="1"/>
  <c r="Z134" i="4"/>
  <c r="Y134" i="4"/>
  <c r="X134" i="4"/>
  <c r="X148" i="4" s="1"/>
  <c r="W134" i="4"/>
  <c r="W148" i="4" s="1"/>
  <c r="V134" i="4"/>
  <c r="U134" i="4"/>
  <c r="T134" i="4"/>
  <c r="T148" i="4" s="1"/>
  <c r="S39" i="3" s="1"/>
  <c r="S134" i="4"/>
  <c r="S148" i="4" s="1"/>
  <c r="O134" i="4"/>
  <c r="AY132" i="4"/>
  <c r="AX132" i="4"/>
  <c r="AW132" i="4"/>
  <c r="AV132" i="4"/>
  <c r="AU132" i="4"/>
  <c r="AR132" i="4"/>
  <c r="AQ132" i="4"/>
  <c r="AN132" i="4"/>
  <c r="AM132" i="4"/>
  <c r="AJ132" i="4"/>
  <c r="AI132" i="4"/>
  <c r="AF132" i="4"/>
  <c r="AE132" i="4"/>
  <c r="AB132" i="4"/>
  <c r="AA132" i="4"/>
  <c r="X132" i="4"/>
  <c r="W132" i="4"/>
  <c r="T132" i="4"/>
  <c r="S132" i="4"/>
  <c r="H132" i="4"/>
  <c r="AU118" i="4"/>
  <c r="AT118" i="4"/>
  <c r="AT132" i="4" s="1"/>
  <c r="AS118" i="4"/>
  <c r="AS132" i="4" s="1"/>
  <c r="AR118" i="4"/>
  <c r="AQ118" i="4"/>
  <c r="AP118" i="4"/>
  <c r="AP132" i="4" s="1"/>
  <c r="AO118" i="4"/>
  <c r="AO132" i="4" s="1"/>
  <c r="AN118" i="4"/>
  <c r="AM118" i="4"/>
  <c r="AL118" i="4"/>
  <c r="AL132" i="4" s="1"/>
  <c r="AK118" i="4"/>
  <c r="AK132" i="4" s="1"/>
  <c r="AJ118" i="4"/>
  <c r="AI118" i="4"/>
  <c r="AH118" i="4"/>
  <c r="AH132" i="4" s="1"/>
  <c r="AG118" i="4"/>
  <c r="AG132" i="4" s="1"/>
  <c r="AF118" i="4"/>
  <c r="AE118" i="4"/>
  <c r="AD118" i="4"/>
  <c r="AD132" i="4" s="1"/>
  <c r="AC118" i="4"/>
  <c r="AC132" i="4" s="1"/>
  <c r="AB118" i="4"/>
  <c r="AA118" i="4"/>
  <c r="Z118" i="4"/>
  <c r="Z132" i="4" s="1"/>
  <c r="Y118" i="4"/>
  <c r="Y132" i="4" s="1"/>
  <c r="X118" i="4"/>
  <c r="W118" i="4"/>
  <c r="V118" i="4"/>
  <c r="V132" i="4" s="1"/>
  <c r="U118" i="4"/>
  <c r="U132" i="4" s="1"/>
  <c r="T118" i="4"/>
  <c r="S118" i="4"/>
  <c r="O118" i="4"/>
  <c r="I118" i="4"/>
  <c r="J118" i="4" s="1"/>
  <c r="H118" i="4"/>
  <c r="G118" i="4"/>
  <c r="AY116" i="4"/>
  <c r="AX116" i="4"/>
  <c r="AW116" i="4"/>
  <c r="AV116" i="4"/>
  <c r="AR116" i="4"/>
  <c r="AN116" i="4"/>
  <c r="AJ116" i="4"/>
  <c r="AF116" i="4"/>
  <c r="X116" i="4"/>
  <c r="W27" i="3" s="1"/>
  <c r="J116" i="4"/>
  <c r="AU103" i="4"/>
  <c r="AT103" i="4"/>
  <c r="AS103" i="4"/>
  <c r="AR103" i="4"/>
  <c r="AQ103" i="4"/>
  <c r="AP103" i="4"/>
  <c r="AO103" i="4"/>
  <c r="AN103" i="4"/>
  <c r="AM103" i="4"/>
  <c r="AL103" i="4"/>
  <c r="AK103" i="4"/>
  <c r="AJ103" i="4"/>
  <c r="AI103" i="4"/>
  <c r="AH103" i="4"/>
  <c r="AG103" i="4"/>
  <c r="AF103" i="4"/>
  <c r="AE103" i="4"/>
  <c r="AD103" i="4"/>
  <c r="AC103" i="4"/>
  <c r="AB103" i="4"/>
  <c r="AA103" i="4"/>
  <c r="Z103" i="4"/>
  <c r="Y103" i="4"/>
  <c r="X103" i="4"/>
  <c r="W103" i="4"/>
  <c r="V103" i="4"/>
  <c r="U103" i="4"/>
  <c r="T103" i="4"/>
  <c r="S103" i="4"/>
  <c r="R103" i="4"/>
  <c r="O103" i="4"/>
  <c r="K103" i="4"/>
  <c r="J103" i="4"/>
  <c r="I103" i="4"/>
  <c r="G103" i="4"/>
  <c r="H103" i="4" s="1"/>
  <c r="F103" i="4"/>
  <c r="L103" i="4" s="1"/>
  <c r="E103" i="4"/>
  <c r="AU102" i="4"/>
  <c r="AU116" i="4" s="1"/>
  <c r="AT102" i="4"/>
  <c r="AS102" i="4"/>
  <c r="AS116" i="4" s="1"/>
  <c r="AR102" i="4"/>
  <c r="AQ102" i="4"/>
  <c r="AQ116" i="4" s="1"/>
  <c r="AP102" i="4"/>
  <c r="AO102" i="4"/>
  <c r="AO116" i="4" s="1"/>
  <c r="AN102" i="4"/>
  <c r="AM102" i="4"/>
  <c r="AM116" i="4" s="1"/>
  <c r="AL102" i="4"/>
  <c r="AK102" i="4"/>
  <c r="AK116" i="4" s="1"/>
  <c r="AJ102" i="4"/>
  <c r="AI102" i="4"/>
  <c r="AI116" i="4" s="1"/>
  <c r="AH102" i="4"/>
  <c r="AG102" i="4"/>
  <c r="AG116" i="4" s="1"/>
  <c r="AF102" i="4"/>
  <c r="AE102" i="4"/>
  <c r="AE116" i="4" s="1"/>
  <c r="AD102" i="4"/>
  <c r="AC102" i="4"/>
  <c r="AC116" i="4" s="1"/>
  <c r="AB102" i="4"/>
  <c r="AB116" i="4" s="1"/>
  <c r="AA102" i="4"/>
  <c r="AA116" i="4" s="1"/>
  <c r="Z102" i="4"/>
  <c r="Y102" i="4"/>
  <c r="Y116" i="4" s="1"/>
  <c r="X102" i="4"/>
  <c r="W102" i="4"/>
  <c r="W116" i="4" s="1"/>
  <c r="V102" i="4"/>
  <c r="U102" i="4"/>
  <c r="U116" i="4" s="1"/>
  <c r="T102" i="4"/>
  <c r="T116" i="4" s="1"/>
  <c r="S102" i="4"/>
  <c r="S116" i="4" s="1"/>
  <c r="O102" i="4"/>
  <c r="J102" i="4"/>
  <c r="R102" i="4" s="1"/>
  <c r="R116" i="4" s="1"/>
  <c r="I102" i="4"/>
  <c r="H102" i="4"/>
  <c r="H116" i="4" s="1"/>
  <c r="G102" i="4"/>
  <c r="F102" i="4"/>
  <c r="E102" i="4"/>
  <c r="K102" i="4" s="1"/>
  <c r="AY100" i="4"/>
  <c r="AX100" i="4"/>
  <c r="AW100" i="4"/>
  <c r="AV100" i="4"/>
  <c r="AR100" i="4"/>
  <c r="AO100" i="4"/>
  <c r="AJ100" i="4"/>
  <c r="AB100" i="4"/>
  <c r="Y100" i="4"/>
  <c r="U100" i="4"/>
  <c r="H100" i="4"/>
  <c r="AU86" i="4"/>
  <c r="AU100" i="4" s="1"/>
  <c r="AT26" i="3" s="1"/>
  <c r="AT86" i="4"/>
  <c r="AT100" i="4" s="1"/>
  <c r="AS86" i="4"/>
  <c r="AS100" i="4" s="1"/>
  <c r="AR86" i="4"/>
  <c r="AQ86" i="4"/>
  <c r="AQ100" i="4" s="1"/>
  <c r="AP86" i="4"/>
  <c r="AP100" i="4" s="1"/>
  <c r="AO86" i="4"/>
  <c r="AN86" i="4"/>
  <c r="AN100" i="4" s="1"/>
  <c r="AM26" i="3" s="1"/>
  <c r="AM86" i="4"/>
  <c r="AM100" i="4" s="1"/>
  <c r="AL86" i="4"/>
  <c r="AL100" i="4" s="1"/>
  <c r="AK86" i="4"/>
  <c r="AK100" i="4" s="1"/>
  <c r="AJ86" i="4"/>
  <c r="AI86" i="4"/>
  <c r="AI100" i="4" s="1"/>
  <c r="AH86" i="4"/>
  <c r="AH100" i="4" s="1"/>
  <c r="AG86" i="4"/>
  <c r="AG100" i="4" s="1"/>
  <c r="AF86" i="4"/>
  <c r="AF100" i="4" s="1"/>
  <c r="AE26" i="3" s="1"/>
  <c r="AE86" i="4"/>
  <c r="AE100" i="4" s="1"/>
  <c r="AD26" i="3" s="1"/>
  <c r="AD86" i="4"/>
  <c r="AD100" i="4" s="1"/>
  <c r="AC86" i="4"/>
  <c r="AC100" i="4" s="1"/>
  <c r="AB86" i="4"/>
  <c r="AA86" i="4"/>
  <c r="AA100" i="4" s="1"/>
  <c r="Z86" i="4"/>
  <c r="Z100" i="4" s="1"/>
  <c r="Y86" i="4"/>
  <c r="X86" i="4"/>
  <c r="X100" i="4" s="1"/>
  <c r="W26" i="3" s="1"/>
  <c r="W86" i="4"/>
  <c r="W100" i="4" s="1"/>
  <c r="V86" i="4"/>
  <c r="V100" i="4" s="1"/>
  <c r="U86" i="4"/>
  <c r="T86" i="4"/>
  <c r="T100" i="4" s="1"/>
  <c r="S26" i="3" s="1"/>
  <c r="S86" i="4"/>
  <c r="S100" i="4" s="1"/>
  <c r="O86" i="4"/>
  <c r="K86" i="4"/>
  <c r="I86" i="4"/>
  <c r="J86" i="4" s="1"/>
  <c r="H86" i="4"/>
  <c r="F86" i="4"/>
  <c r="AY84" i="4"/>
  <c r="AX84" i="4"/>
  <c r="AW84" i="4"/>
  <c r="AV84" i="4"/>
  <c r="AR84" i="4"/>
  <c r="AN84" i="4"/>
  <c r="AJ84" i="4"/>
  <c r="AF84" i="4"/>
  <c r="AB84" i="4"/>
  <c r="X84" i="4"/>
  <c r="T84" i="4"/>
  <c r="J84" i="4"/>
  <c r="AU71" i="4"/>
  <c r="AT71" i="4"/>
  <c r="AS71" i="4"/>
  <c r="AR71" i="4"/>
  <c r="AQ71" i="4"/>
  <c r="AP71" i="4"/>
  <c r="AO71" i="4"/>
  <c r="AN71" i="4"/>
  <c r="AM71" i="4"/>
  <c r="AL71" i="4"/>
  <c r="AK71" i="4"/>
  <c r="AJ71" i="4"/>
  <c r="AI71" i="4"/>
  <c r="AH71" i="4"/>
  <c r="AF71" i="4"/>
  <c r="AE71" i="4"/>
  <c r="AD71" i="4"/>
  <c r="AC71" i="4"/>
  <c r="AB71" i="4"/>
  <c r="AA71" i="4"/>
  <c r="Z71" i="4"/>
  <c r="Y71" i="4"/>
  <c r="X71" i="4"/>
  <c r="W71" i="4"/>
  <c r="V71" i="4"/>
  <c r="U71" i="4"/>
  <c r="T71" i="4"/>
  <c r="S71" i="4"/>
  <c r="R71" i="4"/>
  <c r="O71" i="4"/>
  <c r="J71" i="4"/>
  <c r="H71" i="4"/>
  <c r="F71" i="4"/>
  <c r="E71" i="4"/>
  <c r="K71" i="4" s="1"/>
  <c r="AU70" i="4"/>
  <c r="AU84" i="4" s="1"/>
  <c r="AT70" i="4"/>
  <c r="AS70" i="4"/>
  <c r="AS84" i="4" s="1"/>
  <c r="AR70" i="4"/>
  <c r="AQ70" i="4"/>
  <c r="AQ84" i="4" s="1"/>
  <c r="AP70" i="4"/>
  <c r="AO70" i="4"/>
  <c r="AO84" i="4" s="1"/>
  <c r="AN70" i="4"/>
  <c r="AM70" i="4"/>
  <c r="AM84" i="4" s="1"/>
  <c r="AL70" i="4"/>
  <c r="AK70" i="4"/>
  <c r="AK84" i="4" s="1"/>
  <c r="AJ70" i="4"/>
  <c r="AI70" i="4"/>
  <c r="AI84" i="4" s="1"/>
  <c r="AH70" i="4"/>
  <c r="AF70" i="4"/>
  <c r="AE70" i="4"/>
  <c r="AE84" i="4" s="1"/>
  <c r="AD25" i="3" s="1"/>
  <c r="AD70" i="4"/>
  <c r="AD84" i="4" s="1"/>
  <c r="AC70" i="4"/>
  <c r="AC84" i="4" s="1"/>
  <c r="AB70" i="4"/>
  <c r="AA70" i="4"/>
  <c r="AA84" i="4" s="1"/>
  <c r="Z25" i="3" s="1"/>
  <c r="Z70" i="4"/>
  <c r="Z84" i="4" s="1"/>
  <c r="Y70" i="4"/>
  <c r="Y84" i="4" s="1"/>
  <c r="X70" i="4"/>
  <c r="W70" i="4"/>
  <c r="W84" i="4" s="1"/>
  <c r="V25" i="3" s="1"/>
  <c r="V70" i="4"/>
  <c r="V84" i="4" s="1"/>
  <c r="U70" i="4"/>
  <c r="U84" i="4" s="1"/>
  <c r="T70" i="4"/>
  <c r="S70" i="4"/>
  <c r="S84" i="4" s="1"/>
  <c r="R25" i="3" s="1"/>
  <c r="R70" i="4"/>
  <c r="R84" i="4" s="1"/>
  <c r="O70" i="4"/>
  <c r="J70" i="4"/>
  <c r="H70" i="4"/>
  <c r="H84" i="4" s="1"/>
  <c r="E70" i="4"/>
  <c r="F70" i="4" s="1"/>
  <c r="AY68" i="4"/>
  <c r="AX68" i="4"/>
  <c r="AW68" i="4"/>
  <c r="AV68" i="4"/>
  <c r="AU62" i="4"/>
  <c r="AT62" i="4"/>
  <c r="AS62" i="4"/>
  <c r="AR62" i="4"/>
  <c r="AQ62" i="4"/>
  <c r="AP62" i="4"/>
  <c r="AO62" i="4"/>
  <c r="AN62" i="4"/>
  <c r="AM62" i="4"/>
  <c r="AL62" i="4"/>
  <c r="AK62" i="4"/>
  <c r="AJ62" i="4"/>
  <c r="AI62" i="4"/>
  <c r="AH62" i="4"/>
  <c r="AG62" i="4"/>
  <c r="AF62" i="4"/>
  <c r="AE62" i="4"/>
  <c r="AD62" i="4"/>
  <c r="AC62" i="4"/>
  <c r="AB62" i="4"/>
  <c r="AA62" i="4"/>
  <c r="Z62" i="4"/>
  <c r="Y62" i="4"/>
  <c r="X62" i="4"/>
  <c r="W62" i="4"/>
  <c r="V62" i="4"/>
  <c r="U62" i="4"/>
  <c r="T62" i="4"/>
  <c r="S62" i="4"/>
  <c r="O62" i="4"/>
  <c r="AU61" i="4"/>
  <c r="AT61" i="4"/>
  <c r="AS61" i="4"/>
  <c r="AR61" i="4"/>
  <c r="AQ61" i="4"/>
  <c r="AP61" i="4"/>
  <c r="AO61" i="4"/>
  <c r="AN61" i="4"/>
  <c r="AM61" i="4"/>
  <c r="AL61" i="4"/>
  <c r="AK61" i="4"/>
  <c r="AJ61" i="4"/>
  <c r="AI61" i="4"/>
  <c r="AH61" i="4"/>
  <c r="AG61" i="4"/>
  <c r="AF61" i="4"/>
  <c r="AE61" i="4"/>
  <c r="AD61" i="4"/>
  <c r="AC61" i="4"/>
  <c r="AB61" i="4"/>
  <c r="AA61" i="4"/>
  <c r="Z61" i="4"/>
  <c r="Y61" i="4"/>
  <c r="X61" i="4"/>
  <c r="W61" i="4"/>
  <c r="V61" i="4"/>
  <c r="U61" i="4"/>
  <c r="T61" i="4"/>
  <c r="S61" i="4"/>
  <c r="O61" i="4"/>
  <c r="AU60" i="4"/>
  <c r="AT60" i="4"/>
  <c r="AS60" i="4"/>
  <c r="AR60" i="4"/>
  <c r="AQ60" i="4"/>
  <c r="AP60" i="4"/>
  <c r="AO60" i="4"/>
  <c r="AN60" i="4"/>
  <c r="AM60" i="4"/>
  <c r="AL60" i="4"/>
  <c r="AK60" i="4"/>
  <c r="AJ60" i="4"/>
  <c r="AI60" i="4"/>
  <c r="AH60" i="4"/>
  <c r="AG60" i="4"/>
  <c r="AF60" i="4"/>
  <c r="AE60" i="4"/>
  <c r="AD60" i="4"/>
  <c r="AC60" i="4"/>
  <c r="AB60" i="4"/>
  <c r="AA60" i="4"/>
  <c r="Z60" i="4"/>
  <c r="Y60" i="4"/>
  <c r="X60" i="4"/>
  <c r="W60" i="4"/>
  <c r="V60" i="4"/>
  <c r="U60" i="4"/>
  <c r="T60" i="4"/>
  <c r="S60" i="4"/>
  <c r="O60" i="4"/>
  <c r="J60" i="4"/>
  <c r="R60" i="4" s="1"/>
  <c r="I60" i="4"/>
  <c r="AU59" i="4"/>
  <c r="AT59" i="4"/>
  <c r="AS59" i="4"/>
  <c r="AR59" i="4"/>
  <c r="AQ59" i="4"/>
  <c r="AP59" i="4"/>
  <c r="AO59" i="4"/>
  <c r="AN59" i="4"/>
  <c r="AM59" i="4"/>
  <c r="AL59" i="4"/>
  <c r="AK59" i="4"/>
  <c r="AJ59" i="4"/>
  <c r="AI59" i="4"/>
  <c r="AH59" i="4"/>
  <c r="AG59" i="4"/>
  <c r="AF59" i="4"/>
  <c r="AE59" i="4"/>
  <c r="AD59" i="4"/>
  <c r="AC59" i="4"/>
  <c r="AB59" i="4"/>
  <c r="AA59" i="4"/>
  <c r="Z59" i="4"/>
  <c r="Y59" i="4"/>
  <c r="X59" i="4"/>
  <c r="W59" i="4"/>
  <c r="V59" i="4"/>
  <c r="U59" i="4"/>
  <c r="T59" i="4"/>
  <c r="S59" i="4"/>
  <c r="O59" i="4"/>
  <c r="I59" i="4"/>
  <c r="J59" i="4" s="1"/>
  <c r="R59" i="4" s="1"/>
  <c r="AU58" i="4"/>
  <c r="AT58" i="4"/>
  <c r="AS58" i="4"/>
  <c r="AR58" i="4"/>
  <c r="AQ58" i="4"/>
  <c r="AP58" i="4"/>
  <c r="AO58" i="4"/>
  <c r="AN58" i="4"/>
  <c r="AM58" i="4"/>
  <c r="AL58" i="4"/>
  <c r="AK58" i="4"/>
  <c r="AJ58" i="4"/>
  <c r="AI58" i="4"/>
  <c r="AH58" i="4"/>
  <c r="AG58" i="4"/>
  <c r="AF58" i="4"/>
  <c r="AE58" i="4"/>
  <c r="AD58" i="4"/>
  <c r="AC58" i="4"/>
  <c r="AB58" i="4"/>
  <c r="AA58" i="4"/>
  <c r="Z58" i="4"/>
  <c r="Y58" i="4"/>
  <c r="X58" i="4"/>
  <c r="W58" i="4"/>
  <c r="V58" i="4"/>
  <c r="U58" i="4"/>
  <c r="T58" i="4"/>
  <c r="S58" i="4"/>
  <c r="R58" i="4"/>
  <c r="O58" i="4"/>
  <c r="J58" i="4"/>
  <c r="I58" i="4"/>
  <c r="H58" i="4"/>
  <c r="G58" i="4"/>
  <c r="F58" i="4"/>
  <c r="L58" i="4" s="1"/>
  <c r="E58" i="4"/>
  <c r="K58" i="4" s="1"/>
  <c r="AU57" i="4"/>
  <c r="AT57" i="4"/>
  <c r="AS57" i="4"/>
  <c r="AR57" i="4"/>
  <c r="AQ57" i="4"/>
  <c r="AP57" i="4"/>
  <c r="AO57" i="4"/>
  <c r="AN57" i="4"/>
  <c r="AM57" i="4"/>
  <c r="AL57" i="4"/>
  <c r="AK57" i="4"/>
  <c r="AJ57" i="4"/>
  <c r="AI57" i="4"/>
  <c r="AH57" i="4"/>
  <c r="AG57" i="4"/>
  <c r="AF57" i="4"/>
  <c r="AE57" i="4"/>
  <c r="AD57" i="4"/>
  <c r="AC57" i="4"/>
  <c r="AB57" i="4"/>
  <c r="AA57" i="4"/>
  <c r="Z57" i="4"/>
  <c r="Y57" i="4"/>
  <c r="X57" i="4"/>
  <c r="W57" i="4"/>
  <c r="V57" i="4"/>
  <c r="U57" i="4"/>
  <c r="T57" i="4"/>
  <c r="S57" i="4"/>
  <c r="O57" i="4"/>
  <c r="E57" i="4"/>
  <c r="AU56" i="4"/>
  <c r="AT56" i="4"/>
  <c r="AS56" i="4"/>
  <c r="AR56" i="4"/>
  <c r="AQ56" i="4"/>
  <c r="AP56" i="4"/>
  <c r="AO56" i="4"/>
  <c r="AN56" i="4"/>
  <c r="AM56" i="4"/>
  <c r="AL56" i="4"/>
  <c r="AK56" i="4"/>
  <c r="AJ56" i="4"/>
  <c r="AI56" i="4"/>
  <c r="AH56" i="4"/>
  <c r="AG56" i="4"/>
  <c r="AF56" i="4"/>
  <c r="AE56" i="4"/>
  <c r="AD56" i="4"/>
  <c r="AC56" i="4"/>
  <c r="AB56" i="4"/>
  <c r="AA56" i="4"/>
  <c r="Z56" i="4"/>
  <c r="Y56" i="4"/>
  <c r="X56" i="4"/>
  <c r="W56" i="4"/>
  <c r="V56" i="4"/>
  <c r="U56" i="4"/>
  <c r="T56" i="4"/>
  <c r="S56" i="4"/>
  <c r="O56" i="4"/>
  <c r="AU55" i="4"/>
  <c r="AT55" i="4"/>
  <c r="AS55" i="4"/>
  <c r="AR55" i="4"/>
  <c r="AQ55" i="4"/>
  <c r="AP55" i="4"/>
  <c r="AO55" i="4"/>
  <c r="AN55" i="4"/>
  <c r="AM55" i="4"/>
  <c r="AL55" i="4"/>
  <c r="AK55" i="4"/>
  <c r="AJ55" i="4"/>
  <c r="AI55" i="4"/>
  <c r="AH55" i="4"/>
  <c r="AG55" i="4"/>
  <c r="AF55" i="4"/>
  <c r="AE55" i="4"/>
  <c r="AD55" i="4"/>
  <c r="AC55" i="4"/>
  <c r="AB55" i="4"/>
  <c r="AA55" i="4"/>
  <c r="Z55" i="4"/>
  <c r="Y55" i="4"/>
  <c r="X55" i="4"/>
  <c r="W55" i="4"/>
  <c r="V55" i="4"/>
  <c r="U55" i="4"/>
  <c r="T55" i="4"/>
  <c r="S55" i="4"/>
  <c r="O55" i="4"/>
  <c r="I55" i="4"/>
  <c r="J55" i="4" s="1"/>
  <c r="R55" i="4" s="1"/>
  <c r="E55" i="4"/>
  <c r="F55" i="4" s="1"/>
  <c r="AU54" i="4"/>
  <c r="AT54" i="4"/>
  <c r="AS54" i="4"/>
  <c r="AR54" i="4"/>
  <c r="AQ54" i="4"/>
  <c r="AP54" i="4"/>
  <c r="AO54" i="4"/>
  <c r="AN54" i="4"/>
  <c r="AM54" i="4"/>
  <c r="AL54" i="4"/>
  <c r="AK54" i="4"/>
  <c r="AJ54" i="4"/>
  <c r="AI54" i="4"/>
  <c r="AH54" i="4"/>
  <c r="AG54" i="4"/>
  <c r="AF54" i="4"/>
  <c r="AE54" i="4"/>
  <c r="AD54" i="4"/>
  <c r="AC54" i="4"/>
  <c r="AB54" i="4"/>
  <c r="AA54" i="4"/>
  <c r="Z54" i="4"/>
  <c r="Y54" i="4"/>
  <c r="X54" i="4"/>
  <c r="W54" i="4"/>
  <c r="V54" i="4"/>
  <c r="U54" i="4"/>
  <c r="T54" i="4"/>
  <c r="S54" i="4"/>
  <c r="R54" i="4"/>
  <c r="O54" i="4"/>
  <c r="J54" i="4"/>
  <c r="I54" i="4"/>
  <c r="AU53" i="4"/>
  <c r="AT53" i="4"/>
  <c r="AS53" i="4"/>
  <c r="AR53" i="4"/>
  <c r="AQ53" i="4"/>
  <c r="AP53" i="4"/>
  <c r="AO53" i="4"/>
  <c r="AN53" i="4"/>
  <c r="AM53" i="4"/>
  <c r="AL53" i="4"/>
  <c r="AK53" i="4"/>
  <c r="AJ53" i="4"/>
  <c r="AI53" i="4"/>
  <c r="AH53" i="4"/>
  <c r="AG53" i="4"/>
  <c r="AF53" i="4"/>
  <c r="AE53" i="4"/>
  <c r="AD53" i="4"/>
  <c r="AC53" i="4"/>
  <c r="AB53" i="4"/>
  <c r="AA53" i="4"/>
  <c r="Z53" i="4"/>
  <c r="Y53" i="4"/>
  <c r="X53" i="4"/>
  <c r="W53" i="4"/>
  <c r="V53" i="4"/>
  <c r="U53" i="4"/>
  <c r="T53" i="4"/>
  <c r="S53" i="4"/>
  <c r="O53" i="4"/>
  <c r="AU52" i="4"/>
  <c r="AT52" i="4"/>
  <c r="AS52" i="4"/>
  <c r="AR52" i="4"/>
  <c r="AQ52" i="4"/>
  <c r="AP52" i="4"/>
  <c r="AO52" i="4"/>
  <c r="AN52" i="4"/>
  <c r="AM52" i="4"/>
  <c r="AL52" i="4"/>
  <c r="AK52" i="4"/>
  <c r="AJ52" i="4"/>
  <c r="AI52" i="4"/>
  <c r="AH52" i="4"/>
  <c r="AG52" i="4"/>
  <c r="AF52" i="4"/>
  <c r="AE52" i="4"/>
  <c r="AD52" i="4"/>
  <c r="AC52" i="4"/>
  <c r="AB52" i="4"/>
  <c r="AA52" i="4"/>
  <c r="Z52" i="4"/>
  <c r="Y52" i="4"/>
  <c r="X52" i="4"/>
  <c r="W52" i="4"/>
  <c r="V52" i="4"/>
  <c r="U52" i="4"/>
  <c r="T52" i="4"/>
  <c r="S52" i="4"/>
  <c r="O52" i="4"/>
  <c r="J52" i="4"/>
  <c r="R52" i="4" s="1"/>
  <c r="I52" i="4"/>
  <c r="AU51" i="4"/>
  <c r="AT51" i="4"/>
  <c r="AS51" i="4"/>
  <c r="AR51" i="4"/>
  <c r="AQ51" i="4"/>
  <c r="AP51" i="4"/>
  <c r="AO51" i="4"/>
  <c r="AN51" i="4"/>
  <c r="AM51" i="4"/>
  <c r="AL51" i="4"/>
  <c r="AK51" i="4"/>
  <c r="AJ51" i="4"/>
  <c r="AI51" i="4"/>
  <c r="AH51" i="4"/>
  <c r="AG51" i="4"/>
  <c r="AF51" i="4"/>
  <c r="AE51" i="4"/>
  <c r="AD51" i="4"/>
  <c r="AC51" i="4"/>
  <c r="AB51" i="4"/>
  <c r="AA51" i="4"/>
  <c r="Z51" i="4"/>
  <c r="Y51" i="4"/>
  <c r="X51" i="4"/>
  <c r="W51" i="4"/>
  <c r="V51" i="4"/>
  <c r="U51" i="4"/>
  <c r="T51" i="4"/>
  <c r="S51" i="4"/>
  <c r="O51" i="4"/>
  <c r="I51" i="4"/>
  <c r="J51" i="4" s="1"/>
  <c r="R51" i="4" s="1"/>
  <c r="G51" i="4"/>
  <c r="H51" i="4" s="1"/>
  <c r="AU50" i="4"/>
  <c r="AT50" i="4"/>
  <c r="AS50" i="4"/>
  <c r="AR50" i="4"/>
  <c r="AQ50" i="4"/>
  <c r="AP50" i="4"/>
  <c r="AO50" i="4"/>
  <c r="AN50" i="4"/>
  <c r="AM50" i="4"/>
  <c r="AL50" i="4"/>
  <c r="AK50" i="4"/>
  <c r="AJ50" i="4"/>
  <c r="AI50" i="4"/>
  <c r="AH50" i="4"/>
  <c r="AG50" i="4"/>
  <c r="AF50" i="4"/>
  <c r="AE50" i="4"/>
  <c r="AD50" i="4"/>
  <c r="AC50" i="4"/>
  <c r="AB50" i="4"/>
  <c r="AA50" i="4"/>
  <c r="Z50" i="4"/>
  <c r="Y50" i="4"/>
  <c r="X50" i="4"/>
  <c r="W50" i="4"/>
  <c r="V50" i="4"/>
  <c r="U50" i="4"/>
  <c r="T50" i="4"/>
  <c r="S50" i="4"/>
  <c r="R50" i="4"/>
  <c r="O50" i="4"/>
  <c r="J50" i="4"/>
  <c r="I50" i="4"/>
  <c r="AU49" i="4"/>
  <c r="AT49" i="4"/>
  <c r="AS49" i="4"/>
  <c r="AR49" i="4"/>
  <c r="AQ49" i="4"/>
  <c r="AP49" i="4"/>
  <c r="AO49" i="4"/>
  <c r="AN49" i="4"/>
  <c r="AM49" i="4"/>
  <c r="AL49" i="4"/>
  <c r="AK49" i="4"/>
  <c r="AJ49" i="4"/>
  <c r="AI49" i="4"/>
  <c r="AH49" i="4"/>
  <c r="AG49" i="4"/>
  <c r="AF49" i="4"/>
  <c r="AE49" i="4"/>
  <c r="AD49" i="4"/>
  <c r="AC49" i="4"/>
  <c r="AB49" i="4"/>
  <c r="AA49" i="4"/>
  <c r="Z49" i="4"/>
  <c r="Y49" i="4"/>
  <c r="X49" i="4"/>
  <c r="W49" i="4"/>
  <c r="V49" i="4"/>
  <c r="U49" i="4"/>
  <c r="T49" i="4"/>
  <c r="S49" i="4"/>
  <c r="O49" i="4"/>
  <c r="AU48" i="4"/>
  <c r="AT48" i="4"/>
  <c r="AS48" i="4"/>
  <c r="AR48" i="4"/>
  <c r="AQ48" i="4"/>
  <c r="AP48" i="4"/>
  <c r="AO48" i="4"/>
  <c r="AN48" i="4"/>
  <c r="AM48" i="4"/>
  <c r="AL48" i="4"/>
  <c r="AK48" i="4"/>
  <c r="AJ48" i="4"/>
  <c r="AI48" i="4"/>
  <c r="AH48" i="4"/>
  <c r="AG48" i="4"/>
  <c r="AF48" i="4"/>
  <c r="AE48" i="4"/>
  <c r="AD48" i="4"/>
  <c r="AC48" i="4"/>
  <c r="AB48" i="4"/>
  <c r="AA48" i="4"/>
  <c r="Z48" i="4"/>
  <c r="Y48" i="4"/>
  <c r="X48" i="4"/>
  <c r="W48" i="4"/>
  <c r="V48" i="4"/>
  <c r="U48" i="4"/>
  <c r="T48" i="4"/>
  <c r="S48" i="4"/>
  <c r="O48" i="4"/>
  <c r="AU47" i="4"/>
  <c r="AT47" i="4"/>
  <c r="AS47" i="4"/>
  <c r="AR47" i="4"/>
  <c r="AQ47" i="4"/>
  <c r="AP47" i="4"/>
  <c r="AO47" i="4"/>
  <c r="AN47" i="4"/>
  <c r="AM47" i="4"/>
  <c r="AL47" i="4"/>
  <c r="AK47" i="4"/>
  <c r="AJ47" i="4"/>
  <c r="AI47" i="4"/>
  <c r="AH47" i="4"/>
  <c r="AG47" i="4"/>
  <c r="AF47" i="4"/>
  <c r="AE47" i="4"/>
  <c r="AD47" i="4"/>
  <c r="AC47" i="4"/>
  <c r="AB47" i="4"/>
  <c r="AA47" i="4"/>
  <c r="Z47" i="4"/>
  <c r="Y47" i="4"/>
  <c r="X47" i="4"/>
  <c r="W47" i="4"/>
  <c r="V47" i="4"/>
  <c r="U47" i="4"/>
  <c r="T47" i="4"/>
  <c r="S47" i="4"/>
  <c r="O47" i="4"/>
  <c r="AU46" i="4"/>
  <c r="AT46" i="4"/>
  <c r="AS46" i="4"/>
  <c r="AR46" i="4"/>
  <c r="AQ46" i="4"/>
  <c r="AP46" i="4"/>
  <c r="AO46" i="4"/>
  <c r="AN46" i="4"/>
  <c r="AM46" i="4"/>
  <c r="AL46" i="4"/>
  <c r="AK46" i="4"/>
  <c r="AJ46" i="4"/>
  <c r="AI46" i="4"/>
  <c r="AH46" i="4"/>
  <c r="AG46" i="4"/>
  <c r="AF46" i="4"/>
  <c r="AE46" i="4"/>
  <c r="AD46" i="4"/>
  <c r="AC46" i="4"/>
  <c r="AB46" i="4"/>
  <c r="AA46" i="4"/>
  <c r="Z46" i="4"/>
  <c r="Y46" i="4"/>
  <c r="X46" i="4"/>
  <c r="W46" i="4"/>
  <c r="V46" i="4"/>
  <c r="U46" i="4"/>
  <c r="T46" i="4"/>
  <c r="S46" i="4"/>
  <c r="O46" i="4"/>
  <c r="AU45" i="4"/>
  <c r="AT45" i="4"/>
  <c r="AS45" i="4"/>
  <c r="AR45" i="4"/>
  <c r="AQ45" i="4"/>
  <c r="AP45" i="4"/>
  <c r="AO45" i="4"/>
  <c r="AN45" i="4"/>
  <c r="AM45" i="4"/>
  <c r="AL45" i="4"/>
  <c r="AK45" i="4"/>
  <c r="AJ45" i="4"/>
  <c r="AI45" i="4"/>
  <c r="AH45" i="4"/>
  <c r="AG45" i="4"/>
  <c r="AF45" i="4"/>
  <c r="AE45" i="4"/>
  <c r="AD45" i="4"/>
  <c r="AC45" i="4"/>
  <c r="AB45" i="4"/>
  <c r="AA45" i="4"/>
  <c r="Z45" i="4"/>
  <c r="Y45" i="4"/>
  <c r="X45" i="4"/>
  <c r="W45" i="4"/>
  <c r="V45" i="4"/>
  <c r="U45" i="4"/>
  <c r="T45" i="4"/>
  <c r="S45" i="4"/>
  <c r="O45" i="4"/>
  <c r="I45" i="4"/>
  <c r="J45" i="4" s="1"/>
  <c r="R45" i="4" s="1"/>
  <c r="AU44" i="4"/>
  <c r="AT44" i="4"/>
  <c r="AS44" i="4"/>
  <c r="AR44" i="4"/>
  <c r="AQ44" i="4"/>
  <c r="AP44" i="4"/>
  <c r="AO44" i="4"/>
  <c r="AN44" i="4"/>
  <c r="AM44" i="4"/>
  <c r="AL44" i="4"/>
  <c r="AK44" i="4"/>
  <c r="AJ44" i="4"/>
  <c r="AI44" i="4"/>
  <c r="AH44" i="4"/>
  <c r="AG44" i="4"/>
  <c r="AF44" i="4"/>
  <c r="AE44" i="4"/>
  <c r="AD44" i="4"/>
  <c r="AC44" i="4"/>
  <c r="AB44" i="4"/>
  <c r="AA44" i="4"/>
  <c r="Z44" i="4"/>
  <c r="Y44" i="4"/>
  <c r="X44" i="4"/>
  <c r="W44" i="4"/>
  <c r="V44" i="4"/>
  <c r="U44" i="4"/>
  <c r="T44" i="4"/>
  <c r="S44" i="4"/>
  <c r="O44" i="4"/>
  <c r="AU43" i="4"/>
  <c r="AT43" i="4"/>
  <c r="AS43" i="4"/>
  <c r="AR43" i="4"/>
  <c r="AQ43" i="4"/>
  <c r="AP43" i="4"/>
  <c r="AO43" i="4"/>
  <c r="AN43" i="4"/>
  <c r="AM43" i="4"/>
  <c r="AL43" i="4"/>
  <c r="AK43" i="4"/>
  <c r="AJ43" i="4"/>
  <c r="AI43" i="4"/>
  <c r="AH43" i="4"/>
  <c r="AG43" i="4"/>
  <c r="AF43" i="4"/>
  <c r="AE43" i="4"/>
  <c r="AD43" i="4"/>
  <c r="AC43" i="4"/>
  <c r="AB43" i="4"/>
  <c r="AA43" i="4"/>
  <c r="Z43" i="4"/>
  <c r="Y43" i="4"/>
  <c r="X43" i="4"/>
  <c r="W43" i="4"/>
  <c r="V43" i="4"/>
  <c r="U43" i="4"/>
  <c r="T43" i="4"/>
  <c r="S43" i="4"/>
  <c r="O43" i="4"/>
  <c r="I43" i="4"/>
  <c r="J43" i="4" s="1"/>
  <c r="R43" i="4" s="1"/>
  <c r="AU42" i="4"/>
  <c r="AT42" i="4"/>
  <c r="AS42" i="4"/>
  <c r="AR42" i="4"/>
  <c r="AQ42" i="4"/>
  <c r="AP42" i="4"/>
  <c r="AO42" i="4"/>
  <c r="AN42" i="4"/>
  <c r="AM42" i="4"/>
  <c r="AL42" i="4"/>
  <c r="AK42" i="4"/>
  <c r="AJ42" i="4"/>
  <c r="AI42" i="4"/>
  <c r="AH42" i="4"/>
  <c r="AG42" i="4"/>
  <c r="AF42" i="4"/>
  <c r="AE42" i="4"/>
  <c r="AD42" i="4"/>
  <c r="AC42" i="4"/>
  <c r="AB42" i="4"/>
  <c r="AA42" i="4"/>
  <c r="Z42" i="4"/>
  <c r="Y42" i="4"/>
  <c r="X42" i="4"/>
  <c r="W42" i="4"/>
  <c r="V42" i="4"/>
  <c r="U42" i="4"/>
  <c r="T42" i="4"/>
  <c r="S42" i="4"/>
  <c r="R42" i="4"/>
  <c r="O42" i="4"/>
  <c r="J42" i="4"/>
  <c r="I42" i="4"/>
  <c r="AU41" i="4"/>
  <c r="AT41" i="4"/>
  <c r="AS41" i="4"/>
  <c r="AR41" i="4"/>
  <c r="AQ41" i="4"/>
  <c r="AP41" i="4"/>
  <c r="AO41" i="4"/>
  <c r="AN41" i="4"/>
  <c r="AM41" i="4"/>
  <c r="AL41" i="4"/>
  <c r="AK41" i="4"/>
  <c r="AJ41" i="4"/>
  <c r="AI41" i="4"/>
  <c r="AH41" i="4"/>
  <c r="AG41" i="4"/>
  <c r="AF41" i="4"/>
  <c r="AE41" i="4"/>
  <c r="AD41" i="4"/>
  <c r="AC41" i="4"/>
  <c r="AB41" i="4"/>
  <c r="AA41" i="4"/>
  <c r="Z41" i="4"/>
  <c r="Y41" i="4"/>
  <c r="X41" i="4"/>
  <c r="W41" i="4"/>
  <c r="V41" i="4"/>
  <c r="U41" i="4"/>
  <c r="T41" i="4"/>
  <c r="S41" i="4"/>
  <c r="O41" i="4"/>
  <c r="AU40" i="4"/>
  <c r="AT40" i="4"/>
  <c r="AS40" i="4"/>
  <c r="AR40" i="4"/>
  <c r="AR68" i="4" s="1"/>
  <c r="AQ24" i="3" s="1"/>
  <c r="AQ40" i="4"/>
  <c r="AP40" i="4"/>
  <c r="AO40" i="4"/>
  <c r="AN40" i="4"/>
  <c r="AN68" i="4" s="1"/>
  <c r="AM24" i="3" s="1"/>
  <c r="AM40" i="4"/>
  <c r="AL40" i="4"/>
  <c r="AK40" i="4"/>
  <c r="AJ40" i="4"/>
  <c r="AJ68" i="4" s="1"/>
  <c r="AI24" i="3" s="1"/>
  <c r="AI40" i="4"/>
  <c r="AH40" i="4"/>
  <c r="AG40" i="4"/>
  <c r="AF40" i="4"/>
  <c r="AF68" i="4" s="1"/>
  <c r="AE24" i="3" s="1"/>
  <c r="AE40" i="4"/>
  <c r="AD40" i="4"/>
  <c r="AC40" i="4"/>
  <c r="AB40" i="4"/>
  <c r="AB68" i="4" s="1"/>
  <c r="AA24" i="3" s="1"/>
  <c r="AA40" i="4"/>
  <c r="Z40" i="4"/>
  <c r="Y40" i="4"/>
  <c r="X40" i="4"/>
  <c r="X68" i="4" s="1"/>
  <c r="W24" i="3" s="1"/>
  <c r="W40" i="4"/>
  <c r="V40" i="4"/>
  <c r="U40" i="4"/>
  <c r="T40" i="4"/>
  <c r="T68" i="4" s="1"/>
  <c r="S24" i="3" s="1"/>
  <c r="S40" i="4"/>
  <c r="O40" i="4"/>
  <c r="J40" i="4"/>
  <c r="R40" i="4" s="1"/>
  <c r="I40" i="4"/>
  <c r="AU39" i="4"/>
  <c r="AT39" i="4"/>
  <c r="AS39" i="4"/>
  <c r="AR39" i="4"/>
  <c r="AQ39" i="4"/>
  <c r="AP39" i="4"/>
  <c r="AO39" i="4"/>
  <c r="AN39" i="4"/>
  <c r="AM39" i="4"/>
  <c r="AL39" i="4"/>
  <c r="AK39" i="4"/>
  <c r="AJ39" i="4"/>
  <c r="AI39" i="4"/>
  <c r="AH39" i="4"/>
  <c r="AG39" i="4"/>
  <c r="AF39" i="4"/>
  <c r="AE39" i="4"/>
  <c r="AD39" i="4"/>
  <c r="AC39" i="4"/>
  <c r="AB39" i="4"/>
  <c r="AA39" i="4"/>
  <c r="Z39" i="4"/>
  <c r="Y39" i="4"/>
  <c r="X39" i="4"/>
  <c r="W39" i="4"/>
  <c r="V39" i="4"/>
  <c r="U39" i="4"/>
  <c r="T39" i="4"/>
  <c r="S39" i="4"/>
  <c r="O39" i="4"/>
  <c r="AU38" i="4"/>
  <c r="AT38" i="4"/>
  <c r="AT68" i="4" s="1"/>
  <c r="AS24" i="3" s="1"/>
  <c r="AS38" i="4"/>
  <c r="AR38" i="4"/>
  <c r="AQ38" i="4"/>
  <c r="AP38" i="4"/>
  <c r="AP68" i="4" s="1"/>
  <c r="AO24" i="3" s="1"/>
  <c r="AO38" i="4"/>
  <c r="AN38" i="4"/>
  <c r="AM38" i="4"/>
  <c r="AL38" i="4"/>
  <c r="AL68" i="4" s="1"/>
  <c r="AK24" i="3" s="1"/>
  <c r="AK38" i="4"/>
  <c r="AJ38" i="4"/>
  <c r="AI38" i="4"/>
  <c r="AH38" i="4"/>
  <c r="AH68" i="4" s="1"/>
  <c r="AG24" i="3" s="1"/>
  <c r="AG38" i="4"/>
  <c r="AF38" i="4"/>
  <c r="AE38" i="4"/>
  <c r="AD38" i="4"/>
  <c r="AD68" i="4" s="1"/>
  <c r="AC24" i="3" s="1"/>
  <c r="AC38" i="4"/>
  <c r="AB38" i="4"/>
  <c r="AA38" i="4"/>
  <c r="Z38" i="4"/>
  <c r="Z68" i="4" s="1"/>
  <c r="Y24" i="3" s="1"/>
  <c r="Y38" i="4"/>
  <c r="X38" i="4"/>
  <c r="W38" i="4"/>
  <c r="V38" i="4"/>
  <c r="V68" i="4" s="1"/>
  <c r="U24" i="3" s="1"/>
  <c r="U38" i="4"/>
  <c r="T38" i="4"/>
  <c r="S38" i="4"/>
  <c r="O38" i="4"/>
  <c r="AY36" i="4"/>
  <c r="AX36" i="4"/>
  <c r="AW36" i="4"/>
  <c r="AV36" i="4"/>
  <c r="AS36" i="4"/>
  <c r="AR23" i="3" s="1"/>
  <c r="AK36" i="4"/>
  <c r="AJ23" i="3" s="1"/>
  <c r="AC36" i="4"/>
  <c r="AB23" i="3" s="1"/>
  <c r="U36" i="4"/>
  <c r="T23" i="3" s="1"/>
  <c r="AU24" i="4"/>
  <c r="AT24" i="4"/>
  <c r="AS24" i="4"/>
  <c r="AR24" i="4"/>
  <c r="AQ24" i="4"/>
  <c r="AP24" i="4"/>
  <c r="AO24" i="4"/>
  <c r="AN24" i="4"/>
  <c r="AM24" i="4"/>
  <c r="AL24" i="4"/>
  <c r="AK24" i="4"/>
  <c r="AJ24" i="4"/>
  <c r="AI24" i="4"/>
  <c r="AH24" i="4"/>
  <c r="AG24" i="4"/>
  <c r="AF24" i="4"/>
  <c r="AE24" i="4"/>
  <c r="AD24" i="4"/>
  <c r="AC24" i="4"/>
  <c r="AB24" i="4"/>
  <c r="AA24" i="4"/>
  <c r="Z24" i="4"/>
  <c r="Y24" i="4"/>
  <c r="X24" i="4"/>
  <c r="W24" i="4"/>
  <c r="V24" i="4"/>
  <c r="U24" i="4"/>
  <c r="T24" i="4"/>
  <c r="S24" i="4"/>
  <c r="O24" i="4"/>
  <c r="AU23" i="4"/>
  <c r="AT23" i="4"/>
  <c r="AS23" i="4"/>
  <c r="AR23" i="4"/>
  <c r="AQ23" i="4"/>
  <c r="AP23" i="4"/>
  <c r="AO23" i="4"/>
  <c r="AN23" i="4"/>
  <c r="AM23" i="4"/>
  <c r="AL23" i="4"/>
  <c r="AK23" i="4"/>
  <c r="AJ23" i="4"/>
  <c r="AI23" i="4"/>
  <c r="AH23" i="4"/>
  <c r="AG23" i="4"/>
  <c r="AF23" i="4"/>
  <c r="AE23" i="4"/>
  <c r="AD23" i="4"/>
  <c r="AC23" i="4"/>
  <c r="AB23" i="4"/>
  <c r="AA23" i="4"/>
  <c r="Z23" i="4"/>
  <c r="Y23" i="4"/>
  <c r="X23" i="4"/>
  <c r="W23" i="4"/>
  <c r="V23" i="4"/>
  <c r="U23" i="4"/>
  <c r="T23" i="4"/>
  <c r="S23" i="4"/>
  <c r="O23" i="4"/>
  <c r="AU22" i="4"/>
  <c r="AT22" i="4"/>
  <c r="AT36" i="4" s="1"/>
  <c r="AS22" i="4"/>
  <c r="AR22" i="4"/>
  <c r="AR36" i="4" s="1"/>
  <c r="AQ23" i="3" s="1"/>
  <c r="AQ22" i="4"/>
  <c r="AP22" i="4"/>
  <c r="AP36" i="4" s="1"/>
  <c r="AO22" i="4"/>
  <c r="AO36" i="4" s="1"/>
  <c r="AN23" i="3" s="1"/>
  <c r="AN22" i="4"/>
  <c r="AN36" i="4" s="1"/>
  <c r="AM23" i="3" s="1"/>
  <c r="AM22" i="4"/>
  <c r="AL22" i="4"/>
  <c r="AL36" i="4" s="1"/>
  <c r="AK22" i="4"/>
  <c r="AJ22" i="4"/>
  <c r="AJ36" i="4" s="1"/>
  <c r="AI23" i="3" s="1"/>
  <c r="AI22" i="4"/>
  <c r="AH22" i="4"/>
  <c r="AH36" i="4" s="1"/>
  <c r="AG22" i="4"/>
  <c r="AG36" i="4" s="1"/>
  <c r="AF23" i="3" s="1"/>
  <c r="AF22" i="4"/>
  <c r="AF36" i="4" s="1"/>
  <c r="AE23" i="3" s="1"/>
  <c r="AE22" i="4"/>
  <c r="AD22" i="4"/>
  <c r="AD36" i="4" s="1"/>
  <c r="AC22" i="4"/>
  <c r="AB22" i="4"/>
  <c r="AB36" i="4" s="1"/>
  <c r="AA23" i="3" s="1"/>
  <c r="AA22" i="4"/>
  <c r="Z22" i="4"/>
  <c r="Z36" i="4" s="1"/>
  <c r="Y22" i="4"/>
  <c r="Y36" i="4" s="1"/>
  <c r="X23" i="3" s="1"/>
  <c r="X22" i="4"/>
  <c r="X36" i="4" s="1"/>
  <c r="W23" i="3" s="1"/>
  <c r="W22" i="4"/>
  <c r="V22" i="4"/>
  <c r="V36" i="4" s="1"/>
  <c r="U22" i="4"/>
  <c r="T22" i="4"/>
  <c r="T36" i="4" s="1"/>
  <c r="S23" i="3" s="1"/>
  <c r="S22" i="4"/>
  <c r="O22" i="4"/>
  <c r="AY20" i="4"/>
  <c r="AX20" i="4"/>
  <c r="AW20" i="4"/>
  <c r="AV20" i="4"/>
  <c r="AU22" i="3" s="1"/>
  <c r="AU36" i="3" s="1"/>
  <c r="AU5" i="3" s="1"/>
  <c r="AR20" i="4"/>
  <c r="AN20" i="4"/>
  <c r="AM22" i="3" s="1"/>
  <c r="AM36" i="3" s="1"/>
  <c r="AM5" i="3" s="1"/>
  <c r="AJ20" i="4"/>
  <c r="AF20" i="4"/>
  <c r="AE22" i="3" s="1"/>
  <c r="AB20" i="4"/>
  <c r="X20" i="4"/>
  <c r="W22" i="3" s="1"/>
  <c r="W36" i="3" s="1"/>
  <c r="W5" i="3" s="1"/>
  <c r="T20" i="4"/>
  <c r="J20" i="4"/>
  <c r="H22" i="3" s="1"/>
  <c r="I22" i="3" s="1"/>
  <c r="AU6" i="4"/>
  <c r="AU20" i="4" s="1"/>
  <c r="AT6" i="4"/>
  <c r="AT20" i="4" s="1"/>
  <c r="AS22" i="3" s="1"/>
  <c r="AS6" i="4"/>
  <c r="AS20" i="4" s="1"/>
  <c r="AR6" i="4"/>
  <c r="AQ6" i="4"/>
  <c r="AQ20" i="4" s="1"/>
  <c r="AP6" i="4"/>
  <c r="AP20" i="4" s="1"/>
  <c r="AO22" i="3" s="1"/>
  <c r="AO6" i="4"/>
  <c r="AO20" i="4" s="1"/>
  <c r="AN6" i="4"/>
  <c r="AM6" i="4"/>
  <c r="AM20" i="4" s="1"/>
  <c r="AL6" i="4"/>
  <c r="AL20" i="4" s="1"/>
  <c r="AK22" i="3" s="1"/>
  <c r="AK6" i="4"/>
  <c r="AK20" i="4" s="1"/>
  <c r="AJ6" i="4"/>
  <c r="AI6" i="4"/>
  <c r="AI20" i="4" s="1"/>
  <c r="AH6" i="4"/>
  <c r="AH20" i="4" s="1"/>
  <c r="AG22" i="3" s="1"/>
  <c r="AG6" i="4"/>
  <c r="AG20" i="4" s="1"/>
  <c r="AF6" i="4"/>
  <c r="AE6" i="4"/>
  <c r="AE20" i="4" s="1"/>
  <c r="AD6" i="4"/>
  <c r="AD20" i="4" s="1"/>
  <c r="AC22" i="3" s="1"/>
  <c r="AC6" i="4"/>
  <c r="AC20" i="4" s="1"/>
  <c r="AB6" i="4"/>
  <c r="AA6" i="4"/>
  <c r="AA20" i="4" s="1"/>
  <c r="Z6" i="4"/>
  <c r="Z20" i="4" s="1"/>
  <c r="Y22" i="3" s="1"/>
  <c r="Y6" i="4"/>
  <c r="Y20" i="4" s="1"/>
  <c r="X6" i="4"/>
  <c r="W6" i="4"/>
  <c r="W20" i="4" s="1"/>
  <c r="V6" i="4"/>
  <c r="V20" i="4" s="1"/>
  <c r="U22" i="3" s="1"/>
  <c r="U6" i="4"/>
  <c r="U20" i="4" s="1"/>
  <c r="T6" i="4"/>
  <c r="S6" i="4"/>
  <c r="S20" i="4" s="1"/>
  <c r="O6" i="4"/>
  <c r="J6" i="4"/>
  <c r="R6" i="4" s="1"/>
  <c r="R20" i="4" s="1"/>
  <c r="Q22" i="3" s="1"/>
  <c r="I6" i="4"/>
  <c r="G6" i="4"/>
  <c r="H6" i="4" s="1"/>
  <c r="H20" i="4" s="1"/>
  <c r="F22" i="3" s="1"/>
  <c r="G22" i="3" s="1"/>
  <c r="AX52" i="3"/>
  <c r="AW52" i="3"/>
  <c r="AV52" i="3"/>
  <c r="AU43" i="3"/>
  <c r="AT43" i="3"/>
  <c r="AS43" i="3"/>
  <c r="AP43" i="3"/>
  <c r="AO43" i="3"/>
  <c r="AL43" i="3"/>
  <c r="AK43" i="3"/>
  <c r="AH43" i="3"/>
  <c r="AG43" i="3"/>
  <c r="AE43" i="3"/>
  <c r="AD43" i="3"/>
  <c r="AC43" i="3"/>
  <c r="AA43" i="3"/>
  <c r="Z43" i="3"/>
  <c r="Y43" i="3"/>
  <c r="W43" i="3"/>
  <c r="V43" i="3"/>
  <c r="U43" i="3"/>
  <c r="S43" i="3"/>
  <c r="R43" i="3"/>
  <c r="Q43" i="3"/>
  <c r="D43" i="3"/>
  <c r="AU42" i="3"/>
  <c r="AT42" i="3"/>
  <c r="AS42" i="3"/>
  <c r="AR42" i="3"/>
  <c r="AQ42" i="3"/>
  <c r="AP42" i="3"/>
  <c r="AO42" i="3"/>
  <c r="AN42" i="3"/>
  <c r="AM42" i="3"/>
  <c r="AL42" i="3"/>
  <c r="AK42" i="3"/>
  <c r="AJ42" i="3"/>
  <c r="AI42" i="3"/>
  <c r="AH42" i="3"/>
  <c r="AG42" i="3"/>
  <c r="AF42" i="3"/>
  <c r="AE42" i="3"/>
  <c r="AD42" i="3"/>
  <c r="AB42" i="3"/>
  <c r="AA42" i="3"/>
  <c r="Z42" i="3"/>
  <c r="Y42" i="3"/>
  <c r="X42" i="3"/>
  <c r="W42" i="3"/>
  <c r="V42" i="3"/>
  <c r="U42" i="3"/>
  <c r="T42" i="3"/>
  <c r="S42" i="3"/>
  <c r="R42" i="3"/>
  <c r="Q42" i="3"/>
  <c r="K42" i="3"/>
  <c r="I42" i="3"/>
  <c r="H42" i="3"/>
  <c r="G42" i="3"/>
  <c r="F42" i="3"/>
  <c r="E42" i="3"/>
  <c r="D42" i="3"/>
  <c r="J42" i="3" s="1"/>
  <c r="AU41" i="3"/>
  <c r="AT41" i="3"/>
  <c r="AS41" i="3"/>
  <c r="AR41" i="3"/>
  <c r="AQ41" i="3"/>
  <c r="AP41" i="3"/>
  <c r="AO41" i="3"/>
  <c r="AN41" i="3"/>
  <c r="AM41" i="3"/>
  <c r="AL41" i="3"/>
  <c r="AK41" i="3"/>
  <c r="AJ41" i="3"/>
  <c r="AI41" i="3"/>
  <c r="AH41" i="3"/>
  <c r="AG41" i="3"/>
  <c r="AE41" i="3"/>
  <c r="AD41" i="3"/>
  <c r="AC41" i="3"/>
  <c r="AA41" i="3"/>
  <c r="Z41" i="3"/>
  <c r="Y41" i="3"/>
  <c r="W41" i="3"/>
  <c r="V41" i="3"/>
  <c r="U41" i="3"/>
  <c r="S41" i="3"/>
  <c r="R41" i="3"/>
  <c r="Q41" i="3"/>
  <c r="H41" i="3"/>
  <c r="I41" i="3" s="1"/>
  <c r="F41" i="3"/>
  <c r="G41" i="3" s="1"/>
  <c r="AU40" i="3"/>
  <c r="AU39" i="3"/>
  <c r="AT39" i="3"/>
  <c r="AP39" i="3"/>
  <c r="AM39" i="3"/>
  <c r="AL39" i="3"/>
  <c r="AH39" i="3"/>
  <c r="AE39" i="3"/>
  <c r="AD39" i="3"/>
  <c r="Z39" i="3"/>
  <c r="W39" i="3"/>
  <c r="V39" i="3"/>
  <c r="R39" i="3"/>
  <c r="AU38" i="3"/>
  <c r="AT38" i="3"/>
  <c r="AS38" i="3"/>
  <c r="AR38" i="3"/>
  <c r="AQ38" i="3"/>
  <c r="AP38" i="3"/>
  <c r="AO38" i="3"/>
  <c r="AN38" i="3"/>
  <c r="AM38" i="3"/>
  <c r="AL38" i="3"/>
  <c r="AK38" i="3"/>
  <c r="AJ38" i="3"/>
  <c r="AI38" i="3"/>
  <c r="AH38" i="3"/>
  <c r="AG38" i="3"/>
  <c r="AF38" i="3"/>
  <c r="AE38" i="3"/>
  <c r="AD38" i="3"/>
  <c r="AC38" i="3"/>
  <c r="AB38" i="3"/>
  <c r="AA38" i="3"/>
  <c r="Z38" i="3"/>
  <c r="Y38" i="3"/>
  <c r="X38" i="3"/>
  <c r="W38" i="3"/>
  <c r="V38" i="3"/>
  <c r="U38" i="3"/>
  <c r="T38" i="3"/>
  <c r="S38" i="3"/>
  <c r="R38" i="3"/>
  <c r="G38" i="3"/>
  <c r="F38" i="3"/>
  <c r="AX36" i="3"/>
  <c r="AW36" i="3"/>
  <c r="AV36" i="3"/>
  <c r="AU27" i="3"/>
  <c r="AT27" i="3"/>
  <c r="AR27" i="3"/>
  <c r="AQ27" i="3"/>
  <c r="AP27" i="3"/>
  <c r="AN27" i="3"/>
  <c r="AM27" i="3"/>
  <c r="AL27" i="3"/>
  <c r="AJ27" i="3"/>
  <c r="AI27" i="3"/>
  <c r="AH27" i="3"/>
  <c r="AF27" i="3"/>
  <c r="AE27" i="3"/>
  <c r="AD27" i="3"/>
  <c r="AB27" i="3"/>
  <c r="AA27" i="3"/>
  <c r="Z27" i="3"/>
  <c r="X27" i="3"/>
  <c r="V27" i="3"/>
  <c r="T27" i="3"/>
  <c r="S27" i="3"/>
  <c r="R27" i="3"/>
  <c r="Q27" i="3"/>
  <c r="H27" i="3"/>
  <c r="I27" i="3" s="1"/>
  <c r="F27" i="3"/>
  <c r="G27" i="3" s="1"/>
  <c r="AU26" i="3"/>
  <c r="AS26" i="3"/>
  <c r="AR26" i="3"/>
  <c r="AQ26" i="3"/>
  <c r="AP26" i="3"/>
  <c r="AO26" i="3"/>
  <c r="AN26" i="3"/>
  <c r="AL26" i="3"/>
  <c r="AK26" i="3"/>
  <c r="AJ26" i="3"/>
  <c r="AI26" i="3"/>
  <c r="AH26" i="3"/>
  <c r="AG26" i="3"/>
  <c r="AF26" i="3"/>
  <c r="AC26" i="3"/>
  <c r="AB26" i="3"/>
  <c r="AA26" i="3"/>
  <c r="Z26" i="3"/>
  <c r="Y26" i="3"/>
  <c r="X26" i="3"/>
  <c r="V26" i="3"/>
  <c r="U26" i="3"/>
  <c r="T26" i="3"/>
  <c r="R26" i="3"/>
  <c r="G26" i="3"/>
  <c r="F26" i="3"/>
  <c r="AU25" i="3"/>
  <c r="AT25" i="3"/>
  <c r="AR25" i="3"/>
  <c r="AQ25" i="3"/>
  <c r="AP25" i="3"/>
  <c r="AN25" i="3"/>
  <c r="AM25" i="3"/>
  <c r="AL25" i="3"/>
  <c r="AJ25" i="3"/>
  <c r="AI25" i="3"/>
  <c r="AH25" i="3"/>
  <c r="AE25" i="3"/>
  <c r="AC25" i="3"/>
  <c r="AB25" i="3"/>
  <c r="AA25" i="3"/>
  <c r="Y25" i="3"/>
  <c r="X25" i="3"/>
  <c r="W25" i="3"/>
  <c r="U25" i="3"/>
  <c r="T25" i="3"/>
  <c r="S25" i="3"/>
  <c r="Q25" i="3"/>
  <c r="H25" i="3"/>
  <c r="I25" i="3" s="1"/>
  <c r="F25" i="3"/>
  <c r="G25" i="3" s="1"/>
  <c r="AU24" i="3"/>
  <c r="AU23" i="3"/>
  <c r="AS23" i="3"/>
  <c r="AO23" i="3"/>
  <c r="AK23" i="3"/>
  <c r="AG23" i="3"/>
  <c r="AC23" i="3"/>
  <c r="Y23" i="3"/>
  <c r="U23" i="3"/>
  <c r="AT22" i="3"/>
  <c r="AR22" i="3"/>
  <c r="AQ22" i="3"/>
  <c r="AP22" i="3"/>
  <c r="AN22" i="3"/>
  <c r="AL22" i="3"/>
  <c r="AJ22" i="3"/>
  <c r="AI22" i="3"/>
  <c r="AH22" i="3"/>
  <c r="AF22" i="3"/>
  <c r="AD22" i="3"/>
  <c r="AB22" i="3"/>
  <c r="AA22" i="3"/>
  <c r="Z22" i="3"/>
  <c r="X22" i="3"/>
  <c r="V22" i="3"/>
  <c r="T22" i="3"/>
  <c r="S22" i="3"/>
  <c r="S36" i="3" s="1"/>
  <c r="S5" i="3" s="1"/>
  <c r="R22" i="3"/>
  <c r="AX20" i="3"/>
  <c r="AW20" i="3"/>
  <c r="AV20" i="3"/>
  <c r="K41" i="2"/>
  <c r="G41" i="2"/>
  <c r="K40" i="2"/>
  <c r="G40" i="2"/>
  <c r="K39" i="2"/>
  <c r="G39" i="2"/>
  <c r="K38" i="2"/>
  <c r="G38" i="2"/>
  <c r="K37" i="2"/>
  <c r="G37" i="2"/>
  <c r="D35" i="2"/>
  <c r="D33" i="2"/>
  <c r="E32" i="2"/>
  <c r="K32" i="2" s="1"/>
  <c r="D31" i="2"/>
  <c r="D28" i="2"/>
  <c r="D27" i="2"/>
  <c r="K26" i="2"/>
  <c r="G26" i="2"/>
  <c r="K25" i="2"/>
  <c r="G25" i="2"/>
  <c r="D24" i="2"/>
  <c r="D22" i="2"/>
  <c r="D21" i="2"/>
  <c r="D20" i="2"/>
  <c r="D19" i="2"/>
  <c r="F18" i="2"/>
  <c r="D17" i="2"/>
  <c r="F16" i="2"/>
  <c r="D16" i="2"/>
  <c r="F15" i="2"/>
  <c r="F17" i="2" s="1"/>
  <c r="D15" i="2"/>
  <c r="D14" i="2"/>
  <c r="D13" i="2"/>
  <c r="F10" i="2"/>
  <c r="F11" i="2" s="1"/>
  <c r="D10" i="2"/>
  <c r="G7" i="2"/>
  <c r="F7" i="2"/>
  <c r="E7" i="2"/>
  <c r="K7" i="2" s="1"/>
  <c r="F6" i="2"/>
  <c r="F8" i="2" s="1"/>
  <c r="F13" i="2" l="1"/>
  <c r="F14" i="2"/>
  <c r="F28" i="2"/>
  <c r="F27" i="2"/>
  <c r="AF36" i="3"/>
  <c r="AF5" i="3" s="1"/>
  <c r="S52" i="3"/>
  <c r="S6" i="3" s="1"/>
  <c r="S20" i="3" s="1"/>
  <c r="Y36" i="3"/>
  <c r="Y5" i="3" s="1"/>
  <c r="AG36" i="3"/>
  <c r="AG5" i="3" s="1"/>
  <c r="AG20" i="3" s="1"/>
  <c r="T36" i="3"/>
  <c r="T5" i="3" s="1"/>
  <c r="U52" i="3"/>
  <c r="U6" i="3" s="1"/>
  <c r="AG52" i="3"/>
  <c r="AG6" i="3" s="1"/>
  <c r="AE36" i="3"/>
  <c r="AE5" i="3" s="1"/>
  <c r="AA52" i="3"/>
  <c r="AA6" i="3" s="1"/>
  <c r="AO36" i="3"/>
  <c r="AO5" i="3" s="1"/>
  <c r="AA36" i="3"/>
  <c r="AA5" i="3" s="1"/>
  <c r="F22" i="2"/>
  <c r="F20" i="2"/>
  <c r="F23" i="2"/>
  <c r="F21" i="2"/>
  <c r="F19" i="2"/>
  <c r="F24" i="2"/>
  <c r="AI36" i="3"/>
  <c r="AI5" i="3" s="1"/>
  <c r="AU20" i="3"/>
  <c r="AQ36" i="3"/>
  <c r="AQ5" i="3" s="1"/>
  <c r="J100" i="4"/>
  <c r="H26" i="3" s="1"/>
  <c r="I26" i="3" s="1"/>
  <c r="R86" i="4"/>
  <c r="R100" i="4" s="1"/>
  <c r="Q26" i="3" s="1"/>
  <c r="R118" i="4"/>
  <c r="R132" i="4" s="1"/>
  <c r="Q38" i="3" s="1"/>
  <c r="J132" i="4"/>
  <c r="H38" i="3" s="1"/>
  <c r="I38" i="3" s="1"/>
  <c r="E43" i="3"/>
  <c r="S68" i="4"/>
  <c r="R24" i="3" s="1"/>
  <c r="W68" i="4"/>
  <c r="V24" i="3" s="1"/>
  <c r="AA68" i="4"/>
  <c r="Z24" i="3" s="1"/>
  <c r="AE68" i="4"/>
  <c r="AD24" i="3" s="1"/>
  <c r="AI68" i="4"/>
  <c r="AH24" i="3" s="1"/>
  <c r="AM68" i="4"/>
  <c r="AL24" i="3" s="1"/>
  <c r="AQ68" i="4"/>
  <c r="AP24" i="3" s="1"/>
  <c r="AU68" i="4"/>
  <c r="AT24" i="3" s="1"/>
  <c r="F57" i="4"/>
  <c r="K70" i="4"/>
  <c r="L71" i="4"/>
  <c r="AG71" i="4" s="1"/>
  <c r="R150" i="4"/>
  <c r="I77" i="6"/>
  <c r="L75" i="6"/>
  <c r="H78" i="6"/>
  <c r="H15" i="5" s="1"/>
  <c r="I15" i="5" s="1"/>
  <c r="G32" i="2"/>
  <c r="AT52" i="3"/>
  <c r="AT6" i="3" s="1"/>
  <c r="F84" i="4"/>
  <c r="L70" i="4"/>
  <c r="AG70" i="4" s="1"/>
  <c r="AG84" i="4" s="1"/>
  <c r="AF25" i="3" s="1"/>
  <c r="AH84" i="4"/>
  <c r="AG25" i="3" s="1"/>
  <c r="AL84" i="4"/>
  <c r="AK25" i="3" s="1"/>
  <c r="AK36" i="3" s="1"/>
  <c r="AK5" i="3" s="1"/>
  <c r="AP84" i="4"/>
  <c r="AO25" i="3" s="1"/>
  <c r="AT84" i="4"/>
  <c r="AS25" i="3" s="1"/>
  <c r="AS36" i="3" s="1"/>
  <c r="AS5" i="3" s="1"/>
  <c r="AS20" i="3" s="1"/>
  <c r="F100" i="4"/>
  <c r="L86" i="4"/>
  <c r="S180" i="4"/>
  <c r="R40" i="3" s="1"/>
  <c r="R52" i="3" s="1"/>
  <c r="R6" i="3" s="1"/>
  <c r="W180" i="4"/>
  <c r="V40" i="3" s="1"/>
  <c r="V52" i="3" s="1"/>
  <c r="V6" i="3" s="1"/>
  <c r="AE180" i="4"/>
  <c r="AD40" i="3" s="1"/>
  <c r="AD52" i="3" s="1"/>
  <c r="AD6" i="3" s="1"/>
  <c r="AI180" i="4"/>
  <c r="AH40" i="3" s="1"/>
  <c r="AH52" i="3" s="1"/>
  <c r="AH6" i="3" s="1"/>
  <c r="AM180" i="4"/>
  <c r="AL40" i="3" s="1"/>
  <c r="AL52" i="3" s="1"/>
  <c r="AL6" i="3" s="1"/>
  <c r="AU180" i="4"/>
  <c r="AT40" i="3" s="1"/>
  <c r="G163" i="4"/>
  <c r="H163" i="4" s="1"/>
  <c r="G54" i="4"/>
  <c r="H54" i="4" s="1"/>
  <c r="AU52" i="3"/>
  <c r="AU6" i="3" s="1"/>
  <c r="S36" i="4"/>
  <c r="R23" i="3" s="1"/>
  <c r="R36" i="3" s="1"/>
  <c r="R5" i="3" s="1"/>
  <c r="R20" i="3" s="1"/>
  <c r="W36" i="4"/>
  <c r="V23" i="3" s="1"/>
  <c r="V36" i="3" s="1"/>
  <c r="V5" i="3" s="1"/>
  <c r="V20" i="3" s="1"/>
  <c r="AA36" i="4"/>
  <c r="Z23" i="3" s="1"/>
  <c r="AE36" i="4"/>
  <c r="AD23" i="3" s="1"/>
  <c r="AD36" i="3" s="1"/>
  <c r="AD5" i="3" s="1"/>
  <c r="AI36" i="4"/>
  <c r="AH23" i="3" s="1"/>
  <c r="AH36" i="3" s="1"/>
  <c r="AH5" i="3" s="1"/>
  <c r="AM36" i="4"/>
  <c r="AL23" i="3" s="1"/>
  <c r="AL36" i="3" s="1"/>
  <c r="AL5" i="3" s="1"/>
  <c r="AQ36" i="4"/>
  <c r="AP23" i="3" s="1"/>
  <c r="AU36" i="4"/>
  <c r="AT23" i="3" s="1"/>
  <c r="AT36" i="3" s="1"/>
  <c r="AT5" i="3" s="1"/>
  <c r="U68" i="4"/>
  <c r="T24" i="3" s="1"/>
  <c r="Y68" i="4"/>
  <c r="X24" i="3" s="1"/>
  <c r="X36" i="3" s="1"/>
  <c r="X5" i="3" s="1"/>
  <c r="X20" i="3" s="1"/>
  <c r="AC68" i="4"/>
  <c r="AB24" i="3" s="1"/>
  <c r="AB36" i="3" s="1"/>
  <c r="AB5" i="3" s="1"/>
  <c r="AB20" i="3" s="1"/>
  <c r="AG68" i="4"/>
  <c r="AF24" i="3" s="1"/>
  <c r="AK68" i="4"/>
  <c r="AJ24" i="3" s="1"/>
  <c r="AJ36" i="3" s="1"/>
  <c r="AJ5" i="3" s="1"/>
  <c r="AO68" i="4"/>
  <c r="AN24" i="3" s="1"/>
  <c r="AN36" i="3" s="1"/>
  <c r="AN5" i="3" s="1"/>
  <c r="AN20" i="3" s="1"/>
  <c r="AS68" i="4"/>
  <c r="AR24" i="3" s="1"/>
  <c r="AR36" i="3" s="1"/>
  <c r="AR5" i="3" s="1"/>
  <c r="AR20" i="3" s="1"/>
  <c r="U148" i="4"/>
  <c r="T39" i="3" s="1"/>
  <c r="T52" i="3" s="1"/>
  <c r="T6" i="3" s="1"/>
  <c r="Y148" i="4"/>
  <c r="X39" i="3" s="1"/>
  <c r="X52" i="3" s="1"/>
  <c r="X6" i="3" s="1"/>
  <c r="AC148" i="4"/>
  <c r="AB39" i="3" s="1"/>
  <c r="AG148" i="4"/>
  <c r="AF39" i="3" s="1"/>
  <c r="AF52" i="3" s="1"/>
  <c r="AF6" i="3" s="1"/>
  <c r="AK148" i="4"/>
  <c r="AJ39" i="3" s="1"/>
  <c r="AJ52" i="3" s="1"/>
  <c r="AJ6" i="3" s="1"/>
  <c r="AO148" i="4"/>
  <c r="AN39" i="3" s="1"/>
  <c r="AN52" i="3" s="1"/>
  <c r="AN6" i="3" s="1"/>
  <c r="AS148" i="4"/>
  <c r="AR39" i="3" s="1"/>
  <c r="F18" i="5"/>
  <c r="V116" i="4"/>
  <c r="U27" i="3" s="1"/>
  <c r="U36" i="3" s="1"/>
  <c r="U5" i="3" s="1"/>
  <c r="U20" i="3" s="1"/>
  <c r="Z116" i="4"/>
  <c r="Y27" i="3" s="1"/>
  <c r="AD116" i="4"/>
  <c r="AC27" i="3" s="1"/>
  <c r="AC36" i="3" s="1"/>
  <c r="AC5" i="3" s="1"/>
  <c r="AH116" i="4"/>
  <c r="AG27" i="3" s="1"/>
  <c r="AL116" i="4"/>
  <c r="AK27" i="3" s="1"/>
  <c r="AP116" i="4"/>
  <c r="AO27" i="3" s="1"/>
  <c r="AT116" i="4"/>
  <c r="AS27" i="3" s="1"/>
  <c r="T180" i="4"/>
  <c r="S40" i="3" s="1"/>
  <c r="X180" i="4"/>
  <c r="W40" i="3" s="1"/>
  <c r="W52" i="3" s="1"/>
  <c r="W6" i="3" s="1"/>
  <c r="W20" i="3" s="1"/>
  <c r="AB180" i="4"/>
  <c r="AA40" i="3" s="1"/>
  <c r="AF180" i="4"/>
  <c r="AE40" i="3" s="1"/>
  <c r="AE52" i="3" s="1"/>
  <c r="AE6" i="3" s="1"/>
  <c r="AJ180" i="4"/>
  <c r="AI40" i="3" s="1"/>
  <c r="AI52" i="3" s="1"/>
  <c r="AI6" i="3" s="1"/>
  <c r="AN180" i="4"/>
  <c r="AM40" i="3" s="1"/>
  <c r="AM52" i="3" s="1"/>
  <c r="AM6" i="3" s="1"/>
  <c r="AM20" i="3" s="1"/>
  <c r="AR180" i="4"/>
  <c r="AQ40" i="3" s="1"/>
  <c r="AQ52" i="3" s="1"/>
  <c r="AQ6" i="3" s="1"/>
  <c r="U196" i="4"/>
  <c r="T41" i="3" s="1"/>
  <c r="Y196" i="4"/>
  <c r="X41" i="3" s="1"/>
  <c r="AC196" i="4"/>
  <c r="AB41" i="3" s="1"/>
  <c r="H152" i="6"/>
  <c r="H29" i="5" s="1"/>
  <c r="I29" i="5" s="1"/>
  <c r="K151" i="6"/>
  <c r="H151" i="6"/>
  <c r="L151" i="6" s="1"/>
  <c r="F116" i="4"/>
  <c r="V148" i="4"/>
  <c r="U39" i="3" s="1"/>
  <c r="Z148" i="4"/>
  <c r="Y39" i="3" s="1"/>
  <c r="Y52" i="3" s="1"/>
  <c r="Y6" i="3" s="1"/>
  <c r="AD148" i="4"/>
  <c r="AC39" i="3" s="1"/>
  <c r="AC52" i="3" s="1"/>
  <c r="AC6" i="3" s="1"/>
  <c r="AH148" i="4"/>
  <c r="AG39" i="3" s="1"/>
  <c r="AL148" i="4"/>
  <c r="AK39" i="3" s="1"/>
  <c r="AK52" i="3" s="1"/>
  <c r="AK6" i="3" s="1"/>
  <c r="AP148" i="4"/>
  <c r="AO39" i="3" s="1"/>
  <c r="AO52" i="3" s="1"/>
  <c r="AO6" i="3" s="1"/>
  <c r="AT148" i="4"/>
  <c r="AS39" i="3" s="1"/>
  <c r="U180" i="4"/>
  <c r="T40" i="3" s="1"/>
  <c r="Y180" i="4"/>
  <c r="X40" i="3" s="1"/>
  <c r="AC180" i="4"/>
  <c r="AB40" i="3" s="1"/>
  <c r="AB52" i="3" s="1"/>
  <c r="AB6" i="3" s="1"/>
  <c r="AG180" i="4"/>
  <c r="AF40" i="3" s="1"/>
  <c r="AK180" i="4"/>
  <c r="AJ40" i="3" s="1"/>
  <c r="AO180" i="4"/>
  <c r="AN40" i="3" s="1"/>
  <c r="AS180" i="4"/>
  <c r="AR40" i="3" s="1"/>
  <c r="AR52" i="3" s="1"/>
  <c r="AR6" i="3" s="1"/>
  <c r="K153" i="4"/>
  <c r="F153" i="4"/>
  <c r="L153" i="4" s="1"/>
  <c r="K166" i="4"/>
  <c r="F166" i="4"/>
  <c r="L166" i="4" s="1"/>
  <c r="F196" i="4"/>
  <c r="L182" i="4"/>
  <c r="AG182" i="4" s="1"/>
  <c r="AG196" i="4" s="1"/>
  <c r="AF41" i="3" s="1"/>
  <c r="F16" i="5"/>
  <c r="F19" i="5"/>
  <c r="L136" i="6"/>
  <c r="L102" i="4"/>
  <c r="V180" i="4"/>
  <c r="U40" i="3" s="1"/>
  <c r="Z180" i="4"/>
  <c r="Y40" i="3" s="1"/>
  <c r="AD180" i="4"/>
  <c r="AC40" i="3" s="1"/>
  <c r="AH180" i="4"/>
  <c r="AG40" i="3" s="1"/>
  <c r="AL180" i="4"/>
  <c r="AK40" i="3" s="1"/>
  <c r="AP180" i="4"/>
  <c r="AO40" i="3" s="1"/>
  <c r="AT180" i="4"/>
  <c r="AS40" i="3" s="1"/>
  <c r="AS52" i="3" s="1"/>
  <c r="AS6" i="3" s="1"/>
  <c r="L47" i="6"/>
  <c r="K182" i="4"/>
  <c r="J228" i="4"/>
  <c r="H43" i="3" s="1"/>
  <c r="I43" i="3" s="1"/>
  <c r="M27" i="5"/>
  <c r="G215" i="4"/>
  <c r="H215" i="4" s="1"/>
  <c r="L215" i="4" s="1"/>
  <c r="M33" i="5"/>
  <c r="F29" i="6"/>
  <c r="L26" i="6"/>
  <c r="I50" i="6"/>
  <c r="L54" i="6"/>
  <c r="H61" i="6"/>
  <c r="H12" i="5" s="1"/>
  <c r="I12" i="5" s="1"/>
  <c r="K60" i="6"/>
  <c r="H60" i="6"/>
  <c r="L60" i="6" s="1"/>
  <c r="F13" i="5"/>
  <c r="F14" i="5"/>
  <c r="L82" i="6"/>
  <c r="F90" i="6"/>
  <c r="L87" i="6"/>
  <c r="L103" i="6"/>
  <c r="F105" i="6"/>
  <c r="H126" i="6"/>
  <c r="L125" i="6"/>
  <c r="H136" i="6"/>
  <c r="H138" i="6" s="1"/>
  <c r="K136" i="6"/>
  <c r="F165" i="4"/>
  <c r="G166" i="4"/>
  <c r="H166" i="4" s="1"/>
  <c r="L198" i="4"/>
  <c r="AJ228" i="4"/>
  <c r="AI43" i="3" s="1"/>
  <c r="AN228" i="4"/>
  <c r="AM43" i="3" s="1"/>
  <c r="AR228" i="4"/>
  <c r="AQ43" i="3" s="1"/>
  <c r="L27" i="5"/>
  <c r="L32" i="5"/>
  <c r="L33" i="5"/>
  <c r="L35" i="5"/>
  <c r="H29" i="6"/>
  <c r="H7" i="5" s="1"/>
  <c r="I7" i="5" s="1"/>
  <c r="I28" i="6"/>
  <c r="L33" i="6"/>
  <c r="L41" i="6"/>
  <c r="F78" i="6"/>
  <c r="L76" i="6"/>
  <c r="K81" i="6"/>
  <c r="H81" i="6"/>
  <c r="H90" i="6"/>
  <c r="H17" i="5" s="1"/>
  <c r="I17" i="5" s="1"/>
  <c r="G48" i="4" s="1"/>
  <c r="H48" i="4" s="1"/>
  <c r="I89" i="6"/>
  <c r="H96" i="6"/>
  <c r="H18" i="5" s="1"/>
  <c r="I18" i="5" s="1"/>
  <c r="G49" i="4" s="1"/>
  <c r="H49" i="4" s="1"/>
  <c r="K94" i="6"/>
  <c r="H94" i="6"/>
  <c r="L94" i="6" s="1"/>
  <c r="L99" i="6"/>
  <c r="H100" i="6"/>
  <c r="H19" i="5" s="1"/>
  <c r="I19" i="5" s="1"/>
  <c r="G50" i="4" s="1"/>
  <c r="H50" i="4" s="1"/>
  <c r="F29" i="5"/>
  <c r="G214" i="4"/>
  <c r="H214" i="4" s="1"/>
  <c r="U228" i="4"/>
  <c r="T43" i="3" s="1"/>
  <c r="Y228" i="4"/>
  <c r="X43" i="3" s="1"/>
  <c r="AC228" i="4"/>
  <c r="AB43" i="3" s="1"/>
  <c r="AG228" i="4"/>
  <c r="AF43" i="3" s="1"/>
  <c r="AK228" i="4"/>
  <c r="AJ43" i="3" s="1"/>
  <c r="AO228" i="4"/>
  <c r="AN43" i="3" s="1"/>
  <c r="AS228" i="4"/>
  <c r="AR43" i="3" s="1"/>
  <c r="L21" i="6"/>
  <c r="K40" i="6"/>
  <c r="H40" i="6"/>
  <c r="H56" i="6"/>
  <c r="H11" i="5" s="1"/>
  <c r="I11" i="5" s="1"/>
  <c r="K55" i="6"/>
  <c r="H55" i="6"/>
  <c r="L55" i="6" s="1"/>
  <c r="H67" i="6"/>
  <c r="H13" i="5" s="1"/>
  <c r="I13" i="5" s="1"/>
  <c r="K65" i="6"/>
  <c r="H65" i="6"/>
  <c r="L65" i="6" s="1"/>
  <c r="H72" i="6"/>
  <c r="H14" i="5" s="1"/>
  <c r="I14" i="5" s="1"/>
  <c r="L70" i="6"/>
  <c r="L142" i="6"/>
  <c r="L145" i="6"/>
  <c r="F147" i="6"/>
  <c r="L164" i="6"/>
  <c r="L183" i="6"/>
  <c r="H205" i="6"/>
  <c r="L205" i="6" s="1"/>
  <c r="K205" i="6"/>
  <c r="N82" i="8"/>
  <c r="A82" i="8" s="1"/>
  <c r="F56" i="6"/>
  <c r="F61" i="6"/>
  <c r="L108" i="6"/>
  <c r="F116" i="6"/>
  <c r="L113" i="6"/>
  <c r="F132" i="6"/>
  <c r="L129" i="6"/>
  <c r="I137" i="6"/>
  <c r="L135" i="6"/>
  <c r="L165" i="6"/>
  <c r="L184" i="6"/>
  <c r="H210" i="6"/>
  <c r="L210" i="6" s="1"/>
  <c r="K210" i="6"/>
  <c r="K221" i="6"/>
  <c r="H221" i="6"/>
  <c r="L221" i="6" s="1"/>
  <c r="F18" i="6"/>
  <c r="L64" i="6"/>
  <c r="I66" i="6"/>
  <c r="L93" i="6"/>
  <c r="I95" i="6"/>
  <c r="E121" i="6"/>
  <c r="L119" i="6"/>
  <c r="H132" i="6"/>
  <c r="H25" i="5" s="1"/>
  <c r="I25" i="5" s="1"/>
  <c r="I131" i="6"/>
  <c r="H146" i="6"/>
  <c r="L146" i="6" s="1"/>
  <c r="L155" i="6"/>
  <c r="I168" i="6"/>
  <c r="L179" i="6"/>
  <c r="L186" i="6"/>
  <c r="L209" i="6"/>
  <c r="H110" i="6"/>
  <c r="H21" i="5" s="1"/>
  <c r="I21" i="5" s="1"/>
  <c r="F110" i="6"/>
  <c r="H116" i="6"/>
  <c r="H22" i="5" s="1"/>
  <c r="I22" i="5" s="1"/>
  <c r="K120" i="6"/>
  <c r="L150" i="6"/>
  <c r="I159" i="6"/>
  <c r="K164" i="6"/>
  <c r="K169" i="6"/>
  <c r="L174" i="6"/>
  <c r="K183" i="6"/>
  <c r="K189" i="6"/>
  <c r="L198" i="6"/>
  <c r="O6" i="8"/>
  <c r="I211" i="6"/>
  <c r="J211" i="6" s="1"/>
  <c r="O21" i="8"/>
  <c r="I222" i="6"/>
  <c r="J222" i="6" s="1"/>
  <c r="I115" i="6"/>
  <c r="L178" i="6"/>
  <c r="L194" i="6"/>
  <c r="L204" i="6"/>
  <c r="L219" i="6"/>
  <c r="L9" i="7"/>
  <c r="E106" i="8"/>
  <c r="H9" i="7"/>
  <c r="I9" i="7" s="1"/>
  <c r="G190" i="6" s="1"/>
  <c r="H190" i="6" s="1"/>
  <c r="H191" i="6" s="1"/>
  <c r="H34" i="5" s="1"/>
  <c r="I34" i="5" s="1"/>
  <c r="G152" i="4" s="1"/>
  <c r="H152" i="4" s="1"/>
  <c r="J123" i="10"/>
  <c r="K123" i="10"/>
  <c r="H201" i="6"/>
  <c r="H36" i="5" s="1"/>
  <c r="I36" i="5" s="1"/>
  <c r="G155" i="4" s="1"/>
  <c r="H155" i="4" s="1"/>
  <c r="L220" i="6"/>
  <c r="E104" i="8"/>
  <c r="C105" i="8"/>
  <c r="E105" i="8" s="1"/>
  <c r="N88" i="8"/>
  <c r="N49" i="8"/>
  <c r="M13" i="9"/>
  <c r="F9" i="10"/>
  <c r="F8" i="10"/>
  <c r="L8" i="10" s="1"/>
  <c r="L7" i="10"/>
  <c r="K16" i="10"/>
  <c r="A66" i="8"/>
  <c r="L78" i="8"/>
  <c r="E17" i="10"/>
  <c r="L16" i="10"/>
  <c r="F14" i="10"/>
  <c r="L14" i="10" s="1"/>
  <c r="L13" i="10"/>
  <c r="L26" i="10"/>
  <c r="F42" i="10"/>
  <c r="K42" i="10"/>
  <c r="H60" i="10"/>
  <c r="L60" i="10" s="1"/>
  <c r="L59" i="10"/>
  <c r="E82" i="10"/>
  <c r="L81" i="10"/>
  <c r="E200" i="6"/>
  <c r="G9" i="7"/>
  <c r="H27" i="10"/>
  <c r="H35" i="10"/>
  <c r="H7" i="9" s="1"/>
  <c r="I7" i="9" s="1"/>
  <c r="G49" i="6" s="1"/>
  <c r="H49" i="6" s="1"/>
  <c r="H51" i="6" s="1"/>
  <c r="H10" i="5" s="1"/>
  <c r="I10" i="5" s="1"/>
  <c r="G41" i="4" s="1"/>
  <c r="H41" i="4" s="1"/>
  <c r="J87" i="10"/>
  <c r="J11" i="9" s="1"/>
  <c r="K11" i="9" s="1"/>
  <c r="I32" i="6" s="1"/>
  <c r="J32" i="6" s="1"/>
  <c r="J79" i="10"/>
  <c r="H9" i="10"/>
  <c r="H5" i="9" s="1"/>
  <c r="I5" i="9" s="1"/>
  <c r="G43" i="6" s="1"/>
  <c r="H43" i="6" s="1"/>
  <c r="L20" i="10"/>
  <c r="H22" i="10"/>
  <c r="H6" i="9" s="1"/>
  <c r="I6" i="9" s="1"/>
  <c r="J26" i="10"/>
  <c r="K26" i="10"/>
  <c r="L28" i="10"/>
  <c r="E30" i="10"/>
  <c r="L29" i="10"/>
  <c r="E69" i="10"/>
  <c r="L68" i="10"/>
  <c r="L90" i="10"/>
  <c r="L91" i="10"/>
  <c r="F92" i="10"/>
  <c r="L92" i="10" s="1"/>
  <c r="F94" i="10"/>
  <c r="K94" i="10"/>
  <c r="J111" i="10"/>
  <c r="J119" i="10"/>
  <c r="J14" i="9" s="1"/>
  <c r="K14" i="9" s="1"/>
  <c r="O33" i="8" s="1"/>
  <c r="L33" i="10"/>
  <c r="F34" i="10"/>
  <c r="L34" i="10" s="1"/>
  <c r="H61" i="10"/>
  <c r="H9" i="9" s="1"/>
  <c r="I9" i="9" s="1"/>
  <c r="G212" i="6" s="1"/>
  <c r="H212" i="6" s="1"/>
  <c r="L72" i="10"/>
  <c r="K81" i="10"/>
  <c r="L98" i="10"/>
  <c r="L111" i="10"/>
  <c r="E127" i="10"/>
  <c r="L126" i="10"/>
  <c r="J156" i="10"/>
  <c r="J17" i="9" s="1"/>
  <c r="K17" i="9" s="1"/>
  <c r="J148" i="10"/>
  <c r="L148" i="10" s="1"/>
  <c r="J147" i="10"/>
  <c r="K147" i="10"/>
  <c r="E151" i="10"/>
  <c r="L150" i="10"/>
  <c r="L19" i="10"/>
  <c r="L58" i="10"/>
  <c r="J65" i="10"/>
  <c r="K65" i="10"/>
  <c r="L77" i="10"/>
  <c r="L79" i="10"/>
  <c r="L78" i="10"/>
  <c r="L85" i="10"/>
  <c r="F86" i="10"/>
  <c r="L86" i="10" s="1"/>
  <c r="H87" i="10"/>
  <c r="H11" i="9" s="1"/>
  <c r="I11" i="9" s="1"/>
  <c r="G32" i="6" s="1"/>
  <c r="H32" i="6" s="1"/>
  <c r="L99" i="10"/>
  <c r="J105" i="10"/>
  <c r="J106" i="10"/>
  <c r="J13" i="9" s="1"/>
  <c r="K13" i="9" s="1"/>
  <c r="I187" i="6" s="1"/>
  <c r="J187" i="6" s="1"/>
  <c r="L187" i="6" s="1"/>
  <c r="L106" i="10"/>
  <c r="L135" i="10"/>
  <c r="H142" i="10"/>
  <c r="H16" i="9" s="1"/>
  <c r="I16" i="9" s="1"/>
  <c r="L155" i="10"/>
  <c r="L25" i="10"/>
  <c r="L39" i="10"/>
  <c r="F40" i="10"/>
  <c r="L40" i="10" s="1"/>
  <c r="J52" i="10"/>
  <c r="L65" i="10"/>
  <c r="L67" i="10"/>
  <c r="J100" i="10"/>
  <c r="J12" i="9" s="1"/>
  <c r="K12" i="9" s="1"/>
  <c r="O61" i="8" s="1"/>
  <c r="L104" i="10"/>
  <c r="L105" i="10"/>
  <c r="E137" i="10"/>
  <c r="L139" i="10"/>
  <c r="L140" i="10"/>
  <c r="F141" i="10"/>
  <c r="L141" i="10" s="1"/>
  <c r="L145" i="10"/>
  <c r="L146" i="10"/>
  <c r="L147" i="10"/>
  <c r="L52" i="10"/>
  <c r="F55" i="10"/>
  <c r="L110" i="10"/>
  <c r="F113" i="10"/>
  <c r="K126" i="10"/>
  <c r="J133" i="10"/>
  <c r="K150" i="10"/>
  <c r="H156" i="10"/>
  <c r="H17" i="9" s="1"/>
  <c r="I17" i="9" s="1"/>
  <c r="L154" i="10"/>
  <c r="H26" i="5" l="1"/>
  <c r="AC20" i="3"/>
  <c r="AK20" i="3"/>
  <c r="AJ20" i="3"/>
  <c r="G157" i="6"/>
  <c r="H157" i="6" s="1"/>
  <c r="H160" i="6" s="1"/>
  <c r="H30" i="5" s="1"/>
  <c r="I30" i="5" s="1"/>
  <c r="G166" i="6"/>
  <c r="H166" i="6" s="1"/>
  <c r="O43" i="8"/>
  <c r="A43" i="8" s="1"/>
  <c r="D43" i="8"/>
  <c r="O15" i="8"/>
  <c r="A15" i="8" s="1"/>
  <c r="D15" i="8"/>
  <c r="K137" i="6"/>
  <c r="J137" i="6"/>
  <c r="G157" i="4"/>
  <c r="H157" i="4" s="1"/>
  <c r="G42" i="4"/>
  <c r="H42" i="4" s="1"/>
  <c r="G29" i="5"/>
  <c r="L29" i="5"/>
  <c r="H84" i="6"/>
  <c r="I83" i="6"/>
  <c r="L81" i="6"/>
  <c r="G158" i="4"/>
  <c r="H158" i="4" s="1"/>
  <c r="G43" i="4"/>
  <c r="H43" i="4" s="1"/>
  <c r="AL20" i="3"/>
  <c r="AQ20" i="3"/>
  <c r="G158" i="6"/>
  <c r="H158" i="6" s="1"/>
  <c r="G167" i="6"/>
  <c r="H167" i="6" s="1"/>
  <c r="F200" i="6"/>
  <c r="K200" i="6"/>
  <c r="G44" i="4"/>
  <c r="H44" i="4" s="1"/>
  <c r="G159" i="4"/>
  <c r="H159" i="4" s="1"/>
  <c r="H44" i="6"/>
  <c r="H9" i="5" s="1"/>
  <c r="I9" i="5" s="1"/>
  <c r="L40" i="6"/>
  <c r="E42" i="6"/>
  <c r="J191" i="6"/>
  <c r="J34" i="5" s="1"/>
  <c r="K34" i="5" s="1"/>
  <c r="I152" i="4" s="1"/>
  <c r="J152" i="4" s="1"/>
  <c r="R152" i="4" s="1"/>
  <c r="K215" i="4"/>
  <c r="K214" i="4"/>
  <c r="G13" i="5"/>
  <c r="F7" i="5"/>
  <c r="G19" i="5"/>
  <c r="L19" i="5"/>
  <c r="G169" i="4"/>
  <c r="H169" i="4" s="1"/>
  <c r="G60" i="4"/>
  <c r="H60" i="4" s="1"/>
  <c r="AH20" i="3"/>
  <c r="L100" i="4"/>
  <c r="D26" i="3"/>
  <c r="AO20" i="3"/>
  <c r="Y20" i="3"/>
  <c r="AF20" i="3"/>
  <c r="F29" i="2"/>
  <c r="J142" i="10"/>
  <c r="J16" i="9" s="1"/>
  <c r="K16" i="9" s="1"/>
  <c r="J134" i="10"/>
  <c r="L134" i="10" s="1"/>
  <c r="L133" i="10"/>
  <c r="K127" i="10"/>
  <c r="F127" i="10"/>
  <c r="G222" i="6"/>
  <c r="H222" i="6" s="1"/>
  <c r="H224" i="6" s="1"/>
  <c r="H39" i="5" s="1"/>
  <c r="I39" i="5" s="1"/>
  <c r="G22" i="6" s="1"/>
  <c r="H22" i="6" s="1"/>
  <c r="H23" i="6" s="1"/>
  <c r="H6" i="5" s="1"/>
  <c r="I6" i="5" s="1"/>
  <c r="N6" i="8"/>
  <c r="N21" i="8"/>
  <c r="G211" i="6"/>
  <c r="H211" i="6" s="1"/>
  <c r="H216" i="6" s="1"/>
  <c r="H38" i="5" s="1"/>
  <c r="I38" i="5" s="1"/>
  <c r="G35" i="6" s="1"/>
  <c r="H35" i="6" s="1"/>
  <c r="C96" i="8"/>
  <c r="N96" i="8"/>
  <c r="A96" i="8" s="1"/>
  <c r="D30" i="8"/>
  <c r="O30" i="8"/>
  <c r="A30" i="8" s="1"/>
  <c r="F21" i="5"/>
  <c r="L110" i="6"/>
  <c r="K187" i="6"/>
  <c r="J131" i="6"/>
  <c r="K131" i="6"/>
  <c r="J95" i="6"/>
  <c r="K95" i="6"/>
  <c r="F5" i="5"/>
  <c r="L18" i="6"/>
  <c r="H147" i="6"/>
  <c r="H28" i="5" s="1"/>
  <c r="I28" i="5" s="1"/>
  <c r="F25" i="5"/>
  <c r="F12" i="5"/>
  <c r="L61" i="6"/>
  <c r="G45" i="4"/>
  <c r="H45" i="4" s="1"/>
  <c r="G160" i="4"/>
  <c r="H160" i="4" s="1"/>
  <c r="K89" i="6"/>
  <c r="J89" i="6"/>
  <c r="L72" i="6"/>
  <c r="K50" i="6"/>
  <c r="J50" i="6"/>
  <c r="L50" i="6" s="1"/>
  <c r="L100" i="6"/>
  <c r="L116" i="4"/>
  <c r="D27" i="3"/>
  <c r="G18" i="5"/>
  <c r="AT20" i="3"/>
  <c r="AD20" i="3"/>
  <c r="G174" i="4"/>
  <c r="H174" i="4" s="1"/>
  <c r="G46" i="4"/>
  <c r="H46" i="4" s="1"/>
  <c r="AI20" i="3"/>
  <c r="F137" i="10"/>
  <c r="K137" i="10"/>
  <c r="J53" i="10"/>
  <c r="L53" i="10" s="1"/>
  <c r="J61" i="10"/>
  <c r="J9" i="9" s="1"/>
  <c r="K9" i="9" s="1"/>
  <c r="I212" i="6" s="1"/>
  <c r="J212" i="6" s="1"/>
  <c r="I213" i="6" s="1"/>
  <c r="I166" i="6"/>
  <c r="J166" i="6" s="1"/>
  <c r="I157" i="6"/>
  <c r="J157" i="6" s="1"/>
  <c r="E190" i="6"/>
  <c r="M9" i="7"/>
  <c r="L79" i="8"/>
  <c r="A78" i="8"/>
  <c r="J115" i="6"/>
  <c r="K115" i="6"/>
  <c r="J66" i="6"/>
  <c r="K66" i="6"/>
  <c r="F22" i="5"/>
  <c r="L147" i="6"/>
  <c r="F28" i="5"/>
  <c r="L214" i="4"/>
  <c r="H228" i="4"/>
  <c r="G173" i="4"/>
  <c r="H173" i="4" s="1"/>
  <c r="G38" i="4"/>
  <c r="H38" i="4" s="1"/>
  <c r="F20" i="5"/>
  <c r="L105" i="6"/>
  <c r="K77" i="6"/>
  <c r="J77" i="6"/>
  <c r="AE20" i="3"/>
  <c r="T20" i="3"/>
  <c r="L113" i="10"/>
  <c r="E114" i="10"/>
  <c r="O83" i="8"/>
  <c r="A83" i="8" s="1"/>
  <c r="F69" i="10"/>
  <c r="K69" i="10"/>
  <c r="F30" i="10"/>
  <c r="K30" i="10"/>
  <c r="J35" i="10"/>
  <c r="J7" i="9" s="1"/>
  <c r="K7" i="9" s="1"/>
  <c r="I49" i="6" s="1"/>
  <c r="J49" i="6" s="1"/>
  <c r="J51" i="6" s="1"/>
  <c r="J10" i="5" s="1"/>
  <c r="K10" i="5" s="1"/>
  <c r="I41" i="4" s="1"/>
  <c r="J41" i="4" s="1"/>
  <c r="R41" i="4" s="1"/>
  <c r="J27" i="10"/>
  <c r="L27" i="10" s="1"/>
  <c r="L13" i="9"/>
  <c r="K82" i="10"/>
  <c r="F82" i="10"/>
  <c r="N57" i="8"/>
  <c r="A57" i="8" s="1"/>
  <c r="C57" i="8"/>
  <c r="J124" i="10"/>
  <c r="L124" i="10" s="1"/>
  <c r="J129" i="10"/>
  <c r="J15" i="9" s="1"/>
  <c r="K15" i="9" s="1"/>
  <c r="I223" i="6" s="1"/>
  <c r="J223" i="6" s="1"/>
  <c r="J224" i="6" s="1"/>
  <c r="J39" i="5" s="1"/>
  <c r="K39" i="5" s="1"/>
  <c r="I22" i="6" s="1"/>
  <c r="J22" i="6" s="1"/>
  <c r="J23" i="6" s="1"/>
  <c r="J6" i="5" s="1"/>
  <c r="K6" i="5" s="1"/>
  <c r="H206" i="6"/>
  <c r="G162" i="4"/>
  <c r="H162" i="4" s="1"/>
  <c r="G53" i="4"/>
  <c r="H53" i="4" s="1"/>
  <c r="K168" i="6"/>
  <c r="J168" i="6"/>
  <c r="L168" i="6" s="1"/>
  <c r="K121" i="6"/>
  <c r="F121" i="6"/>
  <c r="L55" i="10"/>
  <c r="E56" i="10"/>
  <c r="L123" i="10"/>
  <c r="J66" i="10"/>
  <c r="L66" i="10" s="1"/>
  <c r="J74" i="10"/>
  <c r="J10" i="9" s="1"/>
  <c r="K10" i="9" s="1"/>
  <c r="K151" i="10"/>
  <c r="F151" i="10"/>
  <c r="L94" i="10"/>
  <c r="E95" i="10"/>
  <c r="L42" i="10"/>
  <c r="E43" i="10"/>
  <c r="F17" i="10"/>
  <c r="K17" i="10"/>
  <c r="F5" i="9"/>
  <c r="L9" i="10"/>
  <c r="J159" i="6"/>
  <c r="L159" i="6" s="1"/>
  <c r="K159" i="6"/>
  <c r="G161" i="4"/>
  <c r="H161" i="4" s="1"/>
  <c r="G52" i="4"/>
  <c r="H52" i="4" s="1"/>
  <c r="G56" i="4"/>
  <c r="H56" i="4" s="1"/>
  <c r="G164" i="4"/>
  <c r="H164" i="4" s="1"/>
  <c r="F11" i="5"/>
  <c r="L56" i="6"/>
  <c r="L152" i="6"/>
  <c r="F15" i="5"/>
  <c r="K28" i="6"/>
  <c r="J28" i="6"/>
  <c r="H24" i="5"/>
  <c r="L126" i="6"/>
  <c r="F17" i="5"/>
  <c r="G14" i="5"/>
  <c r="L14" i="5"/>
  <c r="G16" i="5"/>
  <c r="L196" i="4"/>
  <c r="D41" i="3"/>
  <c r="AP36" i="3"/>
  <c r="AP5" i="3" s="1"/>
  <c r="AP20" i="3" s="1"/>
  <c r="Z36" i="3"/>
  <c r="Z5" i="3" s="1"/>
  <c r="Z20" i="3" s="1"/>
  <c r="L84" i="4"/>
  <c r="D25" i="3"/>
  <c r="AA20" i="3"/>
  <c r="I136" i="4" l="1"/>
  <c r="J136" i="4" s="1"/>
  <c r="R136" i="4" s="1"/>
  <c r="I24" i="4"/>
  <c r="J24" i="4" s="1"/>
  <c r="R24" i="4" s="1"/>
  <c r="E96" i="8"/>
  <c r="C99" i="8"/>
  <c r="H8" i="7" s="1"/>
  <c r="I8" i="7" s="1"/>
  <c r="G34" i="6" s="1"/>
  <c r="H34" i="6" s="1"/>
  <c r="C98" i="8"/>
  <c r="G170" i="4"/>
  <c r="H170" i="4" s="1"/>
  <c r="G61" i="4"/>
  <c r="H61" i="4" s="1"/>
  <c r="G17" i="5"/>
  <c r="L151" i="10"/>
  <c r="F156" i="10"/>
  <c r="F152" i="10"/>
  <c r="L152" i="10" s="1"/>
  <c r="F43" i="3"/>
  <c r="L228" i="4"/>
  <c r="J27" i="3"/>
  <c r="E27" i="3"/>
  <c r="K27" i="3" s="1"/>
  <c r="E42" i="2" s="1"/>
  <c r="G25" i="5"/>
  <c r="J132" i="6"/>
  <c r="L131" i="6"/>
  <c r="L127" i="10"/>
  <c r="F128" i="10"/>
  <c r="L128" i="10" s="1"/>
  <c r="F129" i="10"/>
  <c r="I167" i="6"/>
  <c r="J167" i="6" s="1"/>
  <c r="J171" i="6" s="1"/>
  <c r="J31" i="5" s="1"/>
  <c r="K31" i="5" s="1"/>
  <c r="I158" i="6"/>
  <c r="J158" i="6" s="1"/>
  <c r="G7" i="5"/>
  <c r="G150" i="4"/>
  <c r="H150" i="4" s="1"/>
  <c r="G40" i="4"/>
  <c r="H40" i="4" s="1"/>
  <c r="L200" i="6"/>
  <c r="F201" i="6"/>
  <c r="K83" i="6"/>
  <c r="J83" i="6"/>
  <c r="D17" i="8"/>
  <c r="J5" i="7" s="1"/>
  <c r="K5" i="7" s="1"/>
  <c r="D16" i="8"/>
  <c r="E15" i="8"/>
  <c r="I26" i="5"/>
  <c r="L69" i="10"/>
  <c r="F74" i="10"/>
  <c r="F70" i="10"/>
  <c r="L70" i="10" s="1"/>
  <c r="L66" i="6"/>
  <c r="J67" i="6"/>
  <c r="G136" i="4"/>
  <c r="H136" i="4" s="1"/>
  <c r="G24" i="4"/>
  <c r="H24" i="4" s="1"/>
  <c r="M29" i="5"/>
  <c r="E169" i="4"/>
  <c r="E60" i="4"/>
  <c r="L121" i="6"/>
  <c r="F122" i="6"/>
  <c r="G20" i="5"/>
  <c r="L20" i="5"/>
  <c r="G22" i="5"/>
  <c r="E25" i="3"/>
  <c r="K25" i="3" s="1"/>
  <c r="J25" i="3"/>
  <c r="E41" i="3"/>
  <c r="K41" i="3" s="1"/>
  <c r="J41" i="3"/>
  <c r="G15" i="5"/>
  <c r="G11" i="5"/>
  <c r="L11" i="5"/>
  <c r="G5" i="9"/>
  <c r="L5" i="9"/>
  <c r="K95" i="10"/>
  <c r="F95" i="10"/>
  <c r="F56" i="10"/>
  <c r="K56" i="10"/>
  <c r="E57" i="8"/>
  <c r="C59" i="8"/>
  <c r="L30" i="10"/>
  <c r="F35" i="10"/>
  <c r="F31" i="10"/>
  <c r="L31" i="10" s="1"/>
  <c r="L77" i="6"/>
  <c r="J78" i="6"/>
  <c r="L115" i="6"/>
  <c r="J116" i="6"/>
  <c r="K190" i="6"/>
  <c r="F190" i="6"/>
  <c r="D31" i="8"/>
  <c r="E30" i="8"/>
  <c r="D45" i="8"/>
  <c r="J6" i="7" s="1"/>
  <c r="K6" i="7" s="1"/>
  <c r="C29" i="8"/>
  <c r="N29" i="8"/>
  <c r="A29" i="8" s="1"/>
  <c r="F31" i="2"/>
  <c r="F33" i="2" s="1"/>
  <c r="F30" i="2"/>
  <c r="H16" i="5"/>
  <c r="L28" i="6"/>
  <c r="J29" i="6"/>
  <c r="L17" i="10"/>
  <c r="F22" i="10"/>
  <c r="F18" i="10"/>
  <c r="L18" i="10" s="1"/>
  <c r="L82" i="10"/>
  <c r="F87" i="10"/>
  <c r="F83" i="10"/>
  <c r="L83" i="10" s="1"/>
  <c r="F114" i="10"/>
  <c r="K114" i="10"/>
  <c r="A79" i="8"/>
  <c r="L80" i="8"/>
  <c r="L137" i="10"/>
  <c r="F142" i="10"/>
  <c r="F138" i="10"/>
  <c r="L138" i="10" s="1"/>
  <c r="E49" i="4"/>
  <c r="G12" i="5"/>
  <c r="L12" i="5"/>
  <c r="G21" i="5"/>
  <c r="L21" i="5"/>
  <c r="J26" i="3"/>
  <c r="E26" i="3"/>
  <c r="K26" i="3" s="1"/>
  <c r="E43" i="8"/>
  <c r="D44" i="8"/>
  <c r="E172" i="4"/>
  <c r="E47" i="4"/>
  <c r="K43" i="10"/>
  <c r="F43" i="10"/>
  <c r="K213" i="6"/>
  <c r="J213" i="6"/>
  <c r="G5" i="5"/>
  <c r="L5" i="5"/>
  <c r="M14" i="5"/>
  <c r="E160" i="4"/>
  <c r="E45" i="4"/>
  <c r="I24" i="5"/>
  <c r="L24" i="5"/>
  <c r="O88" i="8"/>
  <c r="O49" i="8"/>
  <c r="H37" i="5"/>
  <c r="L206" i="6"/>
  <c r="G28" i="5"/>
  <c r="L28" i="5"/>
  <c r="J160" i="6"/>
  <c r="J30" i="5" s="1"/>
  <c r="K30" i="5" s="1"/>
  <c r="L89" i="6"/>
  <c r="J90" i="6"/>
  <c r="G168" i="4"/>
  <c r="H168" i="4" s="1"/>
  <c r="G59" i="4"/>
  <c r="H59" i="4" s="1"/>
  <c r="L95" i="6"/>
  <c r="J96" i="6"/>
  <c r="N14" i="8"/>
  <c r="A14" i="8" s="1"/>
  <c r="C14" i="8"/>
  <c r="M19" i="5"/>
  <c r="E50" i="4"/>
  <c r="E159" i="4"/>
  <c r="E44" i="4"/>
  <c r="K42" i="6"/>
  <c r="F42" i="6"/>
  <c r="L137" i="6"/>
  <c r="J138" i="6"/>
  <c r="H171" i="6"/>
  <c r="H31" i="5" s="1"/>
  <c r="I31" i="5" s="1"/>
  <c r="I171" i="4" l="1"/>
  <c r="J171" i="4" s="1"/>
  <c r="R171" i="4" s="1"/>
  <c r="I62" i="4"/>
  <c r="J62" i="4" s="1"/>
  <c r="R62" i="4" s="1"/>
  <c r="J18" i="5"/>
  <c r="L96" i="6"/>
  <c r="O58" i="8"/>
  <c r="A58" i="8" s="1"/>
  <c r="D58" i="8"/>
  <c r="M5" i="9"/>
  <c r="E43" i="6"/>
  <c r="J13" i="5"/>
  <c r="L67" i="6"/>
  <c r="L129" i="10"/>
  <c r="F15" i="9"/>
  <c r="J25" i="5"/>
  <c r="L132" i="6"/>
  <c r="J26" i="5"/>
  <c r="L138" i="6"/>
  <c r="F44" i="4"/>
  <c r="D97" i="8"/>
  <c r="O97" i="8"/>
  <c r="A97" i="8" s="1"/>
  <c r="F160" i="4"/>
  <c r="L160" i="4" s="1"/>
  <c r="K160" i="4"/>
  <c r="L213" i="6"/>
  <c r="J216" i="6"/>
  <c r="J38" i="5" s="1"/>
  <c r="K38" i="5" s="1"/>
  <c r="I35" i="6" s="1"/>
  <c r="J35" i="6" s="1"/>
  <c r="F47" i="4"/>
  <c r="M21" i="5"/>
  <c r="E161" i="4"/>
  <c r="E52" i="4"/>
  <c r="A80" i="8"/>
  <c r="C82" i="8"/>
  <c r="D83" i="8"/>
  <c r="F6" i="9"/>
  <c r="L22" i="10"/>
  <c r="J22" i="5"/>
  <c r="L116" i="6"/>
  <c r="L95" i="10"/>
  <c r="F100" i="10"/>
  <c r="F96" i="10"/>
  <c r="L96" i="10" s="1"/>
  <c r="L122" i="6"/>
  <c r="F23" i="5"/>
  <c r="I134" i="4"/>
  <c r="J134" i="4" s="1"/>
  <c r="I22" i="4"/>
  <c r="J22" i="4" s="1"/>
  <c r="E173" i="4"/>
  <c r="E38" i="4"/>
  <c r="J17" i="5"/>
  <c r="L90" i="6"/>
  <c r="M28" i="5"/>
  <c r="E168" i="4"/>
  <c r="E59" i="4"/>
  <c r="F49" i="4"/>
  <c r="L114" i="10"/>
  <c r="F115" i="10"/>
  <c r="L115" i="10" s="1"/>
  <c r="F119" i="10"/>
  <c r="L56" i="10"/>
  <c r="F57" i="10"/>
  <c r="L57" i="10" s="1"/>
  <c r="F61" i="10"/>
  <c r="E46" i="4"/>
  <c r="E174" i="4"/>
  <c r="M20" i="5"/>
  <c r="E51" i="4"/>
  <c r="E154" i="4"/>
  <c r="K169" i="4"/>
  <c r="F169" i="4"/>
  <c r="L169" i="4" s="1"/>
  <c r="F159" i="4"/>
  <c r="E14" i="8"/>
  <c r="C17" i="8"/>
  <c r="H5" i="7" s="1"/>
  <c r="I5" i="7" s="1"/>
  <c r="C16" i="8"/>
  <c r="I170" i="4"/>
  <c r="J170" i="4" s="1"/>
  <c r="R170" i="4" s="1"/>
  <c r="I61" i="4"/>
  <c r="J61" i="4" s="1"/>
  <c r="R61" i="4" s="1"/>
  <c r="F172" i="4"/>
  <c r="L87" i="10"/>
  <c r="F11" i="9"/>
  <c r="I16" i="5"/>
  <c r="L35" i="10"/>
  <c r="F7" i="9"/>
  <c r="M11" i="5"/>
  <c r="E42" i="4"/>
  <c r="E157" i="4"/>
  <c r="E162" i="4"/>
  <c r="E53" i="4"/>
  <c r="G165" i="4"/>
  <c r="G57" i="4"/>
  <c r="L83" i="6"/>
  <c r="J84" i="6"/>
  <c r="E164" i="4"/>
  <c r="E56" i="4"/>
  <c r="G43" i="3"/>
  <c r="K43" i="3" s="1"/>
  <c r="J43" i="3"/>
  <c r="G171" i="4"/>
  <c r="H171" i="4" s="1"/>
  <c r="G62" i="4"/>
  <c r="H62" i="4" s="1"/>
  <c r="K50" i="4"/>
  <c r="F50" i="4"/>
  <c r="L50" i="4" s="1"/>
  <c r="K45" i="4"/>
  <c r="F45" i="4"/>
  <c r="L45" i="4" s="1"/>
  <c r="M5" i="5"/>
  <c r="E6" i="4"/>
  <c r="E118" i="4"/>
  <c r="I23" i="4"/>
  <c r="J23" i="4" s="1"/>
  <c r="R23" i="4" s="1"/>
  <c r="I135" i="4"/>
  <c r="J135" i="4" s="1"/>
  <c r="R135" i="4" s="1"/>
  <c r="L201" i="6"/>
  <c r="F36" i="5"/>
  <c r="L156" i="10"/>
  <c r="F17" i="9"/>
  <c r="L42" i="6"/>
  <c r="I37" i="5"/>
  <c r="L37" i="5"/>
  <c r="M24" i="5"/>
  <c r="G167" i="4"/>
  <c r="G55" i="4"/>
  <c r="L43" i="10"/>
  <c r="F44" i="10"/>
  <c r="L44" i="10" s="1"/>
  <c r="F48" i="10"/>
  <c r="M12" i="5"/>
  <c r="E158" i="4"/>
  <c r="E43" i="4"/>
  <c r="L142" i="10"/>
  <c r="F16" i="9"/>
  <c r="J7" i="5"/>
  <c r="L29" i="6"/>
  <c r="F34" i="2"/>
  <c r="C45" i="8"/>
  <c r="H6" i="7" s="1"/>
  <c r="I6" i="7" s="1"/>
  <c r="E29" i="8"/>
  <c r="C31" i="8"/>
  <c r="L190" i="6"/>
  <c r="F191" i="6"/>
  <c r="J15" i="5"/>
  <c r="L78" i="6"/>
  <c r="K60" i="4"/>
  <c r="F60" i="4"/>
  <c r="L60" i="4" s="1"/>
  <c r="L74" i="10"/>
  <c r="F10" i="9"/>
  <c r="G42" i="2"/>
  <c r="K42" i="2"/>
  <c r="E48" i="4"/>
  <c r="F8" i="9" l="1"/>
  <c r="L48" i="10"/>
  <c r="H167" i="4"/>
  <c r="L167" i="4" s="1"/>
  <c r="K167" i="4"/>
  <c r="G36" i="5"/>
  <c r="L36" i="5"/>
  <c r="K118" i="4"/>
  <c r="F118" i="4"/>
  <c r="F164" i="4"/>
  <c r="H57" i="4"/>
  <c r="F162" i="4"/>
  <c r="G172" i="4"/>
  <c r="G47" i="4"/>
  <c r="G134" i="4"/>
  <c r="H134" i="4" s="1"/>
  <c r="G22" i="4"/>
  <c r="H22" i="4" s="1"/>
  <c r="H36" i="4" s="1"/>
  <c r="F23" i="3" s="1"/>
  <c r="G23" i="3" s="1"/>
  <c r="L61" i="10"/>
  <c r="F9" i="9"/>
  <c r="F59" i="4"/>
  <c r="L59" i="4" s="1"/>
  <c r="K59" i="4"/>
  <c r="K17" i="5"/>
  <c r="L17" i="5"/>
  <c r="J36" i="4"/>
  <c r="H23" i="3" s="1"/>
  <c r="I23" i="3" s="1"/>
  <c r="R22" i="4"/>
  <c r="R36" i="4" s="1"/>
  <c r="Q23" i="3" s="1"/>
  <c r="K22" i="5"/>
  <c r="L22" i="5"/>
  <c r="E82" i="8"/>
  <c r="C84" i="8"/>
  <c r="C85" i="8"/>
  <c r="H7" i="7" s="1"/>
  <c r="I7" i="7" s="1"/>
  <c r="G36" i="6" s="1"/>
  <c r="H36" i="6" s="1"/>
  <c r="H37" i="6" s="1"/>
  <c r="H8" i="5" s="1"/>
  <c r="I8" i="5" s="1"/>
  <c r="D99" i="8"/>
  <c r="J8" i="7" s="1"/>
  <c r="K8" i="7" s="1"/>
  <c r="I34" i="6" s="1"/>
  <c r="J34" i="6" s="1"/>
  <c r="D98" i="8"/>
  <c r="E97" i="8"/>
  <c r="K26" i="5"/>
  <c r="L26" i="5"/>
  <c r="K18" i="5"/>
  <c r="L18" i="5"/>
  <c r="K15" i="5"/>
  <c r="L15" i="5"/>
  <c r="F48" i="4"/>
  <c r="L191" i="6"/>
  <c r="F34" i="5"/>
  <c r="G135" i="4"/>
  <c r="H135" i="4" s="1"/>
  <c r="G23" i="4"/>
  <c r="H23" i="4" s="1"/>
  <c r="L16" i="9"/>
  <c r="G16" i="9"/>
  <c r="H55" i="4"/>
  <c r="L55" i="4" s="1"/>
  <c r="K55" i="4"/>
  <c r="M37" i="5"/>
  <c r="G156" i="4"/>
  <c r="F56" i="4"/>
  <c r="F53" i="4"/>
  <c r="K42" i="4"/>
  <c r="F42" i="4"/>
  <c r="L42" i="4" s="1"/>
  <c r="F51" i="4"/>
  <c r="L51" i="4" s="1"/>
  <c r="K51" i="4"/>
  <c r="F14" i="9"/>
  <c r="L119" i="10"/>
  <c r="D84" i="8"/>
  <c r="E83" i="8"/>
  <c r="K161" i="4"/>
  <c r="F161" i="4"/>
  <c r="L161" i="4" s="1"/>
  <c r="L15" i="9"/>
  <c r="G15" i="9"/>
  <c r="K43" i="6"/>
  <c r="F43" i="6"/>
  <c r="F35" i="2"/>
  <c r="G10" i="9"/>
  <c r="L10" i="9"/>
  <c r="F43" i="4"/>
  <c r="L43" i="4" s="1"/>
  <c r="K43" i="4"/>
  <c r="K6" i="4"/>
  <c r="F6" i="4"/>
  <c r="H165" i="4"/>
  <c r="G7" i="9"/>
  <c r="L7" i="9"/>
  <c r="G11" i="9"/>
  <c r="L11" i="9"/>
  <c r="F174" i="4"/>
  <c r="F168" i="4"/>
  <c r="L168" i="4" s="1"/>
  <c r="K168" i="4"/>
  <c r="F38" i="4"/>
  <c r="R134" i="4"/>
  <c r="R148" i="4" s="1"/>
  <c r="Q39" i="3" s="1"/>
  <c r="J148" i="4"/>
  <c r="H39" i="3" s="1"/>
  <c r="I39" i="3" s="1"/>
  <c r="L100" i="10"/>
  <c r="F12" i="9"/>
  <c r="D59" i="8"/>
  <c r="E58" i="8"/>
  <c r="D85" i="8"/>
  <c r="J7" i="7" s="1"/>
  <c r="K7" i="7" s="1"/>
  <c r="I36" i="6" s="1"/>
  <c r="J36" i="6" s="1"/>
  <c r="K7" i="5"/>
  <c r="L7" i="5"/>
  <c r="K158" i="4"/>
  <c r="F158" i="4"/>
  <c r="L158" i="4" s="1"/>
  <c r="L17" i="9"/>
  <c r="G17" i="9"/>
  <c r="J16" i="5"/>
  <c r="L84" i="6"/>
  <c r="K157" i="4"/>
  <c r="F157" i="4"/>
  <c r="L157" i="4" s="1"/>
  <c r="K154" i="4"/>
  <c r="F154" i="4"/>
  <c r="L154" i="4" s="1"/>
  <c r="F46" i="4"/>
  <c r="F173" i="4"/>
  <c r="G23" i="5"/>
  <c r="L23" i="5"/>
  <c r="G6" i="9"/>
  <c r="L6" i="9"/>
  <c r="K52" i="4"/>
  <c r="F52" i="4"/>
  <c r="L52" i="4" s="1"/>
  <c r="K25" i="5"/>
  <c r="L25" i="5"/>
  <c r="K13" i="5"/>
  <c r="L13" i="5"/>
  <c r="F36" i="2" l="1"/>
  <c r="F43" i="2" s="1"/>
  <c r="I173" i="4"/>
  <c r="I38" i="4"/>
  <c r="M7" i="5"/>
  <c r="I164" i="4"/>
  <c r="I56" i="4"/>
  <c r="M25" i="5"/>
  <c r="M6" i="9"/>
  <c r="M21" i="8"/>
  <c r="E211" i="6"/>
  <c r="M6" i="8"/>
  <c r="E222" i="6"/>
  <c r="G12" i="9"/>
  <c r="L12" i="9"/>
  <c r="F20" i="4"/>
  <c r="L6" i="4"/>
  <c r="H156" i="4"/>
  <c r="L156" i="4" s="1"/>
  <c r="K156" i="4"/>
  <c r="M16" i="9"/>
  <c r="E158" i="6"/>
  <c r="E167" i="6"/>
  <c r="G34" i="5"/>
  <c r="L34" i="5"/>
  <c r="G36" i="3"/>
  <c r="F5" i="3" s="1"/>
  <c r="G5" i="3" s="1"/>
  <c r="H47" i="4"/>
  <c r="F132" i="4"/>
  <c r="L118" i="4"/>
  <c r="I159" i="4"/>
  <c r="I44" i="4"/>
  <c r="M13" i="5"/>
  <c r="K16" i="5"/>
  <c r="L16" i="5"/>
  <c r="M7" i="9"/>
  <c r="E49" i="6"/>
  <c r="M88" i="8"/>
  <c r="M10" i="9"/>
  <c r="M49" i="8"/>
  <c r="L43" i="6"/>
  <c r="F44" i="6"/>
  <c r="I46" i="4"/>
  <c r="I174" i="4"/>
  <c r="M15" i="5"/>
  <c r="I49" i="4"/>
  <c r="M18" i="5"/>
  <c r="H148" i="4"/>
  <c r="F39" i="3" s="1"/>
  <c r="G39" i="3" s="1"/>
  <c r="H172" i="4"/>
  <c r="M23" i="5"/>
  <c r="E163" i="4"/>
  <c r="E54" i="4"/>
  <c r="M17" i="9"/>
  <c r="E157" i="6"/>
  <c r="E166" i="6"/>
  <c r="L14" i="9"/>
  <c r="G14" i="9"/>
  <c r="J37" i="6"/>
  <c r="J8" i="5" s="1"/>
  <c r="K8" i="5" s="1"/>
  <c r="G9" i="9"/>
  <c r="L9" i="9"/>
  <c r="M11" i="9"/>
  <c r="E32" i="6"/>
  <c r="M15" i="9"/>
  <c r="E223" i="6"/>
  <c r="I165" i="4"/>
  <c r="I57" i="4"/>
  <c r="M26" i="5"/>
  <c r="G151" i="4"/>
  <c r="H151" i="4" s="1"/>
  <c r="G39" i="4"/>
  <c r="H39" i="4" s="1"/>
  <c r="H68" i="4" s="1"/>
  <c r="F24" i="3" s="1"/>
  <c r="G24" i="3" s="1"/>
  <c r="I162" i="4"/>
  <c r="I53" i="4"/>
  <c r="M22" i="5"/>
  <c r="I48" i="4"/>
  <c r="M17" i="5"/>
  <c r="M36" i="5"/>
  <c r="E155" i="4"/>
  <c r="L8" i="9"/>
  <c r="G8" i="9"/>
  <c r="K167" i="6" l="1"/>
  <c r="F167" i="6"/>
  <c r="L167" i="6" s="1"/>
  <c r="B28" i="8"/>
  <c r="M28" i="8"/>
  <c r="A28" i="8" s="1"/>
  <c r="J57" i="4"/>
  <c r="K57" i="4"/>
  <c r="K49" i="6"/>
  <c r="F49" i="6"/>
  <c r="L132" i="4"/>
  <c r="D38" i="3"/>
  <c r="K158" i="6"/>
  <c r="F158" i="6"/>
  <c r="L158" i="6" s="1"/>
  <c r="K222" i="6"/>
  <c r="F222" i="6"/>
  <c r="M8" i="9"/>
  <c r="E215" i="6"/>
  <c r="J53" i="4"/>
  <c r="K53" i="4"/>
  <c r="M14" i="9"/>
  <c r="M33" i="8"/>
  <c r="L44" i="6"/>
  <c r="F9" i="5"/>
  <c r="M12" i="9"/>
  <c r="M61" i="8"/>
  <c r="J164" i="4"/>
  <c r="K164" i="4"/>
  <c r="J162" i="4"/>
  <c r="K162" i="4"/>
  <c r="I151" i="4"/>
  <c r="J151" i="4" s="1"/>
  <c r="I39" i="4"/>
  <c r="J39" i="4" s="1"/>
  <c r="R39" i="4" s="1"/>
  <c r="K155" i="4"/>
  <c r="F155" i="4"/>
  <c r="L155" i="4" s="1"/>
  <c r="J48" i="4"/>
  <c r="K48" i="4"/>
  <c r="J165" i="4"/>
  <c r="K165" i="4"/>
  <c r="K32" i="6"/>
  <c r="F32" i="6"/>
  <c r="J174" i="4"/>
  <c r="K174" i="4"/>
  <c r="B56" i="8"/>
  <c r="M56" i="8"/>
  <c r="A56" i="8" s="1"/>
  <c r="J44" i="4"/>
  <c r="K44" i="4"/>
  <c r="M13" i="8"/>
  <c r="A13" i="8" s="1"/>
  <c r="B13" i="8"/>
  <c r="J38" i="4"/>
  <c r="K38" i="4"/>
  <c r="M9" i="9"/>
  <c r="E212" i="6"/>
  <c r="K157" i="6"/>
  <c r="F157" i="6"/>
  <c r="K163" i="4"/>
  <c r="F163" i="4"/>
  <c r="L163" i="4" s="1"/>
  <c r="J49" i="4"/>
  <c r="K49" i="4"/>
  <c r="B95" i="8"/>
  <c r="M95" i="8"/>
  <c r="A95" i="8" s="1"/>
  <c r="I172" i="4"/>
  <c r="I47" i="4"/>
  <c r="M16" i="5"/>
  <c r="H180" i="4"/>
  <c r="F40" i="3" s="1"/>
  <c r="G40" i="3" s="1"/>
  <c r="G52" i="3" s="1"/>
  <c r="F6" i="3" s="1"/>
  <c r="G6" i="3" s="1"/>
  <c r="G20" i="3" s="1"/>
  <c r="E9" i="2" s="1"/>
  <c r="K223" i="6"/>
  <c r="F223" i="6"/>
  <c r="L223" i="6" s="1"/>
  <c r="K166" i="6"/>
  <c r="F166" i="6"/>
  <c r="K54" i="4"/>
  <c r="F54" i="4"/>
  <c r="L54" i="4" s="1"/>
  <c r="J46" i="4"/>
  <c r="K46" i="4"/>
  <c r="J159" i="4"/>
  <c r="K159" i="4"/>
  <c r="M34" i="5"/>
  <c r="E152" i="4"/>
  <c r="L20" i="4"/>
  <c r="D22" i="3"/>
  <c r="F211" i="6"/>
  <c r="K211" i="6"/>
  <c r="J56" i="4"/>
  <c r="K56" i="4"/>
  <c r="J173" i="4"/>
  <c r="K173" i="4"/>
  <c r="E16" i="2" l="1"/>
  <c r="K9" i="2"/>
  <c r="E15" i="2"/>
  <c r="E10" i="2"/>
  <c r="E11" i="2" s="1"/>
  <c r="E18" i="2"/>
  <c r="G9" i="2"/>
  <c r="B85" i="8"/>
  <c r="E56" i="8"/>
  <c r="B59" i="8"/>
  <c r="E59" i="8" s="1"/>
  <c r="R48" i="4"/>
  <c r="L48" i="4"/>
  <c r="R151" i="4"/>
  <c r="R164" i="4"/>
  <c r="L164" i="4"/>
  <c r="R53" i="4"/>
  <c r="L53" i="4"/>
  <c r="R56" i="4"/>
  <c r="L56" i="4"/>
  <c r="J47" i="4"/>
  <c r="K47" i="4"/>
  <c r="L157" i="6"/>
  <c r="F160" i="6"/>
  <c r="M81" i="8"/>
  <c r="A81" i="8" s="1"/>
  <c r="B81" i="8"/>
  <c r="M41" i="8"/>
  <c r="A41" i="8" s="1"/>
  <c r="B41" i="8"/>
  <c r="K215" i="6"/>
  <c r="F215" i="6"/>
  <c r="L215" i="6" s="1"/>
  <c r="L49" i="6"/>
  <c r="F51" i="6"/>
  <c r="R57" i="4"/>
  <c r="L57" i="4"/>
  <c r="R173" i="4"/>
  <c r="L173" i="4"/>
  <c r="L211" i="6"/>
  <c r="L166" i="6"/>
  <c r="F171" i="6"/>
  <c r="J22" i="3"/>
  <c r="E22" i="3"/>
  <c r="R46" i="4"/>
  <c r="L46" i="4"/>
  <c r="E95" i="8"/>
  <c r="B99" i="8"/>
  <c r="B98" i="8"/>
  <c r="E98" i="8" s="1"/>
  <c r="F152" i="4"/>
  <c r="L152" i="4" s="1"/>
  <c r="K152" i="4"/>
  <c r="R159" i="4"/>
  <c r="L159" i="4"/>
  <c r="J172" i="4"/>
  <c r="K172" i="4"/>
  <c r="R49" i="4"/>
  <c r="L49" i="4"/>
  <c r="J68" i="4"/>
  <c r="H24" i="3" s="1"/>
  <c r="I24" i="3" s="1"/>
  <c r="H5" i="3" s="1"/>
  <c r="I5" i="3" s="1"/>
  <c r="R38" i="4"/>
  <c r="L38" i="4"/>
  <c r="R44" i="4"/>
  <c r="L44" i="4"/>
  <c r="R174" i="4"/>
  <c r="L174" i="4"/>
  <c r="R165" i="4"/>
  <c r="L165" i="4"/>
  <c r="R162" i="4"/>
  <c r="L162" i="4"/>
  <c r="F212" i="6"/>
  <c r="K212" i="6"/>
  <c r="B17" i="8"/>
  <c r="B16" i="8"/>
  <c r="E16" i="8" s="1"/>
  <c r="E13" i="8"/>
  <c r="L32" i="6"/>
  <c r="G9" i="5"/>
  <c r="L9" i="5"/>
  <c r="L222" i="6"/>
  <c r="F224" i="6"/>
  <c r="J38" i="3"/>
  <c r="E38" i="3"/>
  <c r="B45" i="8"/>
  <c r="E28" i="8"/>
  <c r="B31" i="8"/>
  <c r="E31" i="8" s="1"/>
  <c r="F39" i="5" l="1"/>
  <c r="L224" i="6"/>
  <c r="R172" i="4"/>
  <c r="L172" i="4"/>
  <c r="E14" i="2"/>
  <c r="E13" i="2"/>
  <c r="E27" i="2"/>
  <c r="K11" i="2"/>
  <c r="E28" i="2"/>
  <c r="E45" i="8"/>
  <c r="F6" i="7"/>
  <c r="L171" i="6"/>
  <c r="F31" i="5"/>
  <c r="L160" i="6"/>
  <c r="F30" i="5"/>
  <c r="K38" i="3"/>
  <c r="L212" i="6"/>
  <c r="E214" i="6"/>
  <c r="E17" i="2"/>
  <c r="K15" i="2"/>
  <c r="G15" i="2"/>
  <c r="E17" i="8"/>
  <c r="F5" i="7"/>
  <c r="F10" i="5"/>
  <c r="L51" i="6"/>
  <c r="B44" i="8"/>
  <c r="E44" i="8" s="1"/>
  <c r="E41" i="8"/>
  <c r="E85" i="8"/>
  <c r="F7" i="7"/>
  <c r="M9" i="5"/>
  <c r="E150" i="4"/>
  <c r="E40" i="4"/>
  <c r="E99" i="8"/>
  <c r="F8" i="7"/>
  <c r="K22" i="3"/>
  <c r="B84" i="8"/>
  <c r="E84" i="8" s="1"/>
  <c r="E81" i="8"/>
  <c r="J180" i="4"/>
  <c r="H40" i="3" s="1"/>
  <c r="I40" i="3" s="1"/>
  <c r="I52" i="3" s="1"/>
  <c r="H6" i="3" s="1"/>
  <c r="I6" i="3" s="1"/>
  <c r="I20" i="3" s="1"/>
  <c r="E12" i="2" s="1"/>
  <c r="G18" i="2"/>
  <c r="K18" i="2"/>
  <c r="R47" i="4"/>
  <c r="R68" i="4" s="1"/>
  <c r="Q24" i="3" s="1"/>
  <c r="Q36" i="3" s="1"/>
  <c r="Q5" i="3" s="1"/>
  <c r="Q20" i="3" s="1"/>
  <c r="L47" i="4"/>
  <c r="R180" i="4"/>
  <c r="Q40" i="3" s="1"/>
  <c r="Q52" i="3" s="1"/>
  <c r="Q6" i="3" s="1"/>
  <c r="G10" i="2"/>
  <c r="G11" i="2" s="1"/>
  <c r="K10" i="2"/>
  <c r="K16" i="2"/>
  <c r="G16" i="2"/>
  <c r="K12" i="2" l="1"/>
  <c r="G12" i="2"/>
  <c r="K13" i="2"/>
  <c r="G13" i="2"/>
  <c r="L8" i="7"/>
  <c r="G8" i="7"/>
  <c r="L5" i="7"/>
  <c r="G5" i="7"/>
  <c r="K17" i="2"/>
  <c r="G17" i="2"/>
  <c r="G31" i="5"/>
  <c r="L31" i="5"/>
  <c r="G28" i="2"/>
  <c r="K28" i="2"/>
  <c r="K150" i="4"/>
  <c r="F150" i="4"/>
  <c r="L7" i="7"/>
  <c r="G7" i="7"/>
  <c r="K14" i="2"/>
  <c r="G14" i="2"/>
  <c r="K40" i="4"/>
  <c r="F40" i="4"/>
  <c r="L40" i="4" s="1"/>
  <c r="G10" i="5"/>
  <c r="L10" i="5"/>
  <c r="K214" i="6"/>
  <c r="F214" i="6"/>
  <c r="G30" i="5"/>
  <c r="L30" i="5"/>
  <c r="L6" i="7"/>
  <c r="G6" i="7"/>
  <c r="G27" i="2"/>
  <c r="K27" i="2"/>
  <c r="G39" i="5"/>
  <c r="L39" i="5"/>
  <c r="M30" i="5" l="1"/>
  <c r="E170" i="4"/>
  <c r="E61" i="4"/>
  <c r="M31" i="5"/>
  <c r="E171" i="4"/>
  <c r="E62" i="4"/>
  <c r="L150" i="4"/>
  <c r="M6" i="7"/>
  <c r="E23" i="4"/>
  <c r="E135" i="4"/>
  <c r="M39" i="5"/>
  <c r="E22" i="6"/>
  <c r="M7" i="7"/>
  <c r="E36" i="6"/>
  <c r="E34" i="6"/>
  <c r="M8" i="7"/>
  <c r="M10" i="5"/>
  <c r="E41" i="4"/>
  <c r="L214" i="6"/>
  <c r="F216" i="6"/>
  <c r="M5" i="7"/>
  <c r="E134" i="4"/>
  <c r="E22" i="4"/>
  <c r="K22" i="4" l="1"/>
  <c r="F22" i="4"/>
  <c r="K134" i="4"/>
  <c r="F134" i="4"/>
  <c r="K41" i="4"/>
  <c r="F41" i="4"/>
  <c r="L41" i="4" s="1"/>
  <c r="K34" i="6"/>
  <c r="F34" i="6"/>
  <c r="K36" i="6"/>
  <c r="F36" i="6"/>
  <c r="L36" i="6" s="1"/>
  <c r="K135" i="4"/>
  <c r="F135" i="4"/>
  <c r="L135" i="4" s="1"/>
  <c r="K61" i="4"/>
  <c r="F61" i="4"/>
  <c r="L61" i="4" s="1"/>
  <c r="L216" i="6"/>
  <c r="F38" i="5"/>
  <c r="K23" i="4"/>
  <c r="F23" i="4"/>
  <c r="L23" i="4" s="1"/>
  <c r="K62" i="4"/>
  <c r="F62" i="4"/>
  <c r="L62" i="4" s="1"/>
  <c r="K170" i="4"/>
  <c r="F170" i="4"/>
  <c r="L170" i="4" s="1"/>
  <c r="K22" i="6"/>
  <c r="F22" i="6"/>
  <c r="K171" i="4"/>
  <c r="F171" i="4"/>
  <c r="L171" i="4" s="1"/>
  <c r="G38" i="5" l="1"/>
  <c r="L38" i="5"/>
  <c r="L34" i="6"/>
  <c r="L134" i="4"/>
  <c r="L22" i="6"/>
  <c r="F23" i="6"/>
  <c r="L22" i="4"/>
  <c r="L23" i="6" l="1"/>
  <c r="F6" i="5"/>
  <c r="E35" i="6"/>
  <c r="M38" i="5"/>
  <c r="G6" i="5" l="1"/>
  <c r="L6" i="5"/>
  <c r="K35" i="6"/>
  <c r="F35" i="6"/>
  <c r="L35" i="6" l="1"/>
  <c r="F37" i="6"/>
  <c r="M6" i="5"/>
  <c r="E136" i="4"/>
  <c r="E24" i="4"/>
  <c r="L37" i="6" l="1"/>
  <c r="F8" i="5"/>
  <c r="F136" i="4"/>
  <c r="K136" i="4"/>
  <c r="F24" i="4"/>
  <c r="K24" i="4"/>
  <c r="L136" i="4" l="1"/>
  <c r="F148" i="4"/>
  <c r="G8" i="5"/>
  <c r="L8" i="5"/>
  <c r="L24" i="4"/>
  <c r="F36" i="4"/>
  <c r="M8" i="5" l="1"/>
  <c r="E151" i="4"/>
  <c r="E39" i="4"/>
  <c r="L148" i="4"/>
  <c r="D39" i="3"/>
  <c r="L36" i="4"/>
  <c r="D23" i="3"/>
  <c r="J23" i="3" l="1"/>
  <c r="E23" i="3"/>
  <c r="F39" i="4"/>
  <c r="K39" i="4"/>
  <c r="F151" i="4"/>
  <c r="K151" i="4"/>
  <c r="J39" i="3"/>
  <c r="E39" i="3"/>
  <c r="K39" i="3" l="1"/>
  <c r="L39" i="4"/>
  <c r="F68" i="4"/>
  <c r="K23" i="3"/>
  <c r="L151" i="4"/>
  <c r="F180" i="4"/>
  <c r="L68" i="4" l="1"/>
  <c r="D24" i="3"/>
  <c r="L180" i="4"/>
  <c r="D40" i="3"/>
  <c r="J40" i="3" l="1"/>
  <c r="E40" i="3"/>
  <c r="J24" i="3"/>
  <c r="E24" i="3"/>
  <c r="K40" i="3" l="1"/>
  <c r="E52" i="3"/>
  <c r="K24" i="3"/>
  <c r="E36" i="3"/>
  <c r="K36" i="3" l="1"/>
  <c r="D5" i="3"/>
  <c r="D6" i="3"/>
  <c r="K52" i="3"/>
  <c r="J6" i="3" l="1"/>
  <c r="E6" i="3"/>
  <c r="K6" i="3" s="1"/>
  <c r="J5" i="3"/>
  <c r="E5" i="3"/>
  <c r="E20" i="3" l="1"/>
  <c r="K5" i="3"/>
  <c r="K20" i="3" l="1"/>
  <c r="E5" i="2"/>
  <c r="K5" i="2" l="1"/>
  <c r="G5" i="2"/>
  <c r="E6" i="2"/>
  <c r="K6" i="2" s="1"/>
  <c r="G6" i="2" l="1"/>
  <c r="G8" i="2"/>
  <c r="E8" i="2"/>
  <c r="K8" i="2" l="1"/>
  <c r="E24" i="2"/>
  <c r="E22" i="2"/>
  <c r="E20" i="2"/>
  <c r="E23" i="2"/>
  <c r="E21" i="2"/>
  <c r="E19" i="2"/>
  <c r="G22" i="2" l="1"/>
  <c r="K22" i="2"/>
  <c r="G21" i="2"/>
  <c r="K21" i="2"/>
  <c r="G24" i="2"/>
  <c r="K24" i="2"/>
  <c r="G19" i="2"/>
  <c r="K19" i="2"/>
  <c r="E29" i="2"/>
  <c r="G23" i="2"/>
  <c r="K23" i="2"/>
  <c r="G20" i="2"/>
  <c r="K20" i="2"/>
  <c r="G29" i="2" l="1"/>
  <c r="G30" i="2" s="1"/>
  <c r="K29" i="2"/>
  <c r="E31" i="2"/>
  <c r="E30" i="2"/>
  <c r="K30" i="2" l="1"/>
  <c r="G31" i="2"/>
  <c r="K31" i="2"/>
  <c r="K33" i="2" s="1"/>
  <c r="E33" i="2"/>
  <c r="G33" i="2" s="1"/>
  <c r="K34" i="2" l="1"/>
  <c r="K35" i="2" s="1"/>
  <c r="K36" i="2" s="1"/>
  <c r="K43" i="2" s="1"/>
  <c r="E34" i="2"/>
  <c r="G34" i="2" l="1"/>
  <c r="E35" i="2"/>
  <c r="G35" i="2" l="1"/>
  <c r="E36" i="2"/>
  <c r="G36" i="2" l="1"/>
  <c r="G43" i="2" s="1"/>
  <c r="E43" i="2"/>
</calcChain>
</file>

<file path=xl/sharedStrings.xml><?xml version="1.0" encoding="utf-8"?>
<sst xmlns="http://schemas.openxmlformats.org/spreadsheetml/2006/main" count="2615" uniqueCount="599">
  <si>
    <t>[일위 15호] - [싱크대 철거  L 3150, 상하부장  개소]</t>
  </si>
  <si>
    <t>[일위 24호] - [비닐장판지 철거  해체재 재사용 안함  M2]</t>
  </si>
  <si>
    <t>매</t>
  </si>
  <si>
    <t>단위</t>
  </si>
  <si>
    <t>수평틀</t>
  </si>
  <si>
    <t>5인치</t>
  </si>
  <si>
    <t>비 고</t>
  </si>
  <si>
    <t>구분</t>
  </si>
  <si>
    <t>상반기</t>
  </si>
  <si>
    <t>kg</t>
  </si>
  <si>
    <t>개</t>
  </si>
  <si>
    <t>166</t>
  </si>
  <si>
    <t>수직</t>
  </si>
  <si>
    <t>106</t>
  </si>
  <si>
    <t>L</t>
  </si>
  <si>
    <t>잡석</t>
  </si>
  <si>
    <t>조</t>
  </si>
  <si>
    <t>88</t>
  </si>
  <si>
    <t>82</t>
  </si>
  <si>
    <t>172</t>
  </si>
  <si>
    <t>단가</t>
  </si>
  <si>
    <t>경유</t>
  </si>
  <si>
    <t>타일공</t>
  </si>
  <si>
    <t>E</t>
  </si>
  <si>
    <t>㎥</t>
  </si>
  <si>
    <t>내장공</t>
  </si>
  <si>
    <t>62</t>
  </si>
  <si>
    <t>위생공</t>
  </si>
  <si>
    <t>착암공</t>
  </si>
  <si>
    <t>TON</t>
  </si>
  <si>
    <t/>
  </si>
  <si>
    <t>식</t>
  </si>
  <si>
    <t>20</t>
  </si>
  <si>
    <t>재료비</t>
  </si>
  <si>
    <t>HR</t>
  </si>
  <si>
    <t>호 표</t>
  </si>
  <si>
    <t>비계공</t>
  </si>
  <si>
    <t>철강설</t>
  </si>
  <si>
    <t>벌목부</t>
  </si>
  <si>
    <t>도배공</t>
  </si>
  <si>
    <t>대</t>
  </si>
  <si>
    <t>01</t>
  </si>
  <si>
    <t>q9</t>
  </si>
  <si>
    <t>용접공</t>
  </si>
  <si>
    <t>k</t>
  </si>
  <si>
    <t>창호공</t>
  </si>
  <si>
    <t>인</t>
  </si>
  <si>
    <t>잡품</t>
  </si>
  <si>
    <t>03</t>
  </si>
  <si>
    <t>매입가</t>
  </si>
  <si>
    <t>수량</t>
  </si>
  <si>
    <t>기계톱</t>
  </si>
  <si>
    <t>02</t>
  </si>
  <si>
    <t>f</t>
  </si>
  <si>
    <t>t3</t>
  </si>
  <si>
    <t>1대</t>
  </si>
  <si>
    <t>t4</t>
  </si>
  <si>
    <t>A</t>
  </si>
  <si>
    <t>q1</t>
  </si>
  <si>
    <t>t2</t>
  </si>
  <si>
    <t>t5</t>
  </si>
  <si>
    <t>r1</t>
  </si>
  <si>
    <t>99</t>
  </si>
  <si>
    <t>25</t>
  </si>
  <si>
    <t>경비</t>
  </si>
  <si>
    <t>6"</t>
  </si>
  <si>
    <t>Q</t>
  </si>
  <si>
    <t>개소</t>
  </si>
  <si>
    <t>28</t>
  </si>
  <si>
    <t>D</t>
  </si>
  <si>
    <t>M2</t>
  </si>
  <si>
    <t>천장</t>
  </si>
  <si>
    <t>t</t>
  </si>
  <si>
    <t>Cms</t>
  </si>
  <si>
    <t>L1</t>
  </si>
  <si>
    <t>M3</t>
  </si>
  <si>
    <t>N</t>
  </si>
  <si>
    <t>주</t>
  </si>
  <si>
    <t>23</t>
  </si>
  <si>
    <t>개당</t>
  </si>
  <si>
    <t>t6</t>
  </si>
  <si>
    <t>V</t>
  </si>
  <si>
    <t>W</t>
  </si>
  <si>
    <t>T</t>
  </si>
  <si>
    <t>Es</t>
  </si>
  <si>
    <t>Cm</t>
  </si>
  <si>
    <t>C15</t>
  </si>
  <si>
    <t>가설비</t>
  </si>
  <si>
    <t>C31</t>
  </si>
  <si>
    <t>C25</t>
  </si>
  <si>
    <t>C13</t>
  </si>
  <si>
    <t>외주비</t>
  </si>
  <si>
    <t>C16</t>
  </si>
  <si>
    <t>C18</t>
  </si>
  <si>
    <t>A3</t>
  </si>
  <si>
    <t>1톤</t>
  </si>
  <si>
    <t>C4</t>
  </si>
  <si>
    <t>C11</t>
  </si>
  <si>
    <t>C10</t>
  </si>
  <si>
    <t>B</t>
  </si>
  <si>
    <t>관급</t>
  </si>
  <si>
    <t>운반비</t>
  </si>
  <si>
    <t>A2</t>
  </si>
  <si>
    <t>비고</t>
  </si>
  <si>
    <t>C12</t>
  </si>
  <si>
    <t>C30</t>
  </si>
  <si>
    <t>C32</t>
  </si>
  <si>
    <t>A1</t>
  </si>
  <si>
    <t>C34</t>
  </si>
  <si>
    <t>C17</t>
  </si>
  <si>
    <t>B2</t>
  </si>
  <si>
    <t>C20</t>
  </si>
  <si>
    <t>바닥</t>
  </si>
  <si>
    <t>B1</t>
  </si>
  <si>
    <t>벽체</t>
  </si>
  <si>
    <t>장비비</t>
  </si>
  <si>
    <t>C14</t>
  </si>
  <si>
    <t>벽</t>
  </si>
  <si>
    <t>노무비</t>
  </si>
  <si>
    <t>C</t>
  </si>
  <si>
    <t>J</t>
  </si>
  <si>
    <t>K</t>
  </si>
  <si>
    <t>F</t>
  </si>
  <si>
    <t>H</t>
  </si>
  <si>
    <t>C33</t>
  </si>
  <si>
    <t>X</t>
  </si>
  <si>
    <t>Y</t>
  </si>
  <si>
    <t>[일위  2호] - [잡석깔기지정  잡석포함  M3]</t>
  </si>
  <si>
    <t>[일위 28호] - [분뇨처리비  1톤 기본  M3]</t>
  </si>
  <si>
    <t>[중기 13호] - [굴착기+압쇄기  1.0M3  HR]</t>
  </si>
  <si>
    <t>[일위 35호] - [기초 지정  잡석지정  M3]</t>
  </si>
  <si>
    <t>[일위 23호] - [몰탈철거  인력,바닥  M2]</t>
  </si>
  <si>
    <t>[일위 30호] - [현장내 수목제거  B8 이하  주]</t>
  </si>
  <si>
    <t>[중기  8호] - [덤프트럭  15ton  HR]</t>
  </si>
  <si>
    <t>[일위  8호] - [반자틀철거  재사용 안함  M2]</t>
  </si>
  <si>
    <t>[중기 11호] - [진동롤러(핸드가이드식)  0.7ton, 조정원제외  HR]</t>
  </si>
  <si>
    <t>[일위 16호] - [대변기 철거  양식 대변기(탱크형), 설치품의 20%  개당]</t>
  </si>
  <si>
    <t>[일위  3호] - [강재창호 철거  1.0∼3.0㎡이하, 설치품의 20%  개소]</t>
  </si>
  <si>
    <t>[단산  1호] - [터파기(기계)  보통, 유압식백호 0.2m3, 모래  M3]</t>
  </si>
  <si>
    <t>[일위 14호] - [강재창호 철거  6.0∼8.0㎡이하, 설치품의 20%  개소]</t>
  </si>
  <si>
    <t>[단산  2호] - [되메우고다지기  백호우(0.2M3)+콤펙트1.5톤  M3]</t>
  </si>
  <si>
    <t>[일위 11호] - [목재창호 철거  1.0∼3.0㎡이하, 설치품의 20%  개소]</t>
  </si>
  <si>
    <t>[단산  3호] - [잔토처리(백호우0.7M3)  토사,5KM,담프15톤  M3]</t>
  </si>
  <si>
    <t>[일위  4호] - [기성품 정화조 철거  오수 2m3/일 , 5인용, 설치품의 10%  개소]</t>
  </si>
  <si>
    <t>[일위 12호] - [합성수지창호 철거(이중창)  1.0∼3.0㎡이하, 설치품의 20%  개소]</t>
  </si>
  <si>
    <t>[일위 13호] - [합성수지창호 철거(이중창)  3.0∼6.0㎡이하, 설치품의 20%  개소]</t>
  </si>
  <si>
    <t>[단산  5호] - [수목상하차  (R8~9),B7~8,H2.6~3.0  주]</t>
  </si>
  <si>
    <t>[중기  7호] - [크레인(무한궤도)  10ton(0.29㎥)  HR]</t>
  </si>
  <si>
    <t>[일위 32호] - [세면기 철거  도기 세면기, 설치품의 20%  개당]</t>
  </si>
  <si>
    <t>[단산  4호] - [터파기(백호우0.7M3)  보통토사  M3]</t>
  </si>
  <si>
    <t>[일위  6호] - [지붕강판 철거  지붕, 설치품의 20%  M2]</t>
  </si>
  <si>
    <t>[일위  1호] - [이동식강관말비계  3개월,2단(4m)  1대]</t>
  </si>
  <si>
    <t>[일위  9호] - [합판 철거  천장, 설치품의 20%  M2]</t>
  </si>
  <si>
    <t>[일위 19호] - [단열재 철거  T 30, 설치품의 20%  M2]</t>
  </si>
  <si>
    <t>[중기  5호] - [진동롤러(핸드가이드식)  0.7ton  HR]</t>
  </si>
  <si>
    <t>[일위  7호] - [지붕 목재트러스 철거  재사용 안함  M2]</t>
  </si>
  <si>
    <t>공통8-4-1,8-3-1(0602)</t>
  </si>
  <si>
    <t>보통, 유압식백호 0.2m3, 모래</t>
  </si>
  <si>
    <t>공통8-4-1,8-3-1(0201)</t>
  </si>
  <si>
    <t>비계안정장치, 이음철물, 연결핀</t>
  </si>
  <si>
    <t>2.다짐(유압식콤펙터1.5ton)</t>
  </si>
  <si>
    <t>철강설, 알루미늄, 작업설부산물</t>
  </si>
  <si>
    <t>공통8-4-2,8-3-2(1730)</t>
  </si>
  <si>
    <t xml:space="preserve"> 플레이트 콤팩터 1.5ton HR</t>
  </si>
  <si>
    <t>굴착기(무한궤도) 0.7㎥ HR</t>
  </si>
  <si>
    <t>공통2-7-6,2-2-5/26보완</t>
  </si>
  <si>
    <t>공구손료 및 경장비의 기계경비</t>
  </si>
  <si>
    <t>도기 세면기, 설치품의 20%</t>
  </si>
  <si>
    <t>0204. 작업부산물(철거해체)</t>
  </si>
  <si>
    <t>소                계</t>
  </si>
  <si>
    <t>이                윤</t>
  </si>
  <si>
    <t xml:space="preserve"> 굴착기(무한궤도) 0.7㎥ HR</t>
  </si>
  <si>
    <t>비계안정장치, 손잡이, 1829mm</t>
  </si>
  <si>
    <t>공통8-4-3,8-3-3(2104)</t>
  </si>
  <si>
    <t>공통8-4-2,8-3-2(1305)</t>
  </si>
  <si>
    <t>공통8-4-8,8-3-8(7204)</t>
  </si>
  <si>
    <t>기    타    경    비</t>
  </si>
  <si>
    <t>비계안정장치, 손잡이, 1229mm</t>
  </si>
  <si>
    <t>공통8-4-3,8-3-3(2101)</t>
  </si>
  <si>
    <t>굴착기(무한궤도) 0.2㎥ HR</t>
  </si>
  <si>
    <t xml:space="preserve"> 굴착기(무한궤도) 0.2㎥ HR</t>
  </si>
  <si>
    <t>백호우(0.2M3)+콤펙트1.5톤</t>
  </si>
  <si>
    <t>기    계    경    비</t>
  </si>
  <si>
    <t>0104. 작업부산물(철거해체)</t>
  </si>
  <si>
    <t>도    급    금    액</t>
  </si>
  <si>
    <t>총       원       가</t>
  </si>
  <si>
    <t>경        비</t>
  </si>
  <si>
    <t>재   료   비</t>
  </si>
  <si>
    <t>노   무   비</t>
  </si>
  <si>
    <t>합        계</t>
  </si>
  <si>
    <t>중 기 경 비 목 록</t>
  </si>
  <si>
    <t>재료비-&gt;재료비</t>
  </si>
  <si>
    <t>A0100000000</t>
  </si>
  <si>
    <t>굴착기(무한궤도)</t>
  </si>
  <si>
    <t>크레인(무한궤도)</t>
  </si>
  <si>
    <t>플레이트 콤팩터</t>
  </si>
  <si>
    <t>압쇄기(펄버라이저)</t>
  </si>
  <si>
    <t>무한궤도 크레인</t>
  </si>
  <si>
    <t>물탱크(살수차)</t>
  </si>
  <si>
    <t>소형브레이커(전기식)</t>
  </si>
  <si>
    <t>크레인(타이어)</t>
  </si>
  <si>
    <t>[일위 31호] - [싱크대 철거  L 2400, 상하부장  개소]</t>
  </si>
  <si>
    <t>[일위 27호] - [콘크리트구조물 헐기(기계)  장애물 제거  M3]</t>
  </si>
  <si>
    <t>[일위 25호] - [단열재 철거  바닥, 설치품의 20%  M2]</t>
  </si>
  <si>
    <t>S.B.C냉연,중량13kg</t>
  </si>
  <si>
    <t>비계안정장치, 손잡이기둥</t>
  </si>
  <si>
    <t>철강설, 고철, 작업설부산물</t>
  </si>
  <si>
    <t>10ton(0.29㎥)</t>
  </si>
  <si>
    <t>토사,5KM,담프15톤</t>
  </si>
  <si>
    <t>중 기 경 비 내 역 서</t>
  </si>
  <si>
    <t>공통8-5-3(2104)</t>
  </si>
  <si>
    <t>진동롤러(핸드가이드식)</t>
  </si>
  <si>
    <t>공통8-3-6(5220)</t>
  </si>
  <si>
    <t>일 위 대 가 내 역 서</t>
  </si>
  <si>
    <t>건축5-3-3(자재별도)</t>
  </si>
  <si>
    <t>공통8-5-8(7204)</t>
  </si>
  <si>
    <t>품          명</t>
  </si>
  <si>
    <t xml:space="preserve"> 덤프트럭 15ton HR</t>
  </si>
  <si>
    <t>2024년서울시조경공사</t>
  </si>
  <si>
    <t>터파기(백호우0.7M3)</t>
  </si>
  <si>
    <t>잔토처리(백호우0.7M3)</t>
  </si>
  <si>
    <t>공통8-5-6(5220)</t>
  </si>
  <si>
    <t>CDH11500000S</t>
  </si>
  <si>
    <t>2020SH조경견적기준</t>
  </si>
  <si>
    <t>진동롤러 (핸드가이드식)</t>
  </si>
  <si>
    <t>공통8-5-2(1730)</t>
  </si>
  <si>
    <t>건설폐기물수집운반비(상차비)</t>
  </si>
  <si>
    <t>24톤 덤프트럭, 건설폐재류</t>
  </si>
  <si>
    <t>10 ton (0.29 ㎥)</t>
  </si>
  <si>
    <t>공통8-5-3(2101)</t>
  </si>
  <si>
    <t>규          격</t>
  </si>
  <si>
    <t>공통8-5-1(0602)</t>
  </si>
  <si>
    <t>공통8-5-1(0250)</t>
  </si>
  <si>
    <t>공통8-5-1(0201)</t>
  </si>
  <si>
    <t>공통8-5-2(1305)</t>
  </si>
  <si>
    <t>공통(0201+0250)</t>
  </si>
  <si>
    <t>0.7ton, 조정원제외</t>
  </si>
  <si>
    <t>산   출   근   거</t>
  </si>
  <si>
    <t>건  강  보   험   료</t>
  </si>
  <si>
    <t>안  전  관   리   비</t>
  </si>
  <si>
    <t>품  질  관   리   비</t>
  </si>
  <si>
    <t>설비7-1-3(노무비)</t>
  </si>
  <si>
    <t>콘크리트구조물 헐기(기계)</t>
  </si>
  <si>
    <t>천장, 설치품의 20%</t>
  </si>
  <si>
    <t>간   접   노  무  비</t>
  </si>
  <si>
    <t>L 3150, 상하부장</t>
  </si>
  <si>
    <t>0105. 폐기물상차비</t>
  </si>
  <si>
    <t>공 사 원 가 계 산 서</t>
  </si>
  <si>
    <t>작업설.부산물 등(△)</t>
  </si>
  <si>
    <t>연  금  보   험   료</t>
  </si>
  <si>
    <t>직   접   재  료  비</t>
  </si>
  <si>
    <t>일  반   관   리  비</t>
  </si>
  <si>
    <t>환  경  보   전   비</t>
  </si>
  <si>
    <t>T 30, 설치품의 20%</t>
  </si>
  <si>
    <t>L 2400, 상하부장</t>
  </si>
  <si>
    <t>부   가   가  치  세</t>
  </si>
  <si>
    <t>총   공   사  금  액</t>
  </si>
  <si>
    <t>순  공  사  원  가</t>
  </si>
  <si>
    <t>간   접   재  료  비</t>
  </si>
  <si>
    <t>퇴 직 공 제 부 금 비</t>
  </si>
  <si>
    <t>자재구매(도급자 관급자재)</t>
  </si>
  <si>
    <t>지붕, 설치품의 20%</t>
  </si>
  <si>
    <t>바닥, 설치품의 20%</t>
  </si>
  <si>
    <t>0205. 폐기물상차비</t>
  </si>
  <si>
    <t>직   접   노  무  비</t>
  </si>
  <si>
    <t>산  재  보   험   료</t>
  </si>
  <si>
    <t>고  용  보   험   료</t>
  </si>
  <si>
    <t>합성수지창호 철거(이중창)</t>
  </si>
  <si>
    <t>건축12-2-1(21년)</t>
  </si>
  <si>
    <t>굴착기(유압식백호우)</t>
  </si>
  <si>
    <t>운전사(운반차)</t>
  </si>
  <si>
    <t>한국건설폐기물수집운반</t>
  </si>
  <si>
    <t>건설기계운전기사</t>
  </si>
  <si>
    <t>1.굴삭기백호우</t>
  </si>
  <si>
    <t>단 가 산 출 서</t>
  </si>
  <si>
    <t>단 가 산 출 목 록</t>
  </si>
  <si>
    <t>산소가스, 압축가스</t>
  </si>
  <si>
    <t>1438(2604)</t>
  </si>
  <si>
    <t>압축가스(용접용)</t>
  </si>
  <si>
    <t>아세틸렌가스, kg</t>
  </si>
  <si>
    <t>매입가(경량A)</t>
  </si>
  <si>
    <t>02. 8-71번지</t>
  </si>
  <si>
    <t>01. 8-10번지</t>
  </si>
  <si>
    <t>단 가 대 비 표</t>
  </si>
  <si>
    <t>106(2502)</t>
  </si>
  <si>
    <t>공업용휘발유, 무연</t>
  </si>
  <si>
    <t>비계안정장치, 바퀴</t>
  </si>
  <si>
    <t>비계안정장치, 쟈키</t>
  </si>
  <si>
    <t>2026 실내건축협회</t>
  </si>
  <si>
    <t>공구손료 및 기계경비</t>
  </si>
  <si>
    <t>되메우기 및 다짐</t>
  </si>
  <si>
    <t>건축10-1-1참고</t>
  </si>
  <si>
    <t>설비13-9-4참고</t>
  </si>
  <si>
    <t>A0200000000</t>
  </si>
  <si>
    <t>건축10-1-4</t>
  </si>
  <si>
    <t>※ 1일 시공량</t>
  </si>
  <si>
    <t>이동식강관말비계</t>
  </si>
  <si>
    <t>3개월,2단(4m)</t>
  </si>
  <si>
    <t>기성품 정화조 철거</t>
  </si>
  <si>
    <t>일 위 대 가 목 록</t>
  </si>
  <si>
    <t>규        격</t>
  </si>
  <si>
    <t>합      계</t>
  </si>
  <si>
    <t>건축10-1-2참고</t>
  </si>
  <si>
    <t>공통3-4-8참고</t>
  </si>
  <si>
    <t>품        명</t>
  </si>
  <si>
    <t>경      비</t>
  </si>
  <si>
    <t>[중기  3호] - [크레인(타이어)  20ton  HR]</t>
  </si>
  <si>
    <t>[중기 12호] - [굴착기(무한궤도)  0.6㎥  HR]</t>
  </si>
  <si>
    <t>공사명 : 2026 빈집 철거 후 공공활용사업［건축물 해체공사］</t>
  </si>
  <si>
    <t>[일위 26호] - [조적벽 해체  장애물 미제거  M3]</t>
  </si>
  <si>
    <t>[중기  1호] - [소형브레이커(전기식)  1.5kw  HR]</t>
  </si>
  <si>
    <t>[중기  2호] - [굴착기(무한궤도)  0.2㎥  HR]</t>
  </si>
  <si>
    <t xml:space="preserve">                     구  분
  비   목</t>
  </si>
  <si>
    <t>[중기 10호] - [플레이트 콤팩터  1.5ton  HR]</t>
  </si>
  <si>
    <t>[일위 34호] - [되메우기 및 다짐  소형장비사용  M3]</t>
  </si>
  <si>
    <t>[중기  6호] - [굴착기(무한궤도)  0.7㎥  HR]</t>
  </si>
  <si>
    <t>[일위 18호] - [벽체합판 철거  설치품의 20%  M2]</t>
  </si>
  <si>
    <t>[중기  4호] - [물탱크(살수차)  5500L  HR]</t>
  </si>
  <si>
    <t>[일위 29호] - [분뇨처리비(초과요금)  1톤  M3]</t>
  </si>
  <si>
    <t>소각폐기물 운반처리</t>
  </si>
  <si>
    <t>건설폐기물 운반처리</t>
  </si>
  <si>
    <t>폐기물처리 부담금</t>
  </si>
  <si>
    <t>지정폐기물 운반처리</t>
  </si>
  <si>
    <t>지붕 목재트러스 철거</t>
  </si>
  <si>
    <t>해체재 재사용 안함</t>
  </si>
  <si>
    <t>비닐장판지 철거</t>
  </si>
  <si>
    <t>설치품의 20%</t>
  </si>
  <si>
    <t>규      격</t>
  </si>
  <si>
    <t>공 사 내 역 서</t>
  </si>
  <si>
    <t>분뇨처리비(초과요금)</t>
  </si>
  <si>
    <t>현장내 수목제거</t>
  </si>
  <si>
    <t>시멘트기와 철거</t>
  </si>
  <si>
    <t>품      명</t>
  </si>
  <si>
    <t>0101. 가설공사</t>
  </si>
  <si>
    <t>0102. 토공사</t>
  </si>
  <si>
    <t>재해예방기술지도비</t>
  </si>
  <si>
    <t>작업부산물(철거해체)</t>
  </si>
  <si>
    <t>0201. 가설공사</t>
  </si>
  <si>
    <t>0203. 철거공사</t>
  </si>
  <si>
    <t>공 사 집 계 표</t>
  </si>
  <si>
    <t>구    성   비</t>
  </si>
  <si>
    <t>0202. 토공사</t>
  </si>
  <si>
    <t>0103. 철거공사</t>
  </si>
  <si>
    <t>0106. 분뇨처리비</t>
  </si>
  <si>
    <t>0206. 분뇨처리비</t>
  </si>
  <si>
    <t>건설기계대여보증수수료</t>
  </si>
  <si>
    <t>노인 장기 요양보험료</t>
  </si>
  <si>
    <t>건설하도급보증수수료</t>
  </si>
  <si>
    <t>산업 안전 보건관리비</t>
  </si>
  <si>
    <t>공사 이행 보증수수료</t>
  </si>
  <si>
    <t xml:space="preserve">         계</t>
  </si>
  <si>
    <t>[일위  5호] - [블럭 철거  6"  M3]</t>
  </si>
  <si>
    <t>[일위 10호] - [도배 해체  천장  M2]</t>
  </si>
  <si>
    <t>[일위 21호] - [타일 철거  벽체  M2]</t>
  </si>
  <si>
    <t>[일위 22호] - [타일 철거  바닥  M2]</t>
  </si>
  <si>
    <t>[일위 20호] - [몰탈 철거  벽체  M2]</t>
  </si>
  <si>
    <t>[일위 17호] - [도배 해체  벽  M2]</t>
  </si>
  <si>
    <t>[일위 33호] - [시멘트기와 철거    M2]</t>
  </si>
  <si>
    <t>오수 2m3/일 , 5인용, 설치품의 10%</t>
  </si>
  <si>
    <t>(재+직.노+기.경)*0.0108%*(6/12)</t>
  </si>
  <si>
    <t>비계안정장치, 비계기본틀, 기둥, 1.2×1.7m</t>
  </si>
  <si>
    <t>하권32</t>
  </si>
  <si>
    <t>1451</t>
  </si>
  <si>
    <t>1190</t>
  </si>
  <si>
    <t>거래가격</t>
  </si>
  <si>
    <t>경유, 저유황</t>
  </si>
  <si>
    <t>1438</t>
  </si>
  <si>
    <t>아세틸렌가스</t>
  </si>
  <si>
    <t>물가자료</t>
  </si>
  <si>
    <t>엔진오일</t>
  </si>
  <si>
    <t>가솔린용</t>
  </si>
  <si>
    <t>계단식발판</t>
  </si>
  <si>
    <t>규     격</t>
  </si>
  <si>
    <t>물가정보</t>
  </si>
  <si>
    <t>Page</t>
  </si>
  <si>
    <t>36×600</t>
  </si>
  <si>
    <t>품     명</t>
  </si>
  <si>
    <t>조사단가</t>
  </si>
  <si>
    <t>적용단가</t>
  </si>
  <si>
    <t>1189</t>
  </si>
  <si>
    <t>가격정보</t>
  </si>
  <si>
    <t>공업용휘발유</t>
  </si>
  <si>
    <t>산소가스</t>
  </si>
  <si>
    <t>하권33</t>
  </si>
  <si>
    <t>유통물가</t>
  </si>
  <si>
    <t>비계안정장치</t>
  </si>
  <si>
    <t>1433</t>
  </si>
  <si>
    <t>부록84</t>
  </si>
  <si>
    <t>일반기계운전사</t>
  </si>
  <si>
    <t>1.0 ㎥용</t>
  </si>
  <si>
    <t>하권150</t>
  </si>
  <si>
    <t>15 ton</t>
  </si>
  <si>
    <t>0.7 톤</t>
  </si>
  <si>
    <t>운전사(기계)</t>
  </si>
  <si>
    <t>1.0 ㎥</t>
  </si>
  <si>
    <t>보통인부</t>
  </si>
  <si>
    <t>5500 L</t>
  </si>
  <si>
    <t>20 ton</t>
  </si>
  <si>
    <t>0.6 ㎥</t>
  </si>
  <si>
    <t>덤프트럭</t>
  </si>
  <si>
    <t>하권47</t>
  </si>
  <si>
    <t>0.2 ㎥</t>
  </si>
  <si>
    <t>0.7 ㎥</t>
  </si>
  <si>
    <t>잡석, 별도</t>
  </si>
  <si>
    <t>1453</t>
  </si>
  <si>
    <t>1472</t>
  </si>
  <si>
    <t>건축목공</t>
  </si>
  <si>
    <t>특별인부</t>
  </si>
  <si>
    <t>1198</t>
  </si>
  <si>
    <t>화물차운전사</t>
  </si>
  <si>
    <t>1.5KW</t>
  </si>
  <si>
    <t>하권37</t>
  </si>
  <si>
    <t>건설기계운전사</t>
  </si>
  <si>
    <t>일반공사 직종</t>
  </si>
  <si>
    <t>용접공(일반)</t>
  </si>
  <si>
    <t>창호목공</t>
  </si>
  <si>
    <t>지붕잇기공</t>
  </si>
  <si>
    <t>1586</t>
  </si>
  <si>
    <t>5500L</t>
  </si>
  <si>
    <t>중기  5호</t>
  </si>
  <si>
    <t>0.7ton</t>
  </si>
  <si>
    <t>1.5 ton</t>
  </si>
  <si>
    <t>노 무 비</t>
  </si>
  <si>
    <t>중기  6호</t>
  </si>
  <si>
    <t>비  고</t>
  </si>
  <si>
    <t>중기  3호</t>
  </si>
  <si>
    <t>합계구분</t>
  </si>
  <si>
    <t>수  량</t>
  </si>
  <si>
    <t>[재료비]</t>
  </si>
  <si>
    <t>소  계</t>
  </si>
  <si>
    <t>손료구분</t>
  </si>
  <si>
    <t>합    계</t>
  </si>
  <si>
    <t>단  가</t>
  </si>
  <si>
    <t>적용구분</t>
  </si>
  <si>
    <t>조달코드</t>
  </si>
  <si>
    <t>금   액</t>
  </si>
  <si>
    <t>중기  1호</t>
  </si>
  <si>
    <t>중기  2호</t>
  </si>
  <si>
    <t>기계경비</t>
  </si>
  <si>
    <t>합  계</t>
  </si>
  <si>
    <t>0.2㎥</t>
  </si>
  <si>
    <t>[노무비]</t>
  </si>
  <si>
    <t>경    비</t>
  </si>
  <si>
    <t>[경  비]</t>
  </si>
  <si>
    <t>1.5kw</t>
  </si>
  <si>
    <t>손료요율</t>
  </si>
  <si>
    <t>재 료 비</t>
  </si>
  <si>
    <t>품목구분</t>
  </si>
  <si>
    <t>20ton</t>
  </si>
  <si>
    <t>중기  4호</t>
  </si>
  <si>
    <t>단산  2호</t>
  </si>
  <si>
    <t>15ton</t>
  </si>
  <si>
    <t>굴착기+압쇄기</t>
  </si>
  <si>
    <t>중기 12호</t>
  </si>
  <si>
    <t>중기 13호</t>
  </si>
  <si>
    <t>비    고</t>
  </si>
  <si>
    <t>중기 11호</t>
  </si>
  <si>
    <t>1.적재</t>
  </si>
  <si>
    <t>터파기(기계)</t>
  </si>
  <si>
    <t>단산  3호</t>
  </si>
  <si>
    <t>0.7㎥</t>
  </si>
  <si>
    <t>0.6㎥</t>
  </si>
  <si>
    <t xml:space="preserve"> 소  계</t>
  </si>
  <si>
    <t>되메우고다지기</t>
  </si>
  <si>
    <t>중기 10호</t>
  </si>
  <si>
    <t>단산  1호</t>
  </si>
  <si>
    <t>1.5ton</t>
  </si>
  <si>
    <t>공통8-2-3</t>
  </si>
  <si>
    <t>단산  4호</t>
  </si>
  <si>
    <t>중기  7호</t>
  </si>
  <si>
    <t>노  무  비</t>
  </si>
  <si>
    <t>보통토사</t>
  </si>
  <si>
    <t>단산  5호</t>
  </si>
  <si>
    <t>중기  8호</t>
  </si>
  <si>
    <t>수목상하차</t>
  </si>
  <si>
    <t>규    격</t>
  </si>
  <si>
    <t>품    명</t>
  </si>
  <si>
    <t>재  료  비</t>
  </si>
  <si>
    <t>중기  9호</t>
  </si>
  <si>
    <t>1.0M3</t>
  </si>
  <si>
    <t>2.운반</t>
  </si>
  <si>
    <t>유지3-1-2</t>
  </si>
  <si>
    <t>공통3-4-6</t>
  </si>
  <si>
    <t>조정원 제외</t>
  </si>
  <si>
    <t>건축5-4-5</t>
  </si>
  <si>
    <t>벌근굴취</t>
  </si>
  <si>
    <t>일위  3호</t>
  </si>
  <si>
    <t>잡석포함</t>
  </si>
  <si>
    <t>일위  5호</t>
  </si>
  <si>
    <t>유지3-1-1</t>
  </si>
  <si>
    <t>잡재료비</t>
  </si>
  <si>
    <t>소형장비사용</t>
  </si>
  <si>
    <t>잡석지정</t>
  </si>
  <si>
    <t>기초 지정</t>
  </si>
  <si>
    <t>유지3-2-7</t>
  </si>
  <si>
    <t>1톤 기본</t>
  </si>
  <si>
    <t>벌목보조</t>
  </si>
  <si>
    <t>공통3-4-8</t>
  </si>
  <si>
    <t>금액제외</t>
  </si>
  <si>
    <t>PK적산</t>
  </si>
  <si>
    <t>일위  1호</t>
  </si>
  <si>
    <t>일위 34호</t>
  </si>
  <si>
    <t>유지3-2-8</t>
  </si>
  <si>
    <t>분뇨처리비</t>
  </si>
  <si>
    <t>일위  4호</t>
  </si>
  <si>
    <t>잡석깔기지정</t>
  </si>
  <si>
    <t>건축5-4-7</t>
  </si>
  <si>
    <t>의정부시</t>
  </si>
  <si>
    <t>공구손료</t>
  </si>
  <si>
    <t>일위  2호</t>
  </si>
  <si>
    <t>강재창호 철거</t>
  </si>
  <si>
    <t>금    액</t>
  </si>
  <si>
    <t>일위 35호</t>
  </si>
  <si>
    <t>합판 철거</t>
  </si>
  <si>
    <t>일위 17호</t>
  </si>
  <si>
    <t>일위 11호</t>
  </si>
  <si>
    <t>일위 23호</t>
  </si>
  <si>
    <t>일위  7호</t>
  </si>
  <si>
    <t>도배 해체</t>
  </si>
  <si>
    <t>목재창호 철거</t>
  </si>
  <si>
    <t>일위 19호</t>
  </si>
  <si>
    <t>일위  9호</t>
  </si>
  <si>
    <t>일위 14호</t>
  </si>
  <si>
    <t>일위  8호</t>
  </si>
  <si>
    <t>블럭 철거</t>
  </si>
  <si>
    <t>일위  6호</t>
  </si>
  <si>
    <t>일위 10호</t>
  </si>
  <si>
    <t>일위 21호</t>
  </si>
  <si>
    <t>반자틀철거</t>
  </si>
  <si>
    <t>일위 12호</t>
  </si>
  <si>
    <t>단열재 철거</t>
  </si>
  <si>
    <t>벽체합판 철거</t>
  </si>
  <si>
    <t>일위 20호</t>
  </si>
  <si>
    <t>일위 13호</t>
  </si>
  <si>
    <t>지붕강판 철거</t>
  </si>
  <si>
    <t>싱크대 철거</t>
  </si>
  <si>
    <t>몰탈 철거</t>
  </si>
  <si>
    <t>일위 15호</t>
  </si>
  <si>
    <t>타일 철거</t>
  </si>
  <si>
    <t>재사용 안함</t>
  </si>
  <si>
    <t>일위 16호</t>
  </si>
  <si>
    <t>대변기 철거</t>
  </si>
  <si>
    <t>실내건축</t>
  </si>
  <si>
    <t>일위 22호</t>
  </si>
  <si>
    <t>일위 18호</t>
  </si>
  <si>
    <t>사용자항목2</t>
  </si>
  <si>
    <t>일위 25호</t>
  </si>
  <si>
    <t>일위 28호</t>
  </si>
  <si>
    <t>폐기물처리비</t>
  </si>
  <si>
    <t>일위 29호</t>
  </si>
  <si>
    <t>관급자재대</t>
  </si>
  <si>
    <t>사용자항목7</t>
  </si>
  <si>
    <t>B8 이하</t>
  </si>
  <si>
    <t>조적벽 해체</t>
  </si>
  <si>
    <t>작업부산물</t>
  </si>
  <si>
    <t>잡비제외분</t>
  </si>
  <si>
    <t>일위 31호</t>
  </si>
  <si>
    <t>일위 24호</t>
  </si>
  <si>
    <t>몰탈철거</t>
  </si>
  <si>
    <t>일위 32호</t>
  </si>
  <si>
    <t>사급자재대</t>
  </si>
  <si>
    <t>석면분담금</t>
  </si>
  <si>
    <t>일위 26호</t>
  </si>
  <si>
    <t>장애물 제거</t>
  </si>
  <si>
    <t>인력,바닥</t>
  </si>
  <si>
    <t>안전관리비</t>
  </si>
  <si>
    <t>일위 30호</t>
  </si>
  <si>
    <t>품질관리비</t>
  </si>
  <si>
    <t>사용자항목1</t>
  </si>
  <si>
    <t>임금채권분담금</t>
  </si>
  <si>
    <t>사용자항목10</t>
  </si>
  <si>
    <t>사용자항목11</t>
  </si>
  <si>
    <t>장애물 미제거</t>
  </si>
  <si>
    <t>사용자항목12</t>
  </si>
  <si>
    <t>세면기 철거</t>
  </si>
  <si>
    <t>일위 33호</t>
  </si>
  <si>
    <t>일위 27호</t>
  </si>
  <si>
    <t>사용자항목17</t>
  </si>
  <si>
    <t>조성공사</t>
  </si>
  <si>
    <t>사용자항목18</t>
  </si>
  <si>
    <t>사용자항목19</t>
  </si>
  <si>
    <t>사용자항목14</t>
  </si>
  <si>
    <t>백단위 절사</t>
  </si>
  <si>
    <t>사용자항목16</t>
  </si>
  <si>
    <t>건축물해체공사</t>
  </si>
  <si>
    <t>사용자항목13</t>
  </si>
  <si>
    <t>사용자항목15</t>
  </si>
  <si>
    <t>경  비</t>
  </si>
  <si>
    <t>간접재료비</t>
  </si>
  <si>
    <t>합계제외</t>
  </si>
  <si>
    <t>3.0∼6.0㎡이하, 설치품의 20%</t>
  </si>
  <si>
    <t>계단식발판, 볼록철판, 0.4×1829mm</t>
  </si>
  <si>
    <t>6.0∼8.0㎡이하, 설치품의 20%</t>
  </si>
  <si>
    <t>양식 대변기(탱크형), 설치품의 20%</t>
  </si>
  <si>
    <t>비계안정장치, 수평띠장, 1829mm</t>
  </si>
  <si>
    <t>비계안정장치, 가새, L=1518-2개</t>
  </si>
  <si>
    <t>[중기  9호] - [기계톱    HR]</t>
  </si>
  <si>
    <t>1.0∼3.0㎡이하, 설치품의 20%</t>
  </si>
  <si>
    <t>(R8~9),B7~8,H2.6~3.0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</si>
</sst>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41" formatCode="_-* #,##0_-;\-* #,##0_-;_-* &quot;-&quot;_-;_-@_-"/>
  </numFmts>
  <fonts count="13" x14ac:knownFonts="1">
    <font>
      <sz val="11"/>
      <color rgb="FF000000"/>
      <name val="맑은 고딕"/>
    </font>
    <font>
      <sz val="7"/>
      <color rgb="FF000080"/>
      <name val="굴림체"/>
      <family val="3"/>
      <charset val="129"/>
    </font>
    <font>
      <sz val="7"/>
      <color rgb="FF000000"/>
      <name val="굴림체"/>
      <family val="3"/>
      <charset val="129"/>
    </font>
    <font>
      <sz val="8"/>
      <color rgb="FF000080"/>
      <name val="굴림체"/>
      <family val="3"/>
      <charset val="129"/>
    </font>
    <font>
      <b/>
      <sz val="8"/>
      <color rgb="FF0000FF"/>
      <name val="굴림체"/>
      <family val="3"/>
      <charset val="129"/>
    </font>
    <font>
      <sz val="8"/>
      <color rgb="FF000000"/>
      <name val="굴림체"/>
      <family val="3"/>
      <charset val="129"/>
    </font>
    <font>
      <b/>
      <u/>
      <sz val="9"/>
      <color rgb="FF0000FF"/>
      <name val="굴림체"/>
      <family val="3"/>
      <charset val="129"/>
    </font>
    <font>
      <b/>
      <u/>
      <sz val="9"/>
      <color rgb="FF0000FF"/>
      <name val="맑은 고딕"/>
      <family val="3"/>
      <charset val="129"/>
    </font>
    <font>
      <b/>
      <sz val="20"/>
      <color rgb="FF000000"/>
      <name val="굴림체"/>
      <family val="3"/>
      <charset val="129"/>
    </font>
    <font>
      <sz val="6"/>
      <color rgb="FF000000"/>
      <name val="굴림체"/>
      <family val="3"/>
      <charset val="129"/>
    </font>
    <font>
      <b/>
      <sz val="8"/>
      <color rgb="FF800000"/>
      <name val="굴림체"/>
      <family val="3"/>
      <charset val="129"/>
    </font>
    <font>
      <sz val="11"/>
      <color rgb="FF000000"/>
      <name val="맑은 고딕"/>
      <family val="3"/>
      <charset val="129"/>
    </font>
    <font>
      <sz val="8"/>
      <name val="돋움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rgb="FFFFFFE7"/>
        <bgColor indexed="64"/>
      </patternFill>
    </fill>
    <fill>
      <patternFill patternType="solid">
        <fgColor rgb="FFF0FFFF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rgb="FFE2F0D9"/>
        <bgColor indexed="64"/>
      </patternFill>
    </fill>
    <fill>
      <patternFill patternType="solid">
        <fgColor rgb="FFF4F4FD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 diagonalUp="1" diagonalDown="1">
      <left style="thin">
        <color auto="1"/>
      </left>
      <right/>
      <top style="thin">
        <color auto="1"/>
      </top>
      <bottom/>
      <diagonal style="thin">
        <color auto="1"/>
      </diagonal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41" fontId="11" fillId="0" borderId="0" applyFont="0" applyFill="0" applyBorder="0" applyAlignment="0" applyProtection="0">
      <alignment vertical="center"/>
    </xf>
  </cellStyleXfs>
  <cellXfs count="91">
    <xf numFmtId="0" fontId="0" fillId="0" borderId="0" xfId="0" applyNumberFormat="1">
      <alignment vertical="center"/>
    </xf>
    <xf numFmtId="0" fontId="0" fillId="0" borderId="0" xfId="0" applyNumberFormat="1">
      <alignment vertical="center"/>
    </xf>
    <xf numFmtId="0" fontId="0" fillId="0" borderId="0" xfId="0" quotePrefix="1" applyNumberFormat="1">
      <alignment vertical="center"/>
    </xf>
    <xf numFmtId="0" fontId="0" fillId="0" borderId="0" xfId="0" applyNumberFormat="1" applyAlignment="1">
      <alignment horizontal="left" vertical="center"/>
    </xf>
    <xf numFmtId="0" fontId="0" fillId="0" borderId="0" xfId="0" applyNumberFormat="1" applyAlignment="1">
      <alignment horizontal="center" vertical="center"/>
    </xf>
    <xf numFmtId="0" fontId="0" fillId="0" borderId="0" xfId="0" applyNumberFormat="1" applyAlignment="1">
      <alignment horizontal="right"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0" fontId="2" fillId="0" borderId="1" xfId="0" quotePrefix="1" applyNumberFormat="1" applyFont="1" applyBorder="1" applyAlignment="1">
      <alignment horizontal="left" vertical="center" shrinkToFit="1"/>
    </xf>
    <xf numFmtId="0" fontId="2" fillId="0" borderId="1" xfId="0" quotePrefix="1" applyNumberFormat="1" applyFont="1" applyBorder="1" applyAlignment="1">
      <alignment horizontal="center" vertical="center" shrinkToFit="1"/>
    </xf>
    <xf numFmtId="0" fontId="2" fillId="0" borderId="1" xfId="0" applyNumberFormat="1" applyFont="1" applyBorder="1" applyAlignment="1">
      <alignment horizontal="right" vertical="center" shrinkToFit="1"/>
    </xf>
    <xf numFmtId="0" fontId="2" fillId="0" borderId="1" xfId="0" quotePrefix="1" applyNumberFormat="1" applyFont="1" applyBorder="1" applyAlignment="1">
      <alignment horizontal="right" vertical="center" shrinkToFit="1"/>
    </xf>
    <xf numFmtId="0" fontId="2" fillId="0" borderId="1" xfId="0" applyNumberFormat="1" applyFont="1" applyBorder="1" applyAlignment="1">
      <alignment horizontal="left" vertical="center" shrinkToFit="1"/>
    </xf>
    <xf numFmtId="0" fontId="3" fillId="2" borderId="1" xfId="0" applyNumberFormat="1" applyFont="1" applyFill="1" applyBorder="1" applyAlignment="1">
      <alignment horizontal="center" vertical="center" wrapText="1"/>
    </xf>
    <xf numFmtId="0" fontId="4" fillId="3" borderId="1" xfId="0" quotePrefix="1" applyNumberFormat="1" applyFont="1" applyFill="1" applyBorder="1" applyAlignment="1">
      <alignment horizontal="left" vertical="center" shrinkToFit="1"/>
    </xf>
    <xf numFmtId="0" fontId="5" fillId="0" borderId="1" xfId="0" quotePrefix="1" applyNumberFormat="1" applyFont="1" applyBorder="1" applyAlignment="1">
      <alignment horizontal="left" vertical="center" shrinkToFit="1"/>
    </xf>
    <xf numFmtId="0" fontId="5" fillId="0" borderId="1" xfId="0" applyNumberFormat="1" applyFont="1" applyBorder="1" applyAlignment="1">
      <alignment horizontal="left" vertical="center" shrinkToFit="1"/>
    </xf>
    <xf numFmtId="0" fontId="5" fillId="0" borderId="1" xfId="0" quotePrefix="1" applyNumberFormat="1" applyFont="1" applyBorder="1" applyAlignment="1">
      <alignment horizontal="center" vertical="center" shrinkToFit="1"/>
    </xf>
    <xf numFmtId="0" fontId="5" fillId="0" borderId="1" xfId="0" applyNumberFormat="1" applyFont="1" applyBorder="1" applyAlignment="1">
      <alignment horizontal="right" vertical="center" shrinkToFit="1"/>
    </xf>
    <xf numFmtId="0" fontId="5" fillId="4" borderId="1" xfId="0" quotePrefix="1" applyNumberFormat="1" applyFont="1" applyFill="1" applyBorder="1" applyAlignment="1">
      <alignment horizontal="center" vertical="center" shrinkToFit="1"/>
    </xf>
    <xf numFmtId="0" fontId="5" fillId="4" borderId="1" xfId="0" applyNumberFormat="1" applyFont="1" applyFill="1" applyBorder="1" applyAlignment="1">
      <alignment horizontal="left" vertical="center" shrinkToFit="1"/>
    </xf>
    <xf numFmtId="0" fontId="5" fillId="4" borderId="1" xfId="0" applyNumberFormat="1" applyFont="1" applyFill="1" applyBorder="1" applyAlignment="1">
      <alignment horizontal="center" vertical="center" shrinkToFit="1"/>
    </xf>
    <xf numFmtId="0" fontId="5" fillId="4" borderId="1" xfId="0" applyNumberFormat="1" applyFont="1" applyFill="1" applyBorder="1" applyAlignment="1">
      <alignment horizontal="right" vertical="center" shrinkToFit="1"/>
    </xf>
    <xf numFmtId="0" fontId="5" fillId="0" borderId="1" xfId="0" applyNumberFormat="1" applyFont="1" applyBorder="1" applyAlignment="1">
      <alignment horizontal="center" vertical="center" shrinkToFit="1"/>
    </xf>
    <xf numFmtId="0" fontId="4" fillId="3" borderId="1" xfId="0" applyNumberFormat="1" applyFont="1" applyFill="1" applyBorder="1" applyAlignment="1">
      <alignment horizontal="left" vertical="center" shrinkToFit="1"/>
    </xf>
    <xf numFmtId="0" fontId="4" fillId="3" borderId="1" xfId="0" quotePrefix="1" applyNumberFormat="1" applyFont="1" applyFill="1" applyBorder="1" applyAlignment="1">
      <alignment horizontal="right" vertical="center" shrinkToFit="1"/>
    </xf>
    <xf numFmtId="0" fontId="5" fillId="0" borderId="1" xfId="0" quotePrefix="1" applyNumberFormat="1" applyFont="1" applyBorder="1" applyAlignment="1">
      <alignment horizontal="right" vertical="center" shrinkToFit="1"/>
    </xf>
    <xf numFmtId="0" fontId="4" fillId="3" borderId="1" xfId="0" applyNumberFormat="1" applyFont="1" applyFill="1" applyBorder="1" applyAlignment="1">
      <alignment horizontal="right" vertical="center" shrinkToFit="1"/>
    </xf>
    <xf numFmtId="0" fontId="5" fillId="0" borderId="2" xfId="0" quotePrefix="1" applyNumberFormat="1" applyFont="1" applyBorder="1" applyAlignment="1">
      <alignment horizontal="left" vertical="center" shrinkToFit="1"/>
    </xf>
    <xf numFmtId="0" fontId="5" fillId="0" borderId="3" xfId="0" quotePrefix="1" applyNumberFormat="1" applyFont="1" applyBorder="1" applyAlignment="1">
      <alignment horizontal="left" vertical="center" shrinkToFit="1"/>
    </xf>
    <xf numFmtId="0" fontId="5" fillId="0" borderId="4" xfId="0" quotePrefix="1" applyNumberFormat="1" applyFont="1" applyBorder="1" applyAlignment="1">
      <alignment horizontal="left" vertical="center" shrinkToFit="1"/>
    </xf>
    <xf numFmtId="0" fontId="5" fillId="4" borderId="1" xfId="0" quotePrefix="1" applyNumberFormat="1" applyFont="1" applyFill="1" applyBorder="1" applyAlignment="1">
      <alignment horizontal="left" vertical="center" shrinkToFit="1"/>
    </xf>
    <xf numFmtId="0" fontId="5" fillId="0" borderId="4" xfId="0" applyNumberFormat="1" applyFont="1" applyBorder="1" applyAlignment="1">
      <alignment horizontal="left" vertical="center" shrinkToFit="1"/>
    </xf>
    <xf numFmtId="0" fontId="5" fillId="0" borderId="3" xfId="0" applyNumberFormat="1" applyFont="1" applyBorder="1" applyAlignment="1">
      <alignment horizontal="left" vertical="center" shrinkToFit="1"/>
    </xf>
    <xf numFmtId="0" fontId="5" fillId="0" borderId="1" xfId="0" applyNumberFormat="1" applyFont="1" applyBorder="1" applyAlignment="1">
      <alignment horizontal="left" vertical="center" shrinkToFit="1"/>
    </xf>
    <xf numFmtId="0" fontId="5" fillId="0" borderId="1" xfId="0" quotePrefix="1" applyNumberFormat="1" applyFont="1" applyBorder="1" applyAlignment="1">
      <alignment horizontal="left" vertical="center" shrinkToFit="1"/>
    </xf>
    <xf numFmtId="0" fontId="6" fillId="0" borderId="0" xfId="0" quotePrefix="1" applyNumberFormat="1" applyFont="1">
      <alignment vertical="center"/>
    </xf>
    <xf numFmtId="0" fontId="7" fillId="0" borderId="0" xfId="0" applyNumberFormat="1" applyFont="1">
      <alignment vertical="center"/>
    </xf>
    <xf numFmtId="0" fontId="8" fillId="0" borderId="0" xfId="0" applyNumberFormat="1" applyFont="1">
      <alignment vertical="center"/>
    </xf>
    <xf numFmtId="0" fontId="9" fillId="4" borderId="1" xfId="0" quotePrefix="1" applyNumberFormat="1" applyFont="1" applyFill="1" applyBorder="1" applyAlignment="1">
      <alignment horizontal="left" vertical="center" shrinkToFit="1"/>
    </xf>
    <xf numFmtId="0" fontId="9" fillId="0" borderId="1" xfId="0" quotePrefix="1" applyNumberFormat="1" applyFont="1" applyBorder="1" applyAlignment="1">
      <alignment horizontal="left" vertical="center" shrinkToFit="1"/>
    </xf>
    <xf numFmtId="0" fontId="5" fillId="5" borderId="3" xfId="0" quotePrefix="1" applyNumberFormat="1" applyFont="1" applyFill="1" applyBorder="1" applyAlignment="1">
      <alignment horizontal="left" vertical="center" shrinkToFit="1"/>
    </xf>
    <xf numFmtId="0" fontId="5" fillId="5" borderId="3" xfId="0" applyNumberFormat="1" applyFont="1" applyFill="1" applyBorder="1" applyAlignment="1">
      <alignment horizontal="left" vertical="center" shrinkToFit="1"/>
    </xf>
    <xf numFmtId="0" fontId="0" fillId="5" borderId="0" xfId="0" quotePrefix="1" applyNumberFormat="1" applyFill="1">
      <alignment vertical="center"/>
    </xf>
    <xf numFmtId="0" fontId="0" fillId="5" borderId="0" xfId="0" applyNumberFormat="1" applyFill="1">
      <alignment vertical="center"/>
    </xf>
    <xf numFmtId="0" fontId="5" fillId="0" borderId="3" xfId="0" quotePrefix="1" applyNumberFormat="1" applyFont="1" applyFill="1" applyBorder="1" applyAlignment="1">
      <alignment horizontal="left" vertical="center" shrinkToFit="1"/>
    </xf>
    <xf numFmtId="0" fontId="5" fillId="0" borderId="3" xfId="0" applyNumberFormat="1" applyFont="1" applyFill="1" applyBorder="1" applyAlignment="1">
      <alignment horizontal="left" vertical="center" shrinkToFit="1"/>
    </xf>
    <xf numFmtId="0" fontId="0" fillId="0" borderId="0" xfId="0" quotePrefix="1" applyNumberFormat="1" applyFill="1">
      <alignment vertical="center"/>
    </xf>
    <xf numFmtId="0" fontId="0" fillId="0" borderId="0" xfId="0" applyNumberFormat="1" applyFill="1">
      <alignment vertical="center"/>
    </xf>
    <xf numFmtId="0" fontId="5" fillId="5" borderId="1" xfId="0" applyNumberFormat="1" applyFont="1" applyFill="1" applyBorder="1" applyAlignment="1">
      <alignment horizontal="left" vertical="center" shrinkToFit="1"/>
    </xf>
    <xf numFmtId="0" fontId="5" fillId="5" borderId="1" xfId="0" quotePrefix="1" applyNumberFormat="1" applyFont="1" applyFill="1" applyBorder="1" applyAlignment="1">
      <alignment horizontal="left" vertical="center" shrinkToFit="1"/>
    </xf>
    <xf numFmtId="0" fontId="5" fillId="4" borderId="1" xfId="0" quotePrefix="1" applyNumberFormat="1" applyFont="1" applyFill="1" applyBorder="1" applyAlignment="1">
      <alignment horizontal="center" vertical="center" shrinkToFit="1"/>
    </xf>
    <xf numFmtId="0" fontId="5" fillId="4" borderId="1" xfId="0" applyNumberFormat="1" applyFont="1" applyFill="1" applyBorder="1" applyAlignment="1">
      <alignment horizontal="center" vertical="center" shrinkToFit="1"/>
    </xf>
    <xf numFmtId="0" fontId="5" fillId="0" borderId="1" xfId="0" quotePrefix="1" applyNumberFormat="1" applyFont="1" applyBorder="1" applyAlignment="1">
      <alignment horizontal="center" vertical="center" shrinkToFit="1"/>
    </xf>
    <xf numFmtId="0" fontId="5" fillId="0" borderId="1" xfId="0" applyNumberFormat="1" applyFont="1" applyBorder="1" applyAlignment="1">
      <alignment horizontal="center" vertical="center" shrinkToFit="1"/>
    </xf>
    <xf numFmtId="0" fontId="5" fillId="5" borderId="1" xfId="0" quotePrefix="1" applyNumberFormat="1" applyFont="1" applyFill="1" applyBorder="1" applyAlignment="1">
      <alignment horizontal="center" vertical="center" shrinkToFit="1"/>
    </xf>
    <xf numFmtId="0" fontId="5" fillId="5" borderId="1" xfId="0" applyNumberFormat="1" applyFont="1" applyFill="1" applyBorder="1" applyAlignment="1">
      <alignment horizontal="center" vertical="center" shrinkToFit="1"/>
    </xf>
    <xf numFmtId="0" fontId="3" fillId="2" borderId="1" xfId="0" applyNumberFormat="1" applyFont="1" applyFill="1" applyBorder="1" applyAlignment="1">
      <alignment horizontal="center" vertical="center" wrapText="1"/>
    </xf>
    <xf numFmtId="0" fontId="5" fillId="0" borderId="2" xfId="0" quotePrefix="1" applyNumberFormat="1" applyFont="1" applyBorder="1" applyAlignment="1">
      <alignment horizontal="center" vertical="center" textRotation="255" shrinkToFit="1"/>
    </xf>
    <xf numFmtId="0" fontId="5" fillId="0" borderId="3" xfId="0" applyNumberFormat="1" applyFont="1" applyBorder="1" applyAlignment="1">
      <alignment horizontal="center" vertical="center" textRotation="255" shrinkToFit="1"/>
    </xf>
    <xf numFmtId="0" fontId="5" fillId="0" borderId="4" xfId="0" applyNumberFormat="1" applyFont="1" applyBorder="1" applyAlignment="1">
      <alignment horizontal="center" vertical="center" textRotation="255" shrinkToFit="1"/>
    </xf>
    <xf numFmtId="0" fontId="5" fillId="0" borderId="1" xfId="0" applyNumberFormat="1" applyFont="1" applyBorder="1" applyAlignment="1">
      <alignment horizontal="center" vertical="center" textRotation="255" shrinkToFit="1"/>
    </xf>
    <xf numFmtId="0" fontId="5" fillId="0" borderId="2" xfId="0" applyNumberFormat="1" applyFont="1" applyBorder="1" applyAlignment="1">
      <alignment horizontal="center" vertical="center" textRotation="255" shrinkToFit="1"/>
    </xf>
    <xf numFmtId="0" fontId="3" fillId="2" borderId="10" xfId="0" applyNumberFormat="1" applyFont="1" applyFill="1" applyBorder="1" applyAlignment="1">
      <alignment horizontal="left" vertical="center" wrapText="1"/>
    </xf>
    <xf numFmtId="0" fontId="3" fillId="2" borderId="5" xfId="0" applyNumberFormat="1" applyFont="1" applyFill="1" applyBorder="1" applyAlignment="1">
      <alignment horizontal="left" vertical="center" wrapText="1"/>
    </xf>
    <xf numFmtId="0" fontId="3" fillId="2" borderId="6" xfId="0" applyNumberFormat="1" applyFont="1" applyFill="1" applyBorder="1" applyAlignment="1">
      <alignment horizontal="left" vertical="center" wrapText="1"/>
    </xf>
    <xf numFmtId="0" fontId="3" fillId="2" borderId="7" xfId="0" applyNumberFormat="1" applyFont="1" applyFill="1" applyBorder="1" applyAlignment="1">
      <alignment horizontal="left" vertical="center" wrapText="1"/>
    </xf>
    <xf numFmtId="0" fontId="3" fillId="2" borderId="8" xfId="0" applyNumberFormat="1" applyFont="1" applyFill="1" applyBorder="1" applyAlignment="1">
      <alignment horizontal="left" vertical="center" wrapText="1"/>
    </xf>
    <xf numFmtId="0" fontId="3" fillId="2" borderId="9" xfId="0" applyNumberFormat="1" applyFont="1" applyFill="1" applyBorder="1" applyAlignment="1">
      <alignment horizontal="left" vertical="center" wrapText="1"/>
    </xf>
    <xf numFmtId="0" fontId="8" fillId="0" borderId="0" xfId="0" applyNumberFormat="1" applyFont="1" applyAlignment="1">
      <alignment horizontal="center" vertical="center"/>
    </xf>
    <xf numFmtId="0" fontId="6" fillId="0" borderId="0" xfId="0" quotePrefix="1" applyNumberFormat="1" applyFont="1" applyAlignment="1">
      <alignment vertical="center"/>
    </xf>
    <xf numFmtId="0" fontId="7" fillId="0" borderId="0" xfId="0" applyNumberFormat="1" applyFont="1" applyAlignment="1">
      <alignment vertical="center"/>
    </xf>
    <xf numFmtId="0" fontId="10" fillId="6" borderId="1" xfId="0" quotePrefix="1" applyNumberFormat="1" applyFont="1" applyFill="1" applyBorder="1" applyAlignment="1">
      <alignment horizontal="left" vertical="center" shrinkToFit="1"/>
    </xf>
    <xf numFmtId="0" fontId="10" fillId="6" borderId="1" xfId="0" applyNumberFormat="1" applyFont="1" applyFill="1" applyBorder="1" applyAlignment="1">
      <alignment horizontal="left" vertical="center" shrinkToFit="1"/>
    </xf>
    <xf numFmtId="0" fontId="10" fillId="6" borderId="11" xfId="0" quotePrefix="1" applyNumberFormat="1" applyFont="1" applyFill="1" applyBorder="1" applyAlignment="1">
      <alignment horizontal="left" vertical="center" shrinkToFit="1"/>
    </xf>
    <xf numFmtId="0" fontId="10" fillId="6" borderId="13" xfId="0" quotePrefix="1" applyNumberFormat="1" applyFont="1" applyFill="1" applyBorder="1" applyAlignment="1">
      <alignment horizontal="left" vertical="center" shrinkToFit="1"/>
    </xf>
    <xf numFmtId="0" fontId="10" fillId="6" borderId="12" xfId="0" quotePrefix="1" applyNumberFormat="1" applyFont="1" applyFill="1" applyBorder="1" applyAlignment="1">
      <alignment horizontal="left" vertical="center" shrinkToFit="1"/>
    </xf>
    <xf numFmtId="0" fontId="4" fillId="3" borderId="1" xfId="0" quotePrefix="1" applyNumberFormat="1" applyFont="1" applyFill="1" applyBorder="1" applyAlignment="1">
      <alignment horizontal="left" vertical="center" shrinkToFit="1"/>
    </xf>
    <xf numFmtId="0" fontId="4" fillId="3" borderId="1" xfId="0" applyNumberFormat="1" applyFont="1" applyFill="1" applyBorder="1" applyAlignment="1">
      <alignment horizontal="left" vertical="center" shrinkToFit="1"/>
    </xf>
    <xf numFmtId="0" fontId="4" fillId="3" borderId="11" xfId="0" quotePrefix="1" applyNumberFormat="1" applyFont="1" applyFill="1" applyBorder="1" applyAlignment="1">
      <alignment horizontal="left" vertical="center" shrinkToFit="1"/>
    </xf>
    <xf numFmtId="0" fontId="4" fillId="3" borderId="13" xfId="0" quotePrefix="1" applyNumberFormat="1" applyFont="1" applyFill="1" applyBorder="1" applyAlignment="1">
      <alignment horizontal="left" vertical="center" shrinkToFit="1"/>
    </xf>
    <xf numFmtId="0" fontId="4" fillId="3" borderId="12" xfId="0" quotePrefix="1" applyNumberFormat="1" applyFont="1" applyFill="1" applyBorder="1" applyAlignment="1">
      <alignment horizontal="left" vertical="center" shrinkToFit="1"/>
    </xf>
    <xf numFmtId="0" fontId="1" fillId="2" borderId="1" xfId="0" applyNumberFormat="1" applyFont="1" applyFill="1" applyBorder="1" applyAlignment="1">
      <alignment horizontal="center" vertical="center" wrapText="1"/>
    </xf>
    <xf numFmtId="41" fontId="5" fillId="0" borderId="2" xfId="1" applyFont="1" applyBorder="1" applyAlignment="1">
      <alignment horizontal="right" vertical="center" shrinkToFit="1"/>
    </xf>
    <xf numFmtId="41" fontId="5" fillId="0" borderId="3" xfId="1" applyFont="1" applyBorder="1" applyAlignment="1">
      <alignment horizontal="right" vertical="center" shrinkToFit="1"/>
    </xf>
    <xf numFmtId="41" fontId="5" fillId="0" borderId="4" xfId="1" applyFont="1" applyBorder="1" applyAlignment="1">
      <alignment horizontal="right" vertical="center" shrinkToFit="1"/>
    </xf>
    <xf numFmtId="41" fontId="5" fillId="4" borderId="1" xfId="1" applyFont="1" applyFill="1" applyBorder="1" applyAlignment="1">
      <alignment horizontal="right" vertical="center" shrinkToFit="1"/>
    </xf>
    <xf numFmtId="41" fontId="5" fillId="0" borderId="3" xfId="1" applyFont="1" applyFill="1" applyBorder="1" applyAlignment="1">
      <alignment horizontal="right" vertical="center" shrinkToFit="1"/>
    </xf>
    <xf numFmtId="41" fontId="5" fillId="5" borderId="3" xfId="1" applyFont="1" applyFill="1" applyBorder="1" applyAlignment="1">
      <alignment horizontal="right" vertical="center" shrinkToFit="1"/>
    </xf>
    <xf numFmtId="41" fontId="5" fillId="0" borderId="1" xfId="1" applyFont="1" applyBorder="1" applyAlignment="1">
      <alignment horizontal="right" vertical="center" shrinkToFit="1"/>
    </xf>
    <xf numFmtId="41" fontId="5" fillId="5" borderId="1" xfId="1" applyFont="1" applyFill="1" applyBorder="1" applyAlignment="1">
      <alignment horizontal="right" vertical="center" shrinkToFit="1"/>
    </xf>
    <xf numFmtId="0" fontId="5" fillId="0" borderId="3" xfId="0" applyFont="1" applyBorder="1" applyAlignment="1">
      <alignment horizontal="left" vertical="center" shrinkToFit="1"/>
    </xf>
  </cellXfs>
  <cellStyles count="2">
    <cellStyle name="쉼표 [0]" xfId="1" builtinId="6"/>
    <cellStyle name="표준" xfId="0" builtinId="0"/>
  </cellStyles>
  <dxfs count="38">
    <dxf>
      <numFmt numFmtId="177" formatCode="#,###"/>
    </dxf>
    <dxf>
      <numFmt numFmtId="178" formatCode="#,##0.0#####"/>
    </dxf>
    <dxf>
      <numFmt numFmtId="177" formatCode="#,###"/>
    </dxf>
    <dxf>
      <numFmt numFmtId="178" formatCode="#,##0.0#####"/>
    </dxf>
    <dxf>
      <numFmt numFmtId="177" formatCode="#,###"/>
    </dxf>
    <dxf>
      <numFmt numFmtId="178" formatCode="#,##0.0#####"/>
    </dxf>
    <dxf>
      <numFmt numFmtId="177" formatCode="#,###"/>
    </dxf>
    <dxf>
      <numFmt numFmtId="178" formatCode="#,##0.0#####"/>
    </dxf>
    <dxf>
      <numFmt numFmtId="177" formatCode="#,###"/>
    </dxf>
    <dxf>
      <numFmt numFmtId="178" formatCode="#,##0.0#####"/>
    </dxf>
    <dxf>
      <numFmt numFmtId="177" formatCode="#,###"/>
    </dxf>
    <dxf>
      <numFmt numFmtId="178" formatCode="#,##0.0#####"/>
    </dxf>
    <dxf>
      <numFmt numFmtId="177" formatCode="#,###"/>
    </dxf>
    <dxf>
      <numFmt numFmtId="178" formatCode="#,##0.0#####"/>
    </dxf>
    <dxf>
      <numFmt numFmtId="177" formatCode="#,###"/>
    </dxf>
    <dxf>
      <numFmt numFmtId="178" formatCode="#,##0.0#####"/>
    </dxf>
    <dxf>
      <numFmt numFmtId="177" formatCode="#,###"/>
    </dxf>
    <dxf>
      <numFmt numFmtId="178" formatCode="#,##0.0#####"/>
    </dxf>
    <dxf>
      <numFmt numFmtId="177" formatCode="#,###"/>
    </dxf>
    <dxf>
      <numFmt numFmtId="178" formatCode="#,##0.0#####"/>
    </dxf>
    <dxf>
      <numFmt numFmtId="177" formatCode="#,###"/>
    </dxf>
    <dxf>
      <numFmt numFmtId="178" formatCode="#,##0.0#####"/>
    </dxf>
    <dxf>
      <numFmt numFmtId="177" formatCode="#,###"/>
    </dxf>
    <dxf>
      <numFmt numFmtId="178" formatCode="#,##0.0#####"/>
    </dxf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9" xr9:uid="{00000000-0011-0000-FFFF-FFFF00000000}">
      <tableStyleElement type="wholeTable" dxfId="37"/>
      <tableStyleElement type="headerRow" dxfId="36"/>
      <tableStyleElement type="totalRow" dxfId="35"/>
      <tableStyleElement type="firstColumn" dxfId="34"/>
      <tableStyleElement type="lastColumn" dxfId="33"/>
      <tableStyleElement type="firstRowStripe" dxfId="32"/>
      <tableStyleElement type="firstColumnStripe" dxfId="31"/>
    </tableStyle>
    <tableStyle name="Light Style 1 - Accent 1" table="0" count="8" xr9:uid="{00000000-0011-0000-FFFF-FFFF01000000}">
      <tableStyleElement type="wholeTable" dxfId="30"/>
      <tableStyleElement type="headerRow" dxfId="29"/>
      <tableStyleElement type="totalRow" dxfId="28"/>
      <tableStyleElement type="firstColumn" dxfId="27"/>
      <tableStyleElement type="lastColumn" dxfId="26"/>
      <tableStyleElement type="firstRowStripe" dxfId="25"/>
      <tableStyleElement type="firstColumnStripe" dxfId="24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9.%20&#51201;&#49328;\3-2.%20&#51201;&#49328;&#50857;&#50669;%20&#51032;&#47280;&#44148;(2026&#45380;%20&#49345;&#48152;&#44592;)\26.04.28%20&#51032;&#51221;&#48512;-&#51452;&#49457;&#44148;&#52629;%202026&#45380;%20&#48712;&#51665;&#52384;&#44144;%20&#54980;%20&#44277;&#44277;&#54876;&#50857;%20&#44148;&#52629;&#51201;&#49328;&#50857;&#50669;\26.05.09%20&#49444;&#44228;&#45236;&#50669;&#49436;%20&#50808;%20&#49569;&#48512;\1.%2026.05.09%202026%20&#48712;&#51665;%20&#52384;&#44144;%20&#54980;%20&#44277;&#44277;&#54876;&#50857;&#49324;&#50629;&#65339;&#44148;&#52629;&#47932;%20&#54644;&#52404;&#44277;&#49324;&#65341;%20&#49444;&#44228;&#45236;&#50669;&#49436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갑지"/>
      <sheetName val="원가계산서"/>
      <sheetName val="집계표"/>
      <sheetName val="내역서"/>
      <sheetName val="일위대가목록"/>
      <sheetName val="일위대가표"/>
      <sheetName val="단가산출서목록"/>
      <sheetName val="단가산출서"/>
      <sheetName val="중기경비목록"/>
      <sheetName val="중기경비"/>
      <sheetName val="단가대비표"/>
      <sheetName val="Sheet1"/>
    </sheetNames>
    <sheetDataSet>
      <sheetData sheetId="0"/>
      <sheetData sheetId="1"/>
      <sheetData sheetId="2">
        <row r="20">
          <cell r="S20">
            <v>0</v>
          </cell>
          <cell r="X20">
            <v>0</v>
          </cell>
          <cell r="AD20">
            <v>0</v>
          </cell>
          <cell r="AF20">
            <v>-1658028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20000000000000000000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20000000000000000000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rgb="FFF19D86"/>
  </sheetPr>
  <dimension ref="A1:M43"/>
  <sheetViews>
    <sheetView tabSelected="1" view="pageBreakPreview" zoomScale="120" zoomScaleNormal="100" zoomScaleSheetLayoutView="120" workbookViewId="0">
      <pane xSplit="3" ySplit="4" topLeftCell="D5" activePane="bottomRight" state="frozen"/>
      <selection pane="topRight"/>
      <selection pane="bottomLeft"/>
      <selection pane="bottomRight" activeCell="D7" sqref="D7"/>
    </sheetView>
  </sheetViews>
  <sheetFormatPr defaultColWidth="9" defaultRowHeight="16.5" x14ac:dyDescent="0.3"/>
  <cols>
    <col min="1" max="2" width="3.75" style="1" customWidth="1"/>
    <col min="3" max="3" width="15.75" style="3" customWidth="1"/>
    <col min="4" max="4" width="36.5" style="3" customWidth="1"/>
    <col min="5" max="7" width="16.125" style="5" customWidth="1"/>
    <col min="8" max="8" width="8.75" style="3" customWidth="1"/>
    <col min="9" max="13" width="8.75" style="1" hidden="1" customWidth="1"/>
    <col min="14" max="14" width="0" hidden="1" customWidth="1"/>
  </cols>
  <sheetData>
    <row r="1" spans="1:11" ht="30" customHeight="1" x14ac:dyDescent="0.3">
      <c r="A1" s="37" t="s">
        <v>247</v>
      </c>
      <c r="B1" s="37"/>
      <c r="C1" s="37"/>
      <c r="D1" s="37"/>
      <c r="E1" s="37"/>
      <c r="F1" s="37"/>
      <c r="G1" s="37"/>
      <c r="H1" s="37"/>
    </row>
    <row r="2" spans="1:11" ht="16.149999999999999" customHeight="1" x14ac:dyDescent="0.3">
      <c r="A2" s="35" t="s">
        <v>308</v>
      </c>
      <c r="B2" s="36"/>
      <c r="C2" s="36"/>
      <c r="D2" s="36"/>
      <c r="E2" s="36"/>
      <c r="F2" s="36"/>
      <c r="G2" s="36"/>
      <c r="H2" s="36"/>
    </row>
    <row r="3" spans="1:11" ht="12" customHeight="1" x14ac:dyDescent="0.3">
      <c r="A3" s="62" t="s">
        <v>312</v>
      </c>
      <c r="B3" s="63"/>
      <c r="C3" s="64"/>
      <c r="D3" s="56" t="s">
        <v>340</v>
      </c>
      <c r="E3" s="56" t="s">
        <v>584</v>
      </c>
      <c r="F3" s="56" t="s">
        <v>578</v>
      </c>
      <c r="G3" s="56" t="s">
        <v>439</v>
      </c>
      <c r="H3" s="56" t="s">
        <v>455</v>
      </c>
    </row>
    <row r="4" spans="1:11" ht="12" customHeight="1" x14ac:dyDescent="0.3">
      <c r="A4" s="65"/>
      <c r="B4" s="66"/>
      <c r="C4" s="67"/>
      <c r="D4" s="56"/>
      <c r="E4" s="56"/>
      <c r="F4" s="56"/>
      <c r="G4" s="56"/>
      <c r="H4" s="56"/>
    </row>
    <row r="5" spans="1:11" ht="12.4" customHeight="1" x14ac:dyDescent="0.3">
      <c r="A5" s="57" t="s">
        <v>257</v>
      </c>
      <c r="B5" s="57" t="s">
        <v>33</v>
      </c>
      <c r="C5" s="27" t="s">
        <v>250</v>
      </c>
      <c r="D5" s="27" t="s">
        <v>30</v>
      </c>
      <c r="E5" s="82">
        <f>집계표!E20</f>
        <v>2834894</v>
      </c>
      <c r="F5" s="82">
        <v>1137024</v>
      </c>
      <c r="G5" s="82">
        <f>SUM(E5:F5)</f>
        <v>3971918</v>
      </c>
      <c r="H5" s="27" t="s">
        <v>30</v>
      </c>
      <c r="I5" s="2" t="s">
        <v>107</v>
      </c>
      <c r="J5" s="1">
        <v>0</v>
      </c>
      <c r="K5" s="1">
        <f>E5</f>
        <v>2834894</v>
      </c>
    </row>
    <row r="6" spans="1:11" ht="12.4" customHeight="1" x14ac:dyDescent="0.3">
      <c r="A6" s="58"/>
      <c r="B6" s="58"/>
      <c r="C6" s="28" t="s">
        <v>258</v>
      </c>
      <c r="D6" s="28" t="s">
        <v>30</v>
      </c>
      <c r="E6" s="83">
        <f>ROUNDDOWN(E5*J6,0)</f>
        <v>0</v>
      </c>
      <c r="F6" s="83">
        <f t="shared" ref="F6" si="0">ROUNDDOWN(F5*O6,0)</f>
        <v>0</v>
      </c>
      <c r="G6" s="83">
        <f>ROUNDDOWN(G5*U6,0)</f>
        <v>0</v>
      </c>
      <c r="H6" s="28" t="s">
        <v>30</v>
      </c>
      <c r="I6" s="2" t="s">
        <v>102</v>
      </c>
      <c r="J6" s="1">
        <v>0</v>
      </c>
      <c r="K6" s="1">
        <f>E6</f>
        <v>0</v>
      </c>
    </row>
    <row r="7" spans="1:11" ht="12.4" customHeight="1" x14ac:dyDescent="0.3">
      <c r="A7" s="59"/>
      <c r="B7" s="59"/>
      <c r="C7" s="29" t="s">
        <v>248</v>
      </c>
      <c r="D7" s="29" t="s">
        <v>30</v>
      </c>
      <c r="E7" s="84">
        <f>[1]집계표!S20</f>
        <v>0</v>
      </c>
      <c r="F7" s="84">
        <f>[1]집계표!X20</f>
        <v>0</v>
      </c>
      <c r="G7" s="84">
        <f>[1]집계표!AD20</f>
        <v>0</v>
      </c>
      <c r="H7" s="29" t="s">
        <v>30</v>
      </c>
      <c r="I7" s="2" t="s">
        <v>94</v>
      </c>
      <c r="J7" s="1">
        <v>0</v>
      </c>
      <c r="K7" s="1">
        <f>E7</f>
        <v>0</v>
      </c>
    </row>
    <row r="8" spans="1:11" ht="12.4" customHeight="1" x14ac:dyDescent="0.3">
      <c r="A8" s="60"/>
      <c r="B8" s="60"/>
      <c r="C8" s="30" t="s">
        <v>169</v>
      </c>
      <c r="D8" s="30" t="s">
        <v>30</v>
      </c>
      <c r="E8" s="85">
        <f>SUM(E5:E6)</f>
        <v>2834894</v>
      </c>
      <c r="F8" s="85">
        <f t="shared" ref="F8:G8" si="1">SUM(F5:F6)</f>
        <v>1137024</v>
      </c>
      <c r="G8" s="85">
        <f t="shared" si="1"/>
        <v>3971918</v>
      </c>
      <c r="H8" s="30" t="s">
        <v>30</v>
      </c>
      <c r="I8" s="2" t="s">
        <v>57</v>
      </c>
      <c r="J8" s="1">
        <v>0</v>
      </c>
      <c r="K8" s="1">
        <f>E8</f>
        <v>2834894</v>
      </c>
    </row>
    <row r="9" spans="1:11" ht="12.4" customHeight="1" x14ac:dyDescent="0.3">
      <c r="A9" s="61"/>
      <c r="B9" s="57" t="s">
        <v>118</v>
      </c>
      <c r="C9" s="27" t="s">
        <v>264</v>
      </c>
      <c r="D9" s="27" t="s">
        <v>30</v>
      </c>
      <c r="E9" s="82">
        <f>집계표!G20</f>
        <v>25023121</v>
      </c>
      <c r="F9" s="82">
        <v>506580</v>
      </c>
      <c r="G9" s="82">
        <f>SUM(E9:F9)</f>
        <v>25529701</v>
      </c>
      <c r="H9" s="27" t="s">
        <v>30</v>
      </c>
      <c r="I9" s="2" t="s">
        <v>113</v>
      </c>
      <c r="J9" s="1">
        <v>0</v>
      </c>
      <c r="K9" s="1">
        <f>E9</f>
        <v>25023121</v>
      </c>
    </row>
    <row r="10" spans="1:11" ht="12.4" customHeight="1" x14ac:dyDescent="0.3">
      <c r="A10" s="59"/>
      <c r="B10" s="59"/>
      <c r="C10" s="29" t="s">
        <v>244</v>
      </c>
      <c r="D10" s="31" t="str">
        <f>"직.노*"&amp;J10*100&amp;"%"</f>
        <v>직.노*17.5%</v>
      </c>
      <c r="E10" s="84">
        <f>ROUNDDOWN(E9*$J$10,0)</f>
        <v>4379046</v>
      </c>
      <c r="F10" s="84">
        <f>ROUNDDOWN(F9*$J$10,0)</f>
        <v>88651</v>
      </c>
      <c r="G10" s="84">
        <f>SUM(E10:F10)</f>
        <v>4467697</v>
      </c>
      <c r="H10" s="29" t="s">
        <v>30</v>
      </c>
      <c r="I10" s="2" t="s">
        <v>110</v>
      </c>
      <c r="J10" s="1">
        <v>0.17499999999999999</v>
      </c>
      <c r="K10" s="1">
        <f>E10</f>
        <v>4379046</v>
      </c>
    </row>
    <row r="11" spans="1:11" ht="12.4" customHeight="1" x14ac:dyDescent="0.3">
      <c r="A11" s="60"/>
      <c r="B11" s="60"/>
      <c r="C11" s="30" t="s">
        <v>169</v>
      </c>
      <c r="D11" s="30" t="s">
        <v>30</v>
      </c>
      <c r="E11" s="85">
        <f>SUM(E9:E10)</f>
        <v>29402167</v>
      </c>
      <c r="F11" s="85">
        <f t="shared" ref="F11:G11" si="2">SUM(F9:F10)</f>
        <v>595231</v>
      </c>
      <c r="G11" s="85">
        <f t="shared" si="2"/>
        <v>29997398</v>
      </c>
      <c r="H11" s="30" t="s">
        <v>30</v>
      </c>
      <c r="I11" s="2" t="s">
        <v>99</v>
      </c>
      <c r="J11" s="1">
        <v>0</v>
      </c>
      <c r="K11" s="1">
        <f>E11</f>
        <v>29402167</v>
      </c>
    </row>
    <row r="12" spans="1:11" ht="12.4" customHeight="1" x14ac:dyDescent="0.3">
      <c r="A12" s="61"/>
      <c r="B12" s="57" t="s">
        <v>587</v>
      </c>
      <c r="C12" s="27" t="s">
        <v>182</v>
      </c>
      <c r="D12" s="27" t="s">
        <v>30</v>
      </c>
      <c r="E12" s="82">
        <f>집계표!I20</f>
        <v>4780331</v>
      </c>
      <c r="F12" s="82">
        <v>30610</v>
      </c>
      <c r="G12" s="82">
        <f>SUM(E12:F12)</f>
        <v>4810941</v>
      </c>
      <c r="H12" s="27" t="s">
        <v>30</v>
      </c>
      <c r="I12" s="2" t="s">
        <v>96</v>
      </c>
      <c r="J12" s="1">
        <v>0</v>
      </c>
      <c r="K12" s="1">
        <f>E12</f>
        <v>4780331</v>
      </c>
    </row>
    <row r="13" spans="1:11" ht="12.4" customHeight="1" x14ac:dyDescent="0.3">
      <c r="A13" s="58"/>
      <c r="B13" s="58"/>
      <c r="C13" s="28" t="s">
        <v>265</v>
      </c>
      <c r="D13" s="32" t="str">
        <f>"(노)*"&amp;J13*100&amp;"%"</f>
        <v>(노)*3.56%</v>
      </c>
      <c r="E13" s="83">
        <f>ROUNDDOWN((E11)*$J$13,0)</f>
        <v>1046717</v>
      </c>
      <c r="F13" s="83">
        <f>ROUNDDOWN((F11)*$J$13,0)</f>
        <v>21190</v>
      </c>
      <c r="G13" s="83">
        <f>SUM(E13:F13)</f>
        <v>1067907</v>
      </c>
      <c r="H13" s="28" t="s">
        <v>30</v>
      </c>
      <c r="I13" s="2" t="s">
        <v>98</v>
      </c>
      <c r="J13" s="1">
        <v>3.56E-2</v>
      </c>
      <c r="K13" s="1">
        <f>E13</f>
        <v>1046717</v>
      </c>
    </row>
    <row r="14" spans="1:11" s="47" customFormat="1" ht="12.4" customHeight="1" x14ac:dyDescent="0.3">
      <c r="A14" s="58"/>
      <c r="B14" s="58"/>
      <c r="C14" s="44" t="s">
        <v>266</v>
      </c>
      <c r="D14" s="45" t="str">
        <f>"(노)*"&amp;J14*100&amp;"%"</f>
        <v>(노)*1.01%</v>
      </c>
      <c r="E14" s="86">
        <f>ROUNDDOWN((E11)*$J$14,0)</f>
        <v>296961</v>
      </c>
      <c r="F14" s="86">
        <f>ROUNDDOWN((F11)*$J$14,0)</f>
        <v>6011</v>
      </c>
      <c r="G14" s="86">
        <f>SUM(E14:F14)</f>
        <v>302972</v>
      </c>
      <c r="H14" s="44" t="s">
        <v>30</v>
      </c>
      <c r="I14" s="46" t="s">
        <v>97</v>
      </c>
      <c r="J14" s="47">
        <v>1.01E-2</v>
      </c>
      <c r="K14" s="47">
        <f>E14</f>
        <v>296961</v>
      </c>
    </row>
    <row r="15" spans="1:11" s="43" customFormat="1" ht="12.4" customHeight="1" x14ac:dyDescent="0.3">
      <c r="A15" s="58"/>
      <c r="B15" s="58"/>
      <c r="C15" s="40" t="s">
        <v>238</v>
      </c>
      <c r="D15" s="41" t="str">
        <f>"(직.노)*"&amp;J15*100&amp;"%"</f>
        <v>(직.노)*3.595%</v>
      </c>
      <c r="E15" s="87">
        <f>ROUNDDOWN((E9)*$J$15,0)</f>
        <v>899581</v>
      </c>
      <c r="F15" s="87">
        <f>ROUNDDOWN((F9)*$J$15,0)</f>
        <v>18211</v>
      </c>
      <c r="G15" s="87">
        <f>SUM(E15:F15)</f>
        <v>917792</v>
      </c>
      <c r="H15" s="40" t="s">
        <v>30</v>
      </c>
      <c r="I15" s="42" t="s">
        <v>104</v>
      </c>
      <c r="J15" s="43">
        <v>3.5950000000000003E-2</v>
      </c>
      <c r="K15" s="43">
        <f>E15</f>
        <v>899581</v>
      </c>
    </row>
    <row r="16" spans="1:11" s="43" customFormat="1" ht="12.4" customHeight="1" x14ac:dyDescent="0.3">
      <c r="A16" s="58"/>
      <c r="B16" s="58"/>
      <c r="C16" s="40" t="s">
        <v>249</v>
      </c>
      <c r="D16" s="41" t="str">
        <f>"(직.노)*"&amp;J16*100&amp;"%"</f>
        <v>(직.노)*4.75%</v>
      </c>
      <c r="E16" s="87">
        <f>ROUNDDOWN((E9)*$J$16,0)</f>
        <v>1188598</v>
      </c>
      <c r="F16" s="87">
        <f>ROUNDDOWN((F9)*$J$16,0)</f>
        <v>24062</v>
      </c>
      <c r="G16" s="87">
        <f>SUM(E16:F16)</f>
        <v>1212660</v>
      </c>
      <c r="H16" s="40" t="s">
        <v>30</v>
      </c>
      <c r="I16" s="42" t="s">
        <v>90</v>
      </c>
      <c r="J16" s="43">
        <v>4.7500000000000001E-2</v>
      </c>
      <c r="K16" s="43">
        <f>E16</f>
        <v>1188598</v>
      </c>
    </row>
    <row r="17" spans="1:13" s="43" customFormat="1" ht="12.4" customHeight="1" x14ac:dyDescent="0.3">
      <c r="A17" s="58"/>
      <c r="B17" s="58"/>
      <c r="C17" s="40" t="s">
        <v>346</v>
      </c>
      <c r="D17" s="41" t="str">
        <f>"(건강보험료)*"&amp;J17*100&amp;"%"</f>
        <v>(건강보험료)*13.14%</v>
      </c>
      <c r="E17" s="87">
        <f>ROUNDDOWN((E15)*$J$17,0)</f>
        <v>118204</v>
      </c>
      <c r="F17" s="87">
        <f>ROUNDDOWN((F15)*$J$17,0)</f>
        <v>2392</v>
      </c>
      <c r="G17" s="87">
        <f>SUM(E17:F17)</f>
        <v>120596</v>
      </c>
      <c r="H17" s="40" t="s">
        <v>30</v>
      </c>
      <c r="I17" s="42" t="s">
        <v>116</v>
      </c>
      <c r="J17" s="43">
        <v>0.13140000000000002</v>
      </c>
      <c r="K17" s="43">
        <f>E17</f>
        <v>118204</v>
      </c>
    </row>
    <row r="18" spans="1:13" ht="12.4" customHeight="1" x14ac:dyDescent="0.3">
      <c r="A18" s="58"/>
      <c r="B18" s="58"/>
      <c r="C18" s="28" t="s">
        <v>259</v>
      </c>
      <c r="D18" s="28" t="s">
        <v>30</v>
      </c>
      <c r="E18" s="83">
        <f>ROUNDDOWN((E9)*$J$18,0)</f>
        <v>0</v>
      </c>
      <c r="F18" s="83">
        <f>ROUNDDOWN((F9)*$J$18,0)</f>
        <v>0</v>
      </c>
      <c r="G18" s="83">
        <f>SUM(E18:F18)</f>
        <v>0</v>
      </c>
      <c r="H18" s="28" t="s">
        <v>30</v>
      </c>
      <c r="I18" s="2" t="s">
        <v>86</v>
      </c>
      <c r="J18" s="1">
        <v>0</v>
      </c>
      <c r="K18" s="1">
        <f>E18</f>
        <v>0</v>
      </c>
    </row>
    <row r="19" spans="1:13" ht="12.4" customHeight="1" x14ac:dyDescent="0.3">
      <c r="A19" s="58"/>
      <c r="B19" s="58"/>
      <c r="C19" s="28" t="s">
        <v>348</v>
      </c>
      <c r="D19" s="32" t="str">
        <f>"(재+직.노+(관급-0)/1.1)*"&amp;J19*100&amp;"%"&amp;" &lt; (재+직.노)*3.11%*1.2"</f>
        <v>(재+직.노+(관급-0)/1.1)*3.11% &lt; (재+직.노)*3.11%*1.2</v>
      </c>
      <c r="E19" s="83">
        <f>ROUNDDOWN((E8+E9)*$J$19,0)</f>
        <v>866384</v>
      </c>
      <c r="F19" s="83">
        <f>ROUNDDOWN((F8+F9)*$J$19,0)</f>
        <v>51116</v>
      </c>
      <c r="G19" s="83">
        <f>SUM(E19:F19)</f>
        <v>917500</v>
      </c>
      <c r="H19" s="28"/>
      <c r="I19" s="2" t="s">
        <v>92</v>
      </c>
      <c r="J19" s="1">
        <v>3.1099999999999999E-2</v>
      </c>
      <c r="K19" s="1">
        <f>E19</f>
        <v>866384</v>
      </c>
    </row>
    <row r="20" spans="1:13" ht="12.4" customHeight="1" x14ac:dyDescent="0.3">
      <c r="A20" s="58"/>
      <c r="B20" s="58"/>
      <c r="C20" s="28" t="s">
        <v>176</v>
      </c>
      <c r="D20" s="32" t="str">
        <f>"(재+노)*"&amp;J20*100&amp;"%"</f>
        <v>(재+노)*5%</v>
      </c>
      <c r="E20" s="83">
        <f>ROUNDDOWN((E8+E11)*$J$20,0)</f>
        <v>1611853</v>
      </c>
      <c r="F20" s="83">
        <f>ROUNDDOWN((F8+F11)*$J$20,0)</f>
        <v>86612</v>
      </c>
      <c r="G20" s="83">
        <f>SUM(E20:F20)</f>
        <v>1698465</v>
      </c>
      <c r="H20" s="28" t="s">
        <v>30</v>
      </c>
      <c r="I20" s="2" t="s">
        <v>111</v>
      </c>
      <c r="J20" s="1">
        <v>0.05</v>
      </c>
      <c r="K20" s="1">
        <f>E20</f>
        <v>1611853</v>
      </c>
    </row>
    <row r="21" spans="1:13" ht="12.4" customHeight="1" x14ac:dyDescent="0.3">
      <c r="A21" s="58"/>
      <c r="B21" s="58"/>
      <c r="C21" s="28" t="s">
        <v>252</v>
      </c>
      <c r="D21" s="32" t="str">
        <f>"(재+직.노+기.경)*"&amp;J21*100&amp;"%"</f>
        <v>(재+직.노+기.경)*0.3%</v>
      </c>
      <c r="E21" s="83">
        <f>ROUNDDOWN((E8+E9+E12)*$J$21,0)</f>
        <v>97915</v>
      </c>
      <c r="F21" s="83">
        <f>ROUNDDOWN((F8+F9+F12)*$J$21,0)</f>
        <v>5022</v>
      </c>
      <c r="G21" s="83">
        <f>SUM(E21:F21)</f>
        <v>102937</v>
      </c>
      <c r="H21" s="28" t="s">
        <v>30</v>
      </c>
      <c r="I21" s="2" t="s">
        <v>89</v>
      </c>
      <c r="J21" s="1">
        <v>3.0000000000000001E-3</v>
      </c>
      <c r="K21" s="1">
        <f>E21</f>
        <v>97915</v>
      </c>
    </row>
    <row r="22" spans="1:13" ht="12.4" customHeight="1" x14ac:dyDescent="0.3">
      <c r="A22" s="58"/>
      <c r="B22" s="58"/>
      <c r="C22" s="28" t="s">
        <v>347</v>
      </c>
      <c r="D22" s="32" t="str">
        <f>"(재+직.노+기.경)*"&amp;J22*100&amp;"%"</f>
        <v>(재+직.노+기.경)*0.081%</v>
      </c>
      <c r="E22" s="83">
        <f>ROUNDDOWN((E8+E9+E12)*$J$22,0)</f>
        <v>26437</v>
      </c>
      <c r="F22" s="83">
        <f>ROUNDDOWN((F8+F9+F12)*$J$22,0)</f>
        <v>1356</v>
      </c>
      <c r="G22" s="83">
        <f>SUM(E22:F22)</f>
        <v>27793</v>
      </c>
      <c r="H22" s="28" t="s">
        <v>30</v>
      </c>
      <c r="I22" s="2" t="s">
        <v>105</v>
      </c>
      <c r="J22" s="1">
        <v>8.1000000000000006E-4</v>
      </c>
      <c r="K22" s="1">
        <f>E22</f>
        <v>26437</v>
      </c>
    </row>
    <row r="23" spans="1:13" ht="12.4" customHeight="1" x14ac:dyDescent="0.3">
      <c r="A23" s="58"/>
      <c r="B23" s="58"/>
      <c r="C23" s="28" t="s">
        <v>349</v>
      </c>
      <c r="D23" s="90" t="s">
        <v>359</v>
      </c>
      <c r="E23" s="83">
        <f>ROUNDDOWN((E8+E9+E12)*$J$23*(6/12),0)</f>
        <v>1762</v>
      </c>
      <c r="F23" s="83">
        <f>ROUNDDOWN((F8+F9+F12)*$J$23*(6/12),0)</f>
        <v>90</v>
      </c>
      <c r="G23" s="83">
        <f>SUM(E23:F23)</f>
        <v>1852</v>
      </c>
      <c r="H23" s="28" t="s">
        <v>30</v>
      </c>
      <c r="I23" s="2" t="s">
        <v>88</v>
      </c>
      <c r="J23" s="1">
        <v>1.0800000000000001E-4</v>
      </c>
      <c r="K23" s="1">
        <f>E23</f>
        <v>1762</v>
      </c>
    </row>
    <row r="24" spans="1:13" ht="12.4" customHeight="1" x14ac:dyDescent="0.3">
      <c r="A24" s="58"/>
      <c r="B24" s="58"/>
      <c r="C24" s="28" t="s">
        <v>345</v>
      </c>
      <c r="D24" s="32" t="str">
        <f>"(재+직.노+기.경)*"&amp;J24*100&amp;"%"</f>
        <v>(재+직.노+기.경)*0.68%</v>
      </c>
      <c r="E24" s="83">
        <f>ROUNDDOWN((E8+E9+E12)*$J$24,0)</f>
        <v>221940</v>
      </c>
      <c r="F24" s="83">
        <f>ROUNDDOWN((F8+F9+F12)*$M$24,0)</f>
        <v>1171</v>
      </c>
      <c r="G24" s="83">
        <f>SUM(E24:F24)</f>
        <v>223111</v>
      </c>
      <c r="H24" s="28" t="s">
        <v>30</v>
      </c>
      <c r="I24" s="2" t="s">
        <v>106</v>
      </c>
      <c r="J24" s="1">
        <v>6.8000000000000005E-3</v>
      </c>
      <c r="K24" s="1">
        <f>E24</f>
        <v>221940</v>
      </c>
      <c r="M24" s="1">
        <v>6.9999999999999999E-4</v>
      </c>
    </row>
    <row r="25" spans="1:13" ht="12.4" customHeight="1" x14ac:dyDescent="0.3">
      <c r="A25" s="58"/>
      <c r="B25" s="58"/>
      <c r="C25" s="28" t="s">
        <v>239</v>
      </c>
      <c r="D25" s="28" t="s">
        <v>30</v>
      </c>
      <c r="E25" s="83"/>
      <c r="F25" s="83"/>
      <c r="G25" s="83">
        <f>SUM(E25:F25)</f>
        <v>0</v>
      </c>
      <c r="H25" s="28" t="s">
        <v>30</v>
      </c>
      <c r="I25" s="2" t="s">
        <v>109</v>
      </c>
      <c r="J25" s="1">
        <v>0</v>
      </c>
      <c r="K25" s="1">
        <f>E25</f>
        <v>0</v>
      </c>
    </row>
    <row r="26" spans="1:13" ht="12.4" customHeight="1" x14ac:dyDescent="0.3">
      <c r="A26" s="58"/>
      <c r="B26" s="58"/>
      <c r="C26" s="28" t="s">
        <v>240</v>
      </c>
      <c r="D26" s="28" t="s">
        <v>30</v>
      </c>
      <c r="E26" s="83"/>
      <c r="F26" s="83"/>
      <c r="G26" s="83">
        <f>SUM(E26:F26)</f>
        <v>0</v>
      </c>
      <c r="H26" s="28" t="s">
        <v>30</v>
      </c>
      <c r="I26" s="2" t="s">
        <v>93</v>
      </c>
      <c r="J26" s="1">
        <v>0</v>
      </c>
      <c r="K26" s="1">
        <f>E26</f>
        <v>0</v>
      </c>
    </row>
    <row r="27" spans="1:13" ht="12.4" customHeight="1" x14ac:dyDescent="0.3">
      <c r="A27" s="58"/>
      <c r="B27" s="58"/>
      <c r="C27" s="28" t="s">
        <v>569</v>
      </c>
      <c r="D27" s="32" t="str">
        <f>"(노)*"&amp;J27*100&amp;"%"</f>
        <v>(노)*0.09%</v>
      </c>
      <c r="E27" s="83">
        <f>ROUNDDOWN((E11)*$J$27,0)</f>
        <v>26461</v>
      </c>
      <c r="F27" s="83">
        <f>ROUNDDOWN((F11)*$J$27,0)</f>
        <v>535</v>
      </c>
      <c r="G27" s="83">
        <f>SUM(E27:F27)</f>
        <v>26996</v>
      </c>
      <c r="H27" s="28" t="s">
        <v>30</v>
      </c>
      <c r="I27" s="2" t="s">
        <v>108</v>
      </c>
      <c r="J27" s="1">
        <v>8.9999999999999998E-4</v>
      </c>
      <c r="K27" s="1">
        <f>E27</f>
        <v>26461</v>
      </c>
    </row>
    <row r="28" spans="1:13" ht="12.4" customHeight="1" x14ac:dyDescent="0.3">
      <c r="A28" s="59"/>
      <c r="B28" s="59"/>
      <c r="C28" s="29" t="s">
        <v>561</v>
      </c>
      <c r="D28" s="31" t="str">
        <f>"(노)*"&amp;J28*100&amp;"%"</f>
        <v>(노)*0.006%</v>
      </c>
      <c r="E28" s="84">
        <f>ROUNDDOWN((E11)*$J$28,0)</f>
        <v>1764</v>
      </c>
      <c r="F28" s="84">
        <f>ROUNDDOWN((F11)*$J$28,0)</f>
        <v>35</v>
      </c>
      <c r="G28" s="84">
        <f>SUM(E28:F28)</f>
        <v>1799</v>
      </c>
      <c r="H28" s="29" t="s">
        <v>30</v>
      </c>
      <c r="I28" s="2" t="s">
        <v>124</v>
      </c>
      <c r="J28" s="1">
        <v>5.9999999999999995E-5</v>
      </c>
      <c r="K28" s="1">
        <f>E28</f>
        <v>1764</v>
      </c>
    </row>
    <row r="29" spans="1:13" ht="12.4" customHeight="1" x14ac:dyDescent="0.3">
      <c r="A29" s="60"/>
      <c r="B29" s="60"/>
      <c r="C29" s="30" t="s">
        <v>169</v>
      </c>
      <c r="D29" s="30" t="s">
        <v>30</v>
      </c>
      <c r="E29" s="85">
        <f>SUM(E12:E28)</f>
        <v>11184908</v>
      </c>
      <c r="F29" s="85">
        <f t="shared" ref="F29:G29" si="3">SUM(F12:F28)</f>
        <v>248413</v>
      </c>
      <c r="G29" s="85">
        <f t="shared" si="3"/>
        <v>11433321</v>
      </c>
      <c r="H29" s="30" t="s">
        <v>30</v>
      </c>
      <c r="I29" s="2" t="s">
        <v>119</v>
      </c>
      <c r="J29" s="1">
        <v>0</v>
      </c>
      <c r="K29" s="1">
        <f>E29</f>
        <v>11184908</v>
      </c>
    </row>
    <row r="30" spans="1:13" ht="12.4" customHeight="1" x14ac:dyDescent="0.3">
      <c r="A30" s="60"/>
      <c r="B30" s="50" t="s">
        <v>350</v>
      </c>
      <c r="C30" s="51"/>
      <c r="D30" s="30" t="s">
        <v>30</v>
      </c>
      <c r="E30" s="85">
        <f>E8+E11+E29</f>
        <v>43421969</v>
      </c>
      <c r="F30" s="85">
        <f t="shared" ref="F30:G30" si="4">F8+F11+F29</f>
        <v>1980668</v>
      </c>
      <c r="G30" s="85">
        <f t="shared" si="4"/>
        <v>45402637</v>
      </c>
      <c r="H30" s="30" t="s">
        <v>30</v>
      </c>
      <c r="I30" s="2" t="s">
        <v>125</v>
      </c>
      <c r="J30" s="1">
        <v>0</v>
      </c>
      <c r="K30" s="1">
        <f>E30</f>
        <v>43421969</v>
      </c>
    </row>
    <row r="31" spans="1:13" ht="12.4" customHeight="1" x14ac:dyDescent="0.3">
      <c r="A31" s="52" t="s">
        <v>251</v>
      </c>
      <c r="B31" s="53"/>
      <c r="C31" s="53"/>
      <c r="D31" s="33" t="str">
        <f>"(재+노+경)*"&amp;J31*100&amp;"%"</f>
        <v>(재+노+경)*8%</v>
      </c>
      <c r="E31" s="88">
        <f>ROUNDDOWN((E8+E11+E29)*$J$31,0)</f>
        <v>3473757</v>
      </c>
      <c r="F31" s="88">
        <f>ROUNDDOWN((F8+F11+F29)*$J$31,0)</f>
        <v>158453</v>
      </c>
      <c r="G31" s="88">
        <f>SUM(E31:F31)</f>
        <v>3632210</v>
      </c>
      <c r="H31" s="34" t="s">
        <v>30</v>
      </c>
      <c r="I31" s="2" t="s">
        <v>69</v>
      </c>
      <c r="J31" s="1">
        <v>0.08</v>
      </c>
      <c r="K31" s="1">
        <f>E31</f>
        <v>3473757</v>
      </c>
    </row>
    <row r="32" spans="1:13" ht="12.4" customHeight="1" x14ac:dyDescent="0.3">
      <c r="A32" s="52" t="s">
        <v>248</v>
      </c>
      <c r="B32" s="53"/>
      <c r="C32" s="53"/>
      <c r="D32" s="34" t="s">
        <v>30</v>
      </c>
      <c r="E32" s="88">
        <f>ROUNDDOWN([1]집계표!AF20,0)</f>
        <v>-1658028</v>
      </c>
      <c r="F32" s="88"/>
      <c r="G32" s="88">
        <f>SUM(E32:F32)</f>
        <v>-1658028</v>
      </c>
      <c r="H32" s="34" t="s">
        <v>30</v>
      </c>
      <c r="I32" s="2" t="s">
        <v>70</v>
      </c>
      <c r="J32" s="1">
        <v>0</v>
      </c>
      <c r="K32" s="1">
        <f>E32</f>
        <v>-1658028</v>
      </c>
    </row>
    <row r="33" spans="1:11" s="43" customFormat="1" ht="12.4" customHeight="1" x14ac:dyDescent="0.3">
      <c r="A33" s="54" t="s">
        <v>170</v>
      </c>
      <c r="B33" s="55"/>
      <c r="C33" s="55"/>
      <c r="D33" s="48" t="str">
        <f>"(노+경+일)*"&amp;J33*100&amp;"%"</f>
        <v>(노+경+일)*12.9%</v>
      </c>
      <c r="E33" s="89">
        <f>ROUNDDOWN((E11+E29+E31)*$J$33,0)</f>
        <v>5683847</v>
      </c>
      <c r="F33" s="89">
        <f>ROUNDDOWN((F11+F29+F31)*$J$33,0)</f>
        <v>129270</v>
      </c>
      <c r="G33" s="89">
        <f>SUM(E33:F33)</f>
        <v>5813117</v>
      </c>
      <c r="H33" s="49" t="s">
        <v>30</v>
      </c>
      <c r="I33" s="42" t="s">
        <v>23</v>
      </c>
      <c r="J33" s="43">
        <v>0.129</v>
      </c>
      <c r="K33" s="43">
        <f>(K11+K29+K31)*J33</f>
        <v>5683847.3279999997</v>
      </c>
    </row>
    <row r="34" spans="1:11" ht="12.4" customHeight="1" x14ac:dyDescent="0.3">
      <c r="A34" s="52" t="s">
        <v>185</v>
      </c>
      <c r="B34" s="53"/>
      <c r="C34" s="53"/>
      <c r="D34" s="34" t="s">
        <v>30</v>
      </c>
      <c r="E34" s="88">
        <f>ROUNDDOWN(SUM(E30:E33),-3)</f>
        <v>50921000</v>
      </c>
      <c r="F34" s="88">
        <f>ROUNDDOWN(SUM(F30:F33),-3)</f>
        <v>2268000</v>
      </c>
      <c r="G34" s="88">
        <f>SUM(E34:F34)</f>
        <v>53189000</v>
      </c>
      <c r="H34" s="34" t="s">
        <v>30</v>
      </c>
      <c r="I34" s="2" t="s">
        <v>122</v>
      </c>
      <c r="J34" s="1">
        <v>0</v>
      </c>
      <c r="K34" s="1">
        <f>SUM(K30:K33)</f>
        <v>50921545.328000002</v>
      </c>
    </row>
    <row r="35" spans="1:11" ht="12.4" customHeight="1" x14ac:dyDescent="0.3">
      <c r="A35" s="52" t="s">
        <v>255</v>
      </c>
      <c r="B35" s="53"/>
      <c r="C35" s="53"/>
      <c r="D35" s="33" t="str">
        <f>"(총원가)*"&amp;J35*100&amp;"%"</f>
        <v>(총원가)*10%</v>
      </c>
      <c r="E35" s="88">
        <f t="shared" ref="E35:F35" si="5">ROUNDDOWN((E34*0.1),-3)</f>
        <v>5092000</v>
      </c>
      <c r="F35" s="88">
        <f t="shared" si="5"/>
        <v>226000</v>
      </c>
      <c r="G35" s="88">
        <f>SUM(E35:F35)</f>
        <v>5318000</v>
      </c>
      <c r="H35" s="34" t="s">
        <v>30</v>
      </c>
      <c r="I35" s="2" t="s">
        <v>123</v>
      </c>
      <c r="J35" s="1">
        <v>0.1</v>
      </c>
      <c r="K35" s="1">
        <f>ROUNDDOWN((K34)*J35,0)+43</f>
        <v>5092197</v>
      </c>
    </row>
    <row r="36" spans="1:11" ht="12.4" customHeight="1" x14ac:dyDescent="0.3">
      <c r="A36" s="50" t="s">
        <v>184</v>
      </c>
      <c r="B36" s="51"/>
      <c r="C36" s="51"/>
      <c r="D36" s="30" t="s">
        <v>30</v>
      </c>
      <c r="E36" s="85">
        <f>ROUNDDOWN(SUM(E34:E35),-3)</f>
        <v>56013000</v>
      </c>
      <c r="F36" s="85">
        <f t="shared" ref="F36" si="6">ROUNDDOWN(SUM(F34:F35),-3)</f>
        <v>2494000</v>
      </c>
      <c r="G36" s="85">
        <f>SUM(E36:F36)</f>
        <v>58507000</v>
      </c>
      <c r="H36" s="38" t="s">
        <v>582</v>
      </c>
      <c r="I36" s="2" t="s">
        <v>126</v>
      </c>
      <c r="J36" s="1">
        <v>0</v>
      </c>
      <c r="K36" s="1">
        <f>K34+K35</f>
        <v>56013742.328000002</v>
      </c>
    </row>
    <row r="37" spans="1:11" ht="12.4" customHeight="1" x14ac:dyDescent="0.3">
      <c r="A37" s="52" t="s">
        <v>260</v>
      </c>
      <c r="B37" s="53"/>
      <c r="C37" s="53"/>
      <c r="D37" s="34" t="s">
        <v>30</v>
      </c>
      <c r="E37" s="88"/>
      <c r="F37" s="88"/>
      <c r="G37" s="82">
        <f>SUM(E37:F37)</f>
        <v>0</v>
      </c>
      <c r="H37" s="34" t="s">
        <v>30</v>
      </c>
      <c r="I37" s="2" t="s">
        <v>75</v>
      </c>
      <c r="J37" s="1">
        <v>0</v>
      </c>
      <c r="K37" s="1">
        <f>E37</f>
        <v>0</v>
      </c>
    </row>
    <row r="38" spans="1:11" ht="12.4" customHeight="1" x14ac:dyDescent="0.3">
      <c r="A38" s="52" t="s">
        <v>320</v>
      </c>
      <c r="B38" s="53"/>
      <c r="C38" s="53"/>
      <c r="D38" s="34" t="s">
        <v>30</v>
      </c>
      <c r="E38" s="88"/>
      <c r="F38" s="88"/>
      <c r="G38" s="82">
        <f>SUM(E38:F38)</f>
        <v>0</v>
      </c>
      <c r="H38" s="34" t="s">
        <v>30</v>
      </c>
      <c r="I38" s="2" t="s">
        <v>120</v>
      </c>
      <c r="J38" s="1">
        <v>0</v>
      </c>
      <c r="K38" s="1">
        <f>E38</f>
        <v>0</v>
      </c>
    </row>
    <row r="39" spans="1:11" ht="12.4" customHeight="1" x14ac:dyDescent="0.3">
      <c r="A39" s="52" t="s">
        <v>319</v>
      </c>
      <c r="B39" s="53"/>
      <c r="C39" s="53"/>
      <c r="D39" s="34" t="s">
        <v>30</v>
      </c>
      <c r="E39" s="88"/>
      <c r="F39" s="88"/>
      <c r="G39" s="82">
        <f>SUM(E39:F39)</f>
        <v>0</v>
      </c>
      <c r="H39" s="34" t="s">
        <v>30</v>
      </c>
      <c r="I39" s="2" t="s">
        <v>121</v>
      </c>
      <c r="J39" s="1">
        <v>0</v>
      </c>
      <c r="K39" s="1">
        <f>E39</f>
        <v>0</v>
      </c>
    </row>
    <row r="40" spans="1:11" ht="12.4" customHeight="1" x14ac:dyDescent="0.3">
      <c r="A40" s="52" t="s">
        <v>321</v>
      </c>
      <c r="B40" s="53"/>
      <c r="C40" s="53"/>
      <c r="D40" s="34" t="s">
        <v>30</v>
      </c>
      <c r="E40" s="88"/>
      <c r="F40" s="88"/>
      <c r="G40" s="82">
        <f>SUM(E40:F40)</f>
        <v>0</v>
      </c>
      <c r="H40" s="39" t="s">
        <v>582</v>
      </c>
      <c r="I40" s="2" t="s">
        <v>121</v>
      </c>
      <c r="J40" s="1">
        <v>0</v>
      </c>
      <c r="K40" s="1">
        <f>E40</f>
        <v>0</v>
      </c>
    </row>
    <row r="41" spans="1:11" ht="12.4" customHeight="1" x14ac:dyDescent="0.3">
      <c r="A41" s="52" t="s">
        <v>322</v>
      </c>
      <c r="B41" s="53"/>
      <c r="C41" s="53"/>
      <c r="D41" s="34" t="s">
        <v>30</v>
      </c>
      <c r="E41" s="88"/>
      <c r="F41" s="88"/>
      <c r="G41" s="82">
        <f>SUM(E41:F41)</f>
        <v>0</v>
      </c>
      <c r="H41" s="34" t="s">
        <v>30</v>
      </c>
      <c r="I41" s="2" t="s">
        <v>121</v>
      </c>
      <c r="J41" s="1">
        <v>0</v>
      </c>
      <c r="K41" s="1">
        <f>E41</f>
        <v>0</v>
      </c>
    </row>
    <row r="42" spans="1:11" ht="12.4" customHeight="1" x14ac:dyDescent="0.3">
      <c r="A42" s="52" t="s">
        <v>503</v>
      </c>
      <c r="B42" s="53"/>
      <c r="C42" s="53"/>
      <c r="D42" s="34" t="s">
        <v>30</v>
      </c>
      <c r="E42" s="88">
        <f>ROUNDDOWN(집계표!K27,-3)</f>
        <v>54000</v>
      </c>
      <c r="F42" s="88"/>
      <c r="G42" s="82">
        <f>SUM(E42:F42)</f>
        <v>54000</v>
      </c>
      <c r="H42" s="39" t="s">
        <v>582</v>
      </c>
      <c r="I42" s="2" t="s">
        <v>14</v>
      </c>
      <c r="J42" s="1">
        <v>0</v>
      </c>
      <c r="K42" s="1">
        <f>E42</f>
        <v>54000</v>
      </c>
    </row>
    <row r="43" spans="1:11" ht="12.4" customHeight="1" x14ac:dyDescent="0.3">
      <c r="A43" s="50" t="s">
        <v>256</v>
      </c>
      <c r="B43" s="51"/>
      <c r="C43" s="51"/>
      <c r="D43" s="30" t="s">
        <v>30</v>
      </c>
      <c r="E43" s="85">
        <f t="shared" ref="E43:G43" si="7">ROUNDDOWN(SUM(E36:E42),-3)</f>
        <v>56067000</v>
      </c>
      <c r="F43" s="85">
        <f t="shared" si="7"/>
        <v>2494000</v>
      </c>
      <c r="G43" s="85">
        <f t="shared" si="7"/>
        <v>58561000</v>
      </c>
      <c r="H43" s="38" t="s">
        <v>582</v>
      </c>
      <c r="J43" s="1">
        <v>0</v>
      </c>
      <c r="K43" s="1">
        <f>K36+K37+K38+K40+K42</f>
        <v>56067742.328000002</v>
      </c>
    </row>
  </sheetData>
  <mergeCells count="24">
    <mergeCell ref="A36:C36"/>
    <mergeCell ref="F3:F4"/>
    <mergeCell ref="G3:G4"/>
    <mergeCell ref="H3:H4"/>
    <mergeCell ref="A5:A30"/>
    <mergeCell ref="B5:B8"/>
    <mergeCell ref="B9:B11"/>
    <mergeCell ref="B12:B29"/>
    <mergeCell ref="B30:C30"/>
    <mergeCell ref="A3:C4"/>
    <mergeCell ref="D3:D4"/>
    <mergeCell ref="E3:E4"/>
    <mergeCell ref="A31:C31"/>
    <mergeCell ref="A32:C32"/>
    <mergeCell ref="A33:C33"/>
    <mergeCell ref="A34:C34"/>
    <mergeCell ref="A35:C35"/>
    <mergeCell ref="A43:C43"/>
    <mergeCell ref="A37:C37"/>
    <mergeCell ref="A38:C38"/>
    <mergeCell ref="A39:C39"/>
    <mergeCell ref="A40:C40"/>
    <mergeCell ref="A41:C41"/>
    <mergeCell ref="A42:C42"/>
  </mergeCells>
  <phoneticPr fontId="12" type="noConversion"/>
  <conditionalFormatting sqref="A5:H22 A24:H43 A23:C23 E23:H23">
    <cfRule type="containsText" dxfId="23" priority="7" stopIfTrue="1" operator="containsText" text="=">
      <formula>"="</formula>
    </cfRule>
    <cfRule type="containsText" dxfId="22" priority="8" stopIfTrue="1" operator="containsText" text="=">
      <formula>"="</formula>
    </cfRule>
  </conditionalFormatting>
  <conditionalFormatting sqref="D23">
    <cfRule type="containsText" dxfId="3" priority="1" stopIfTrue="1" operator="containsText" text=".">
      <formula>NOT(ISERROR(SEARCH(".",D23)))</formula>
    </cfRule>
    <cfRule type="containsText" dxfId="2" priority="2" stopIfTrue="1" operator="containsText" text=".">
      <formula>ISERROR(SEARCH(".",D23))</formula>
    </cfRule>
  </conditionalFormatting>
  <pageMargins left="0.74803149606299213" right="0" top="0.55118110236220474" bottom="0.15748031496062992" header="0.31496062992125984" footer="0.15748031496062992"/>
  <pageSetup paperSize="9" scale="95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>
    <tabColor rgb="FFFFFFB7"/>
  </sheetPr>
  <dimension ref="A1:Q52"/>
  <sheetViews>
    <sheetView zoomScaleNormal="100" zoomScaleSheetLayoutView="75" workbookViewId="0">
      <pane xSplit="3" ySplit="4" topLeftCell="D5" activePane="bottomRight" state="frozen"/>
      <selection pane="topRight"/>
      <selection pane="bottomLeft"/>
      <selection pane="bottomRight" sqref="A1:P1"/>
    </sheetView>
  </sheetViews>
  <sheetFormatPr defaultColWidth="9" defaultRowHeight="16.5" x14ac:dyDescent="0.3"/>
  <cols>
    <col min="1" max="2" width="17.75" style="3" customWidth="1"/>
    <col min="3" max="3" width="3.75" style="4" customWidth="1"/>
    <col min="4" max="4" width="6.75" style="5" customWidth="1"/>
    <col min="5" max="5" width="4.75" style="5" customWidth="1"/>
    <col min="6" max="6" width="6.75" style="5" customWidth="1"/>
    <col min="7" max="7" width="4.75" style="5" customWidth="1"/>
    <col min="8" max="9" width="6.75" style="5" customWidth="1"/>
    <col min="10" max="10" width="4.75" style="5" customWidth="1"/>
    <col min="11" max="11" width="6.75" style="5" customWidth="1"/>
    <col min="12" max="12" width="4.75" style="5" customWidth="1"/>
    <col min="13" max="14" width="6.75" style="5" customWidth="1"/>
    <col min="15" max="15" width="7.75" style="5" customWidth="1"/>
    <col min="16" max="16" width="7.75" style="3" customWidth="1"/>
    <col min="17" max="17" width="0" style="1" hidden="1" customWidth="1"/>
  </cols>
  <sheetData>
    <row r="1" spans="1:17" ht="30" customHeight="1" x14ac:dyDescent="0.3">
      <c r="A1" s="68" t="s">
        <v>283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</row>
    <row r="2" spans="1:17" ht="22.9" customHeight="1" x14ac:dyDescent="0.3">
      <c r="A2" s="69" t="s">
        <v>308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2.9" customHeight="1" x14ac:dyDescent="0.3">
      <c r="A3" s="81" t="s">
        <v>376</v>
      </c>
      <c r="B3" s="81" t="s">
        <v>372</v>
      </c>
      <c r="C3" s="81" t="s">
        <v>3</v>
      </c>
      <c r="D3" s="81" t="s">
        <v>368</v>
      </c>
      <c r="E3" s="81"/>
      <c r="F3" s="81" t="s">
        <v>373</v>
      </c>
      <c r="G3" s="81"/>
      <c r="H3" s="6" t="s">
        <v>380</v>
      </c>
      <c r="I3" s="81" t="s">
        <v>364</v>
      </c>
      <c r="J3" s="81"/>
      <c r="K3" s="81" t="s">
        <v>384</v>
      </c>
      <c r="L3" s="81"/>
      <c r="M3" s="6" t="s">
        <v>8</v>
      </c>
      <c r="N3" s="6" t="s">
        <v>377</v>
      </c>
      <c r="O3" s="81" t="s">
        <v>378</v>
      </c>
      <c r="P3" s="81" t="s">
        <v>6</v>
      </c>
    </row>
    <row r="4" spans="1:17" ht="22.9" customHeight="1" x14ac:dyDescent="0.3">
      <c r="A4" s="81"/>
      <c r="B4" s="81"/>
      <c r="C4" s="81"/>
      <c r="D4" s="6" t="s">
        <v>20</v>
      </c>
      <c r="E4" s="6" t="s">
        <v>374</v>
      </c>
      <c r="F4" s="6" t="s">
        <v>20</v>
      </c>
      <c r="G4" s="6" t="s">
        <v>374</v>
      </c>
      <c r="H4" s="6" t="s">
        <v>20</v>
      </c>
      <c r="I4" s="6" t="s">
        <v>20</v>
      </c>
      <c r="J4" s="6" t="s">
        <v>374</v>
      </c>
      <c r="K4" s="6" t="s">
        <v>20</v>
      </c>
      <c r="L4" s="6" t="s">
        <v>374</v>
      </c>
      <c r="M4" s="6" t="s">
        <v>20</v>
      </c>
      <c r="N4" s="6" t="s">
        <v>20</v>
      </c>
      <c r="O4" s="81"/>
      <c r="P4" s="81"/>
      <c r="Q4" s="1" t="s">
        <v>7</v>
      </c>
    </row>
    <row r="5" spans="1:17" ht="22.9" customHeight="1" x14ac:dyDescent="0.3">
      <c r="A5" s="7" t="s">
        <v>21</v>
      </c>
      <c r="B5" s="7" t="s">
        <v>365</v>
      </c>
      <c r="C5" s="8" t="s">
        <v>14</v>
      </c>
      <c r="D5" s="9">
        <v>1745</v>
      </c>
      <c r="E5" s="10" t="s">
        <v>361</v>
      </c>
      <c r="F5" s="9"/>
      <c r="G5" s="9"/>
      <c r="H5" s="9">
        <v>1657</v>
      </c>
      <c r="I5" s="9">
        <v>1864</v>
      </c>
      <c r="J5" s="10" t="s">
        <v>362</v>
      </c>
      <c r="K5" s="9">
        <v>1748</v>
      </c>
      <c r="L5" s="10" t="s">
        <v>379</v>
      </c>
      <c r="M5" s="9"/>
      <c r="N5" s="9"/>
      <c r="O5" s="9">
        <f t="shared" ref="O5:O22" si="0">MIN(D5,F5,H5,I5,K5,M5,N5)</f>
        <v>1657</v>
      </c>
      <c r="P5" s="11"/>
    </row>
    <row r="6" spans="1:17" ht="22.9" customHeight="1" x14ac:dyDescent="0.3">
      <c r="A6" s="7" t="s">
        <v>371</v>
      </c>
      <c r="B6" s="7" t="s">
        <v>591</v>
      </c>
      <c r="C6" s="8" t="s">
        <v>2</v>
      </c>
      <c r="D6" s="9">
        <v>18500</v>
      </c>
      <c r="E6" s="10" t="s">
        <v>284</v>
      </c>
      <c r="F6" s="9"/>
      <c r="G6" s="9"/>
      <c r="H6" s="9"/>
      <c r="I6" s="9">
        <v>18500</v>
      </c>
      <c r="J6" s="10" t="s">
        <v>19</v>
      </c>
      <c r="K6" s="9"/>
      <c r="L6" s="9"/>
      <c r="M6" s="9"/>
      <c r="N6" s="9"/>
      <c r="O6" s="9">
        <f t="shared" si="0"/>
        <v>18500</v>
      </c>
      <c r="P6" s="7" t="s">
        <v>204</v>
      </c>
    </row>
    <row r="7" spans="1:17" ht="22.9" customHeight="1" x14ac:dyDescent="0.3">
      <c r="A7" s="7" t="s">
        <v>381</v>
      </c>
      <c r="B7" s="7" t="s">
        <v>285</v>
      </c>
      <c r="C7" s="8" t="s">
        <v>14</v>
      </c>
      <c r="D7" s="9">
        <v>1781</v>
      </c>
      <c r="E7" s="10" t="s">
        <v>361</v>
      </c>
      <c r="F7" s="9">
        <v>1861</v>
      </c>
      <c r="G7" s="10" t="s">
        <v>366</v>
      </c>
      <c r="H7" s="9">
        <v>1676</v>
      </c>
      <c r="I7" s="9">
        <v>1834</v>
      </c>
      <c r="J7" s="10" t="s">
        <v>362</v>
      </c>
      <c r="K7" s="9">
        <v>1755</v>
      </c>
      <c r="L7" s="10" t="s">
        <v>379</v>
      </c>
      <c r="M7" s="9"/>
      <c r="N7" s="9"/>
      <c r="O7" s="9">
        <f t="shared" si="0"/>
        <v>1676</v>
      </c>
      <c r="P7" s="11"/>
    </row>
    <row r="8" spans="1:17" ht="22.9" customHeight="1" x14ac:dyDescent="0.3">
      <c r="A8" s="7" t="s">
        <v>385</v>
      </c>
      <c r="B8" s="7" t="s">
        <v>595</v>
      </c>
      <c r="C8" s="8" t="s">
        <v>16</v>
      </c>
      <c r="D8" s="9"/>
      <c r="E8" s="9"/>
      <c r="F8" s="9">
        <v>23200</v>
      </c>
      <c r="G8" s="10" t="s">
        <v>17</v>
      </c>
      <c r="H8" s="9"/>
      <c r="I8" s="9"/>
      <c r="J8" s="9"/>
      <c r="K8" s="9">
        <v>19180</v>
      </c>
      <c r="L8" s="10" t="s">
        <v>18</v>
      </c>
      <c r="M8" s="9"/>
      <c r="N8" s="9"/>
      <c r="O8" s="9">
        <f t="shared" si="0"/>
        <v>19180</v>
      </c>
      <c r="P8" s="11"/>
    </row>
    <row r="9" spans="1:17" ht="22.9" customHeight="1" x14ac:dyDescent="0.3">
      <c r="A9" s="7" t="s">
        <v>385</v>
      </c>
      <c r="B9" s="7" t="s">
        <v>286</v>
      </c>
      <c r="C9" s="8" t="s">
        <v>10</v>
      </c>
      <c r="D9" s="9"/>
      <c r="E9" s="9"/>
      <c r="F9" s="9"/>
      <c r="G9" s="9"/>
      <c r="H9" s="9"/>
      <c r="I9" s="9">
        <v>9500</v>
      </c>
      <c r="J9" s="10" t="s">
        <v>11</v>
      </c>
      <c r="K9" s="9"/>
      <c r="L9" s="9"/>
      <c r="M9" s="9"/>
      <c r="N9" s="9"/>
      <c r="O9" s="9">
        <f t="shared" si="0"/>
        <v>9500</v>
      </c>
      <c r="P9" s="7" t="s">
        <v>5</v>
      </c>
    </row>
    <row r="10" spans="1:17" ht="22.9" customHeight="1" x14ac:dyDescent="0.3">
      <c r="A10" s="7" t="s">
        <v>385</v>
      </c>
      <c r="B10" s="7" t="s">
        <v>360</v>
      </c>
      <c r="C10" s="8" t="s">
        <v>10</v>
      </c>
      <c r="D10" s="9">
        <v>32000</v>
      </c>
      <c r="E10" s="10" t="s">
        <v>13</v>
      </c>
      <c r="F10" s="9">
        <v>42900</v>
      </c>
      <c r="G10" s="10" t="s">
        <v>17</v>
      </c>
      <c r="H10" s="9">
        <v>27739</v>
      </c>
      <c r="I10" s="9">
        <v>30000</v>
      </c>
      <c r="J10" s="10" t="s">
        <v>11</v>
      </c>
      <c r="K10" s="9">
        <v>32320</v>
      </c>
      <c r="L10" s="10" t="s">
        <v>18</v>
      </c>
      <c r="M10" s="9"/>
      <c r="N10" s="9"/>
      <c r="O10" s="9">
        <f t="shared" si="0"/>
        <v>27739</v>
      </c>
      <c r="P10" s="7" t="s">
        <v>12</v>
      </c>
    </row>
    <row r="11" spans="1:17" ht="22.9" customHeight="1" x14ac:dyDescent="0.3">
      <c r="A11" s="7" t="s">
        <v>385</v>
      </c>
      <c r="B11" s="7" t="s">
        <v>177</v>
      </c>
      <c r="C11" s="8" t="s">
        <v>10</v>
      </c>
      <c r="D11" s="9"/>
      <c r="E11" s="9"/>
      <c r="F11" s="9"/>
      <c r="G11" s="9"/>
      <c r="H11" s="9">
        <v>1440</v>
      </c>
      <c r="I11" s="9"/>
      <c r="J11" s="9"/>
      <c r="K11" s="9"/>
      <c r="L11" s="9"/>
      <c r="M11" s="9"/>
      <c r="N11" s="9"/>
      <c r="O11" s="9">
        <f t="shared" si="0"/>
        <v>1440</v>
      </c>
      <c r="P11" s="11"/>
    </row>
    <row r="12" spans="1:17" ht="22.9" customHeight="1" x14ac:dyDescent="0.3">
      <c r="A12" s="7" t="s">
        <v>385</v>
      </c>
      <c r="B12" s="7" t="s">
        <v>172</v>
      </c>
      <c r="C12" s="8" t="s">
        <v>10</v>
      </c>
      <c r="D12" s="9"/>
      <c r="E12" s="9"/>
      <c r="F12" s="9"/>
      <c r="G12" s="9"/>
      <c r="H12" s="9">
        <v>2100</v>
      </c>
      <c r="I12" s="9"/>
      <c r="J12" s="9"/>
      <c r="K12" s="9"/>
      <c r="L12" s="9"/>
      <c r="M12" s="9"/>
      <c r="N12" s="9"/>
      <c r="O12" s="9">
        <f t="shared" si="0"/>
        <v>2100</v>
      </c>
      <c r="P12" s="11"/>
    </row>
    <row r="13" spans="1:17" ht="22.9" customHeight="1" x14ac:dyDescent="0.3">
      <c r="A13" s="7" t="s">
        <v>385</v>
      </c>
      <c r="B13" s="7" t="s">
        <v>205</v>
      </c>
      <c r="C13" s="8" t="s">
        <v>10</v>
      </c>
      <c r="D13" s="9"/>
      <c r="E13" s="9"/>
      <c r="F13" s="9"/>
      <c r="G13" s="9"/>
      <c r="H13" s="9">
        <v>5700</v>
      </c>
      <c r="I13" s="9"/>
      <c r="J13" s="9"/>
      <c r="K13" s="9"/>
      <c r="L13" s="9"/>
      <c r="M13" s="9"/>
      <c r="N13" s="9"/>
      <c r="O13" s="9">
        <f t="shared" si="0"/>
        <v>5700</v>
      </c>
      <c r="P13" s="11"/>
    </row>
    <row r="14" spans="1:17" ht="22.9" customHeight="1" x14ac:dyDescent="0.3">
      <c r="A14" s="7" t="s">
        <v>385</v>
      </c>
      <c r="B14" s="7" t="s">
        <v>594</v>
      </c>
      <c r="C14" s="8" t="s">
        <v>10</v>
      </c>
      <c r="D14" s="9">
        <v>28000</v>
      </c>
      <c r="E14" s="10" t="s">
        <v>13</v>
      </c>
      <c r="F14" s="9">
        <v>40700</v>
      </c>
      <c r="G14" s="10" t="s">
        <v>17</v>
      </c>
      <c r="H14" s="9"/>
      <c r="I14" s="9">
        <v>25000</v>
      </c>
      <c r="J14" s="10" t="s">
        <v>11</v>
      </c>
      <c r="K14" s="9">
        <v>28280</v>
      </c>
      <c r="L14" s="10" t="s">
        <v>18</v>
      </c>
      <c r="M14" s="9"/>
      <c r="N14" s="9"/>
      <c r="O14" s="9">
        <f t="shared" si="0"/>
        <v>25000</v>
      </c>
      <c r="P14" s="7" t="s">
        <v>4</v>
      </c>
    </row>
    <row r="15" spans="1:17" ht="22.9" customHeight="1" x14ac:dyDescent="0.3">
      <c r="A15" s="7" t="s">
        <v>385</v>
      </c>
      <c r="B15" s="7" t="s">
        <v>159</v>
      </c>
      <c r="C15" s="8" t="s">
        <v>10</v>
      </c>
      <c r="D15" s="9">
        <v>1600</v>
      </c>
      <c r="E15" s="10" t="s">
        <v>13</v>
      </c>
      <c r="F15" s="9"/>
      <c r="G15" s="9"/>
      <c r="H15" s="9">
        <v>1330</v>
      </c>
      <c r="I15" s="9">
        <v>1400</v>
      </c>
      <c r="J15" s="10" t="s">
        <v>11</v>
      </c>
      <c r="K15" s="9">
        <v>1610</v>
      </c>
      <c r="L15" s="10" t="s">
        <v>18</v>
      </c>
      <c r="M15" s="9"/>
      <c r="N15" s="9"/>
      <c r="O15" s="9">
        <f t="shared" si="0"/>
        <v>1330</v>
      </c>
      <c r="P15" s="11"/>
    </row>
    <row r="16" spans="1:17" ht="22.9" customHeight="1" x14ac:dyDescent="0.3">
      <c r="A16" s="7" t="s">
        <v>385</v>
      </c>
      <c r="B16" s="7" t="s">
        <v>287</v>
      </c>
      <c r="C16" s="8" t="s">
        <v>10</v>
      </c>
      <c r="D16" s="9">
        <v>12000</v>
      </c>
      <c r="E16" s="10" t="s">
        <v>13</v>
      </c>
      <c r="F16" s="9">
        <v>14300</v>
      </c>
      <c r="G16" s="10" t="s">
        <v>17</v>
      </c>
      <c r="H16" s="9"/>
      <c r="I16" s="9">
        <v>11000</v>
      </c>
      <c r="J16" s="10" t="s">
        <v>11</v>
      </c>
      <c r="K16" s="9">
        <v>12120</v>
      </c>
      <c r="L16" s="10" t="s">
        <v>18</v>
      </c>
      <c r="M16" s="9"/>
      <c r="N16" s="9"/>
      <c r="O16" s="9">
        <f t="shared" si="0"/>
        <v>11000</v>
      </c>
      <c r="P16" s="7" t="s">
        <v>375</v>
      </c>
    </row>
    <row r="17" spans="1:16" ht="22.9" customHeight="1" x14ac:dyDescent="0.3">
      <c r="A17" s="7" t="s">
        <v>382</v>
      </c>
      <c r="B17" s="7" t="s">
        <v>276</v>
      </c>
      <c r="C17" s="8" t="s">
        <v>14</v>
      </c>
      <c r="D17" s="9">
        <v>3</v>
      </c>
      <c r="E17" s="10" t="s">
        <v>383</v>
      </c>
      <c r="F17" s="9"/>
      <c r="G17" s="9"/>
      <c r="H17" s="9">
        <v>2.5</v>
      </c>
      <c r="I17" s="9"/>
      <c r="J17" s="9"/>
      <c r="K17" s="9">
        <v>3</v>
      </c>
      <c r="L17" s="10" t="s">
        <v>363</v>
      </c>
      <c r="M17" s="9"/>
      <c r="N17" s="9"/>
      <c r="O17" s="9">
        <f t="shared" si="0"/>
        <v>2.5</v>
      </c>
      <c r="P17" s="11"/>
    </row>
    <row r="18" spans="1:16" ht="22.9" customHeight="1" x14ac:dyDescent="0.3">
      <c r="A18" s="7" t="s">
        <v>367</v>
      </c>
      <c r="B18" s="7" t="s">
        <v>279</v>
      </c>
      <c r="C18" s="8" t="s">
        <v>9</v>
      </c>
      <c r="D18" s="9">
        <v>30000</v>
      </c>
      <c r="E18" s="10" t="s">
        <v>383</v>
      </c>
      <c r="F18" s="9">
        <v>50000</v>
      </c>
      <c r="G18" s="10" t="s">
        <v>277</v>
      </c>
      <c r="H18" s="9">
        <v>30000</v>
      </c>
      <c r="I18" s="9">
        <v>52000</v>
      </c>
      <c r="J18" s="10" t="s">
        <v>362</v>
      </c>
      <c r="K18" s="9">
        <v>30000</v>
      </c>
      <c r="L18" s="10" t="s">
        <v>363</v>
      </c>
      <c r="M18" s="9"/>
      <c r="N18" s="9"/>
      <c r="O18" s="9">
        <f t="shared" si="0"/>
        <v>30000</v>
      </c>
      <c r="P18" s="7" t="s">
        <v>278</v>
      </c>
    </row>
    <row r="19" spans="1:16" ht="22.9" customHeight="1" x14ac:dyDescent="0.3">
      <c r="A19" s="7" t="s">
        <v>369</v>
      </c>
      <c r="B19" s="7" t="s">
        <v>370</v>
      </c>
      <c r="C19" s="8" t="s">
        <v>14</v>
      </c>
      <c r="D19" s="9">
        <v>3971</v>
      </c>
      <c r="E19" s="10" t="s">
        <v>411</v>
      </c>
      <c r="F19" s="9"/>
      <c r="G19" s="9"/>
      <c r="H19" s="9"/>
      <c r="I19" s="9">
        <v>3971</v>
      </c>
      <c r="J19" s="10" t="s">
        <v>404</v>
      </c>
      <c r="K19" s="9"/>
      <c r="L19" s="9"/>
      <c r="M19" s="9"/>
      <c r="N19" s="9"/>
      <c r="O19" s="9">
        <f t="shared" si="0"/>
        <v>3971</v>
      </c>
      <c r="P19" s="11"/>
    </row>
    <row r="20" spans="1:16" ht="22.9" customHeight="1" x14ac:dyDescent="0.3">
      <c r="A20" s="7" t="s">
        <v>15</v>
      </c>
      <c r="B20" s="7" t="s">
        <v>403</v>
      </c>
      <c r="C20" s="8" t="s">
        <v>24</v>
      </c>
      <c r="D20" s="9">
        <v>27000</v>
      </c>
      <c r="E20" s="10" t="s">
        <v>26</v>
      </c>
      <c r="F20" s="9"/>
      <c r="G20" s="9"/>
      <c r="H20" s="9"/>
      <c r="I20" s="9"/>
      <c r="J20" s="9"/>
      <c r="K20" s="9"/>
      <c r="L20" s="9"/>
      <c r="M20" s="9"/>
      <c r="N20" s="9"/>
      <c r="O20" s="9">
        <f t="shared" si="0"/>
        <v>27000</v>
      </c>
      <c r="P20" s="11"/>
    </row>
    <row r="21" spans="1:16" ht="22.9" customHeight="1" x14ac:dyDescent="0.3">
      <c r="A21" s="7" t="s">
        <v>37</v>
      </c>
      <c r="B21" s="7" t="s">
        <v>206</v>
      </c>
      <c r="C21" s="8" t="s">
        <v>9</v>
      </c>
      <c r="D21" s="9">
        <v>-305</v>
      </c>
      <c r="E21" s="10" t="s">
        <v>400</v>
      </c>
      <c r="F21" s="9">
        <v>-265</v>
      </c>
      <c r="G21" s="10" t="s">
        <v>387</v>
      </c>
      <c r="H21" s="9">
        <v>-251</v>
      </c>
      <c r="I21" s="9">
        <v>-355</v>
      </c>
      <c r="J21" s="10" t="s">
        <v>405</v>
      </c>
      <c r="K21" s="9">
        <v>-361</v>
      </c>
      <c r="L21" s="10" t="s">
        <v>408</v>
      </c>
      <c r="M21" s="9"/>
      <c r="N21" s="9"/>
      <c r="O21" s="9">
        <f t="shared" si="0"/>
        <v>-361</v>
      </c>
      <c r="P21" s="7" t="s">
        <v>280</v>
      </c>
    </row>
    <row r="22" spans="1:16" ht="22.9" customHeight="1" x14ac:dyDescent="0.3">
      <c r="A22" s="7" t="s">
        <v>37</v>
      </c>
      <c r="B22" s="7" t="s">
        <v>161</v>
      </c>
      <c r="C22" s="8" t="s">
        <v>9</v>
      </c>
      <c r="D22" s="9">
        <v>-2450</v>
      </c>
      <c r="E22" s="10" t="s">
        <v>400</v>
      </c>
      <c r="F22" s="9">
        <v>-3500</v>
      </c>
      <c r="G22" s="10" t="s">
        <v>387</v>
      </c>
      <c r="H22" s="9">
        <v>-1852</v>
      </c>
      <c r="I22" s="9">
        <v>-2150</v>
      </c>
      <c r="J22" s="10" t="s">
        <v>405</v>
      </c>
      <c r="K22" s="9">
        <v>-4000</v>
      </c>
      <c r="L22" s="10" t="s">
        <v>408</v>
      </c>
      <c r="M22" s="9"/>
      <c r="N22" s="9"/>
      <c r="O22" s="9">
        <f t="shared" si="0"/>
        <v>-4000</v>
      </c>
      <c r="P22" s="7" t="s">
        <v>49</v>
      </c>
    </row>
    <row r="23" spans="1:16" ht="22.9" customHeight="1" x14ac:dyDescent="0.3">
      <c r="A23" s="7" t="s">
        <v>412</v>
      </c>
      <c r="B23" s="7" t="s">
        <v>413</v>
      </c>
      <c r="C23" s="8" t="s">
        <v>46</v>
      </c>
      <c r="D23" s="9"/>
      <c r="E23" s="9"/>
      <c r="F23" s="9"/>
      <c r="G23" s="9"/>
      <c r="H23" s="9"/>
      <c r="I23" s="9"/>
      <c r="J23" s="9"/>
      <c r="K23" s="9"/>
      <c r="L23" s="9"/>
      <c r="M23" s="9">
        <v>283297</v>
      </c>
      <c r="N23" s="9"/>
      <c r="O23" s="9">
        <f t="shared" ref="O23:O38" si="1">M23</f>
        <v>283297</v>
      </c>
      <c r="P23" s="7" t="s">
        <v>272</v>
      </c>
    </row>
    <row r="24" spans="1:16" ht="22.9" customHeight="1" x14ac:dyDescent="0.3">
      <c r="A24" s="7" t="s">
        <v>406</v>
      </c>
      <c r="B24" s="7" t="s">
        <v>413</v>
      </c>
      <c r="C24" s="8" t="s">
        <v>46</v>
      </c>
      <c r="D24" s="9"/>
      <c r="E24" s="9"/>
      <c r="F24" s="9"/>
      <c r="G24" s="9"/>
      <c r="H24" s="9"/>
      <c r="I24" s="9"/>
      <c r="J24" s="9"/>
      <c r="K24" s="9"/>
      <c r="L24" s="9"/>
      <c r="M24" s="9">
        <v>277642</v>
      </c>
      <c r="N24" s="9"/>
      <c r="O24" s="9">
        <f t="shared" si="1"/>
        <v>277642</v>
      </c>
      <c r="P24" s="11"/>
    </row>
    <row r="25" spans="1:16" ht="22.9" customHeight="1" x14ac:dyDescent="0.3">
      <c r="A25" s="7" t="s">
        <v>25</v>
      </c>
      <c r="B25" s="7" t="s">
        <v>413</v>
      </c>
      <c r="C25" s="8" t="s">
        <v>46</v>
      </c>
      <c r="D25" s="9"/>
      <c r="E25" s="9"/>
      <c r="F25" s="9"/>
      <c r="G25" s="9"/>
      <c r="H25" s="9"/>
      <c r="I25" s="9"/>
      <c r="J25" s="9"/>
      <c r="K25" s="9"/>
      <c r="L25" s="9"/>
      <c r="M25" s="9">
        <v>256883</v>
      </c>
      <c r="N25" s="9"/>
      <c r="O25" s="9">
        <f t="shared" si="1"/>
        <v>256883</v>
      </c>
      <c r="P25" s="11"/>
    </row>
    <row r="26" spans="1:16" ht="22.9" customHeight="1" x14ac:dyDescent="0.3">
      <c r="A26" s="7" t="s">
        <v>39</v>
      </c>
      <c r="B26" s="7" t="s">
        <v>413</v>
      </c>
      <c r="C26" s="8" t="s">
        <v>46</v>
      </c>
      <c r="D26" s="9"/>
      <c r="E26" s="9"/>
      <c r="F26" s="9"/>
      <c r="G26" s="9"/>
      <c r="H26" s="9"/>
      <c r="I26" s="9"/>
      <c r="J26" s="9"/>
      <c r="K26" s="9"/>
      <c r="L26" s="9"/>
      <c r="M26" s="9">
        <v>227614</v>
      </c>
      <c r="N26" s="9"/>
      <c r="O26" s="9">
        <f t="shared" si="1"/>
        <v>227614</v>
      </c>
      <c r="P26" s="11"/>
    </row>
    <row r="27" spans="1:16" ht="22.9" customHeight="1" x14ac:dyDescent="0.3">
      <c r="A27" s="7" t="s">
        <v>38</v>
      </c>
      <c r="B27" s="7" t="s">
        <v>413</v>
      </c>
      <c r="C27" s="8" t="s">
        <v>46</v>
      </c>
      <c r="D27" s="9"/>
      <c r="E27" s="9"/>
      <c r="F27" s="9"/>
      <c r="G27" s="9"/>
      <c r="H27" s="9"/>
      <c r="I27" s="9"/>
      <c r="J27" s="9"/>
      <c r="K27" s="9"/>
      <c r="L27" s="9"/>
      <c r="M27" s="9">
        <v>253243</v>
      </c>
      <c r="N27" s="9"/>
      <c r="O27" s="9">
        <f t="shared" si="1"/>
        <v>253243</v>
      </c>
      <c r="P27" s="11"/>
    </row>
    <row r="28" spans="1:16" ht="22.9" customHeight="1" x14ac:dyDescent="0.3">
      <c r="A28" s="7" t="s">
        <v>395</v>
      </c>
      <c r="B28" s="7" t="s">
        <v>413</v>
      </c>
      <c r="C28" s="8" t="s">
        <v>46</v>
      </c>
      <c r="D28" s="9"/>
      <c r="E28" s="9"/>
      <c r="F28" s="9"/>
      <c r="G28" s="9"/>
      <c r="H28" s="9"/>
      <c r="I28" s="9"/>
      <c r="J28" s="9"/>
      <c r="K28" s="9"/>
      <c r="L28" s="9"/>
      <c r="M28" s="9">
        <v>172068</v>
      </c>
      <c r="N28" s="9"/>
      <c r="O28" s="9">
        <f t="shared" si="1"/>
        <v>172068</v>
      </c>
      <c r="P28" s="11"/>
    </row>
    <row r="29" spans="1:16" ht="22.9" customHeight="1" x14ac:dyDescent="0.3">
      <c r="A29" s="7" t="s">
        <v>36</v>
      </c>
      <c r="B29" s="7" t="s">
        <v>413</v>
      </c>
      <c r="C29" s="8" t="s">
        <v>46</v>
      </c>
      <c r="D29" s="9"/>
      <c r="E29" s="9"/>
      <c r="F29" s="9"/>
      <c r="G29" s="9"/>
      <c r="H29" s="9"/>
      <c r="I29" s="9"/>
      <c r="J29" s="9"/>
      <c r="K29" s="9"/>
      <c r="L29" s="9"/>
      <c r="M29" s="9">
        <v>281939</v>
      </c>
      <c r="N29" s="9"/>
      <c r="O29" s="9">
        <f t="shared" si="1"/>
        <v>281939</v>
      </c>
      <c r="P29" s="11"/>
    </row>
    <row r="30" spans="1:16" ht="22.9" customHeight="1" x14ac:dyDescent="0.3">
      <c r="A30" s="7" t="s">
        <v>43</v>
      </c>
      <c r="B30" s="7" t="s">
        <v>413</v>
      </c>
      <c r="C30" s="8" t="s">
        <v>46</v>
      </c>
      <c r="D30" s="9"/>
      <c r="E30" s="9"/>
      <c r="F30" s="9"/>
      <c r="G30" s="9"/>
      <c r="H30" s="9"/>
      <c r="I30" s="9"/>
      <c r="J30" s="9"/>
      <c r="K30" s="9"/>
      <c r="L30" s="9"/>
      <c r="M30" s="9">
        <v>282536</v>
      </c>
      <c r="N30" s="9"/>
      <c r="O30" s="9">
        <f t="shared" si="1"/>
        <v>282536</v>
      </c>
      <c r="P30" s="7" t="s">
        <v>414</v>
      </c>
    </row>
    <row r="31" spans="1:16" ht="22.9" customHeight="1" x14ac:dyDescent="0.3">
      <c r="A31" s="7" t="s">
        <v>27</v>
      </c>
      <c r="B31" s="7" t="s">
        <v>413</v>
      </c>
      <c r="C31" s="8" t="s">
        <v>46</v>
      </c>
      <c r="D31" s="9"/>
      <c r="E31" s="9"/>
      <c r="F31" s="9"/>
      <c r="G31" s="9"/>
      <c r="H31" s="9"/>
      <c r="I31" s="9"/>
      <c r="J31" s="9"/>
      <c r="K31" s="9"/>
      <c r="L31" s="9"/>
      <c r="M31" s="9">
        <v>218908</v>
      </c>
      <c r="N31" s="9"/>
      <c r="O31" s="9">
        <f t="shared" si="1"/>
        <v>218908</v>
      </c>
      <c r="P31" s="11"/>
    </row>
    <row r="32" spans="1:16" ht="22.9" customHeight="1" x14ac:dyDescent="0.3">
      <c r="A32" s="7" t="s">
        <v>388</v>
      </c>
      <c r="B32" s="7" t="s">
        <v>413</v>
      </c>
      <c r="C32" s="8" t="s">
        <v>46</v>
      </c>
      <c r="D32" s="9"/>
      <c r="E32" s="9"/>
      <c r="F32" s="9"/>
      <c r="G32" s="9"/>
      <c r="H32" s="9"/>
      <c r="I32" s="9"/>
      <c r="J32" s="9"/>
      <c r="K32" s="9"/>
      <c r="L32" s="9"/>
      <c r="M32" s="9">
        <v>173995</v>
      </c>
      <c r="N32" s="9"/>
      <c r="O32" s="9">
        <f t="shared" si="1"/>
        <v>173995</v>
      </c>
      <c r="P32" s="7" t="s">
        <v>393</v>
      </c>
    </row>
    <row r="33" spans="1:16" ht="22.9" customHeight="1" x14ac:dyDescent="0.3">
      <c r="A33" s="7" t="s">
        <v>416</v>
      </c>
      <c r="B33" s="7" t="s">
        <v>413</v>
      </c>
      <c r="C33" s="8" t="s">
        <v>46</v>
      </c>
      <c r="D33" s="9"/>
      <c r="E33" s="9"/>
      <c r="F33" s="9"/>
      <c r="G33" s="9"/>
      <c r="H33" s="9"/>
      <c r="I33" s="9"/>
      <c r="J33" s="9"/>
      <c r="K33" s="9"/>
      <c r="L33" s="9"/>
      <c r="M33" s="9">
        <v>233250</v>
      </c>
      <c r="N33" s="9"/>
      <c r="O33" s="9">
        <f t="shared" si="1"/>
        <v>233250</v>
      </c>
      <c r="P33" s="11"/>
    </row>
    <row r="34" spans="1:16" ht="22.9" customHeight="1" x14ac:dyDescent="0.3">
      <c r="A34" s="7" t="s">
        <v>28</v>
      </c>
      <c r="B34" s="7" t="s">
        <v>413</v>
      </c>
      <c r="C34" s="8" t="s">
        <v>46</v>
      </c>
      <c r="D34" s="9"/>
      <c r="E34" s="9"/>
      <c r="F34" s="9"/>
      <c r="G34" s="9"/>
      <c r="H34" s="9"/>
      <c r="I34" s="9"/>
      <c r="J34" s="9"/>
      <c r="K34" s="9"/>
      <c r="L34" s="9"/>
      <c r="M34" s="9">
        <v>222306</v>
      </c>
      <c r="N34" s="9"/>
      <c r="O34" s="9">
        <f t="shared" si="1"/>
        <v>222306</v>
      </c>
      <c r="P34" s="11"/>
    </row>
    <row r="35" spans="1:16" ht="22.9" customHeight="1" x14ac:dyDescent="0.3">
      <c r="A35" s="7" t="s">
        <v>45</v>
      </c>
      <c r="B35" s="7" t="s">
        <v>413</v>
      </c>
      <c r="C35" s="8" t="s">
        <v>46</v>
      </c>
      <c r="D35" s="9"/>
      <c r="E35" s="9"/>
      <c r="F35" s="9"/>
      <c r="G35" s="9"/>
      <c r="H35" s="9"/>
      <c r="I35" s="9"/>
      <c r="J35" s="9"/>
      <c r="K35" s="9"/>
      <c r="L35" s="9"/>
      <c r="M35" s="9">
        <v>247188</v>
      </c>
      <c r="N35" s="9"/>
      <c r="O35" s="9">
        <f t="shared" si="1"/>
        <v>247188</v>
      </c>
      <c r="P35" s="7" t="s">
        <v>415</v>
      </c>
    </row>
    <row r="36" spans="1:16" ht="22.9" customHeight="1" x14ac:dyDescent="0.3">
      <c r="A36" s="7" t="s">
        <v>22</v>
      </c>
      <c r="B36" s="7" t="s">
        <v>413</v>
      </c>
      <c r="C36" s="8" t="s">
        <v>46</v>
      </c>
      <c r="D36" s="9"/>
      <c r="E36" s="9"/>
      <c r="F36" s="9"/>
      <c r="G36" s="9"/>
      <c r="H36" s="9"/>
      <c r="I36" s="9"/>
      <c r="J36" s="9"/>
      <c r="K36" s="9"/>
      <c r="L36" s="9"/>
      <c r="M36" s="9">
        <v>290939</v>
      </c>
      <c r="N36" s="9"/>
      <c r="O36" s="9">
        <f t="shared" si="1"/>
        <v>290939</v>
      </c>
      <c r="P36" s="11"/>
    </row>
    <row r="37" spans="1:16" ht="22.9" customHeight="1" x14ac:dyDescent="0.3">
      <c r="A37" s="7" t="s">
        <v>407</v>
      </c>
      <c r="B37" s="7" t="s">
        <v>413</v>
      </c>
      <c r="C37" s="8" t="s">
        <v>46</v>
      </c>
      <c r="D37" s="9"/>
      <c r="E37" s="9"/>
      <c r="F37" s="9"/>
      <c r="G37" s="9"/>
      <c r="H37" s="9"/>
      <c r="I37" s="9"/>
      <c r="J37" s="9"/>
      <c r="K37" s="9"/>
      <c r="L37" s="9"/>
      <c r="M37" s="9">
        <v>226122</v>
      </c>
      <c r="N37" s="9"/>
      <c r="O37" s="9">
        <f t="shared" si="1"/>
        <v>226122</v>
      </c>
      <c r="P37" s="11"/>
    </row>
    <row r="38" spans="1:16" ht="22.9" customHeight="1" x14ac:dyDescent="0.3">
      <c r="A38" s="7" t="s">
        <v>409</v>
      </c>
      <c r="B38" s="7" t="s">
        <v>413</v>
      </c>
      <c r="C38" s="8" t="s">
        <v>46</v>
      </c>
      <c r="D38" s="9"/>
      <c r="E38" s="9"/>
      <c r="F38" s="9"/>
      <c r="G38" s="9"/>
      <c r="H38" s="9"/>
      <c r="I38" s="9"/>
      <c r="J38" s="9"/>
      <c r="K38" s="9"/>
      <c r="L38" s="9"/>
      <c r="M38" s="9">
        <v>238936</v>
      </c>
      <c r="N38" s="9"/>
      <c r="O38" s="9">
        <f t="shared" si="1"/>
        <v>238936</v>
      </c>
      <c r="P38" s="7" t="s">
        <v>270</v>
      </c>
    </row>
    <row r="39" spans="1:16" ht="22.9" customHeight="1" x14ac:dyDescent="0.3">
      <c r="A39" s="7" t="s">
        <v>226</v>
      </c>
      <c r="B39" s="7" t="s">
        <v>227</v>
      </c>
      <c r="C39" s="8" t="s">
        <v>29</v>
      </c>
      <c r="D39" s="9">
        <v>3890</v>
      </c>
      <c r="E39" s="10" t="s">
        <v>390</v>
      </c>
      <c r="F39" s="9"/>
      <c r="G39" s="9"/>
      <c r="H39" s="9"/>
      <c r="I39" s="9">
        <v>3890</v>
      </c>
      <c r="J39" s="10" t="s">
        <v>417</v>
      </c>
      <c r="K39" s="9">
        <v>3890</v>
      </c>
      <c r="L39" s="10" t="s">
        <v>386</v>
      </c>
      <c r="M39" s="9"/>
      <c r="N39" s="9"/>
      <c r="O39" s="9">
        <f t="shared" ref="O39:O52" si="2">MIN(D39,F39,H39,I39,K39,M39,N39)</f>
        <v>3890</v>
      </c>
      <c r="P39" s="7" t="s">
        <v>271</v>
      </c>
    </row>
    <row r="40" spans="1:16" ht="22.9" customHeight="1" x14ac:dyDescent="0.3">
      <c r="A40" s="7" t="s">
        <v>269</v>
      </c>
      <c r="B40" s="7" t="s">
        <v>401</v>
      </c>
      <c r="C40" s="8" t="s">
        <v>40</v>
      </c>
      <c r="D40" s="9"/>
      <c r="E40" s="9"/>
      <c r="F40" s="9"/>
      <c r="G40" s="9"/>
      <c r="H40" s="9"/>
      <c r="I40" s="9"/>
      <c r="J40" s="9"/>
      <c r="K40" s="9"/>
      <c r="L40" s="9"/>
      <c r="M40" s="9"/>
      <c r="N40" s="9">
        <v>66538000</v>
      </c>
      <c r="O40" s="9">
        <f t="shared" si="2"/>
        <v>66538000</v>
      </c>
      <c r="P40" s="7" t="s">
        <v>233</v>
      </c>
    </row>
    <row r="41" spans="1:16" ht="22.9" customHeight="1" x14ac:dyDescent="0.3">
      <c r="A41" s="7" t="s">
        <v>269</v>
      </c>
      <c r="B41" s="7" t="s">
        <v>398</v>
      </c>
      <c r="C41" s="8" t="s">
        <v>40</v>
      </c>
      <c r="D41" s="9"/>
      <c r="E41" s="9"/>
      <c r="F41" s="9"/>
      <c r="G41" s="9"/>
      <c r="H41" s="9"/>
      <c r="I41" s="9"/>
      <c r="J41" s="9"/>
      <c r="K41" s="9"/>
      <c r="L41" s="9"/>
      <c r="M41" s="9"/>
      <c r="N41" s="9">
        <v>112342000</v>
      </c>
      <c r="O41" s="9">
        <f t="shared" si="2"/>
        <v>112342000</v>
      </c>
      <c r="P41" s="7" t="s">
        <v>233</v>
      </c>
    </row>
    <row r="42" spans="1:16" ht="22.9" customHeight="1" x14ac:dyDescent="0.3">
      <c r="A42" s="7" t="s">
        <v>269</v>
      </c>
      <c r="B42" s="7" t="s">
        <v>402</v>
      </c>
      <c r="C42" s="8" t="s">
        <v>40</v>
      </c>
      <c r="D42" s="9"/>
      <c r="E42" s="9"/>
      <c r="F42" s="9"/>
      <c r="G42" s="9"/>
      <c r="H42" s="9"/>
      <c r="I42" s="9"/>
      <c r="J42" s="9"/>
      <c r="K42" s="9"/>
      <c r="L42" s="9"/>
      <c r="M42" s="9"/>
      <c r="N42" s="9">
        <v>117766000</v>
      </c>
      <c r="O42" s="9">
        <f t="shared" si="2"/>
        <v>117766000</v>
      </c>
      <c r="P42" s="7" t="s">
        <v>233</v>
      </c>
    </row>
    <row r="43" spans="1:16" ht="22.9" customHeight="1" x14ac:dyDescent="0.3">
      <c r="A43" s="7" t="s">
        <v>269</v>
      </c>
      <c r="B43" s="7" t="s">
        <v>394</v>
      </c>
      <c r="C43" s="8" t="s">
        <v>40</v>
      </c>
      <c r="D43" s="9"/>
      <c r="E43" s="9"/>
      <c r="F43" s="9"/>
      <c r="G43" s="9"/>
      <c r="H43" s="9"/>
      <c r="I43" s="9"/>
      <c r="J43" s="9"/>
      <c r="K43" s="9"/>
      <c r="L43" s="9"/>
      <c r="M43" s="9"/>
      <c r="N43" s="9">
        <v>142069000</v>
      </c>
      <c r="O43" s="9">
        <f t="shared" si="2"/>
        <v>142069000</v>
      </c>
      <c r="P43" s="7" t="s">
        <v>233</v>
      </c>
    </row>
    <row r="44" spans="1:16" ht="22.9" customHeight="1" x14ac:dyDescent="0.3">
      <c r="A44" s="7" t="s">
        <v>51</v>
      </c>
      <c r="B44" s="11"/>
      <c r="C44" s="8" t="s">
        <v>40</v>
      </c>
      <c r="D44" s="9"/>
      <c r="E44" s="9"/>
      <c r="F44" s="9"/>
      <c r="G44" s="9"/>
      <c r="H44" s="9"/>
      <c r="I44" s="9"/>
      <c r="J44" s="9"/>
      <c r="K44" s="9"/>
      <c r="L44" s="9"/>
      <c r="M44" s="9"/>
      <c r="N44" s="9">
        <v>420000</v>
      </c>
      <c r="O44" s="9">
        <f t="shared" si="2"/>
        <v>420000</v>
      </c>
      <c r="P44" s="7" t="s">
        <v>223</v>
      </c>
    </row>
    <row r="45" spans="1:16" ht="22.9" customHeight="1" x14ac:dyDescent="0.3">
      <c r="A45" s="7" t="s">
        <v>399</v>
      </c>
      <c r="B45" s="7" t="s">
        <v>391</v>
      </c>
      <c r="C45" s="8" t="s">
        <v>40</v>
      </c>
      <c r="D45" s="9"/>
      <c r="E45" s="9"/>
      <c r="F45" s="9"/>
      <c r="G45" s="9"/>
      <c r="H45" s="9"/>
      <c r="I45" s="9"/>
      <c r="J45" s="9"/>
      <c r="K45" s="9"/>
      <c r="L45" s="9"/>
      <c r="M45" s="9"/>
      <c r="N45" s="9">
        <v>90653000</v>
      </c>
      <c r="O45" s="9">
        <f t="shared" si="2"/>
        <v>90653000</v>
      </c>
      <c r="P45" s="7" t="s">
        <v>231</v>
      </c>
    </row>
    <row r="46" spans="1:16" ht="22.9" customHeight="1" x14ac:dyDescent="0.3">
      <c r="A46" s="7" t="s">
        <v>197</v>
      </c>
      <c r="B46" s="7" t="s">
        <v>228</v>
      </c>
      <c r="C46" s="8" t="s">
        <v>40</v>
      </c>
      <c r="D46" s="9"/>
      <c r="E46" s="9"/>
      <c r="F46" s="9"/>
      <c r="G46" s="9"/>
      <c r="H46" s="9"/>
      <c r="I46" s="9"/>
      <c r="J46" s="9"/>
      <c r="K46" s="9"/>
      <c r="L46" s="9"/>
      <c r="M46" s="9"/>
      <c r="N46" s="9">
        <v>78059000</v>
      </c>
      <c r="O46" s="9">
        <f t="shared" si="2"/>
        <v>78059000</v>
      </c>
      <c r="P46" s="7" t="s">
        <v>229</v>
      </c>
    </row>
    <row r="47" spans="1:16" ht="22.9" customHeight="1" x14ac:dyDescent="0.3">
      <c r="A47" s="7" t="s">
        <v>198</v>
      </c>
      <c r="B47" s="7" t="s">
        <v>396</v>
      </c>
      <c r="C47" s="8" t="s">
        <v>40</v>
      </c>
      <c r="D47" s="9"/>
      <c r="E47" s="9"/>
      <c r="F47" s="9"/>
      <c r="G47" s="9"/>
      <c r="H47" s="9"/>
      <c r="I47" s="9"/>
      <c r="J47" s="9"/>
      <c r="K47" s="9"/>
      <c r="L47" s="9"/>
      <c r="M47" s="9"/>
      <c r="N47" s="9">
        <v>47263000</v>
      </c>
      <c r="O47" s="9">
        <f t="shared" si="2"/>
        <v>47263000</v>
      </c>
      <c r="P47" s="7" t="s">
        <v>215</v>
      </c>
    </row>
    <row r="48" spans="1:16" ht="22.9" customHeight="1" x14ac:dyDescent="0.3">
      <c r="A48" s="7" t="s">
        <v>199</v>
      </c>
      <c r="B48" s="7" t="s">
        <v>410</v>
      </c>
      <c r="C48" s="8" t="s">
        <v>40</v>
      </c>
      <c r="D48" s="9"/>
      <c r="E48" s="9"/>
      <c r="F48" s="9"/>
      <c r="G48" s="9"/>
      <c r="H48" s="9"/>
      <c r="I48" s="9"/>
      <c r="J48" s="9"/>
      <c r="K48" s="9"/>
      <c r="L48" s="9"/>
      <c r="M48" s="9"/>
      <c r="N48" s="9">
        <v>1375000</v>
      </c>
      <c r="O48" s="9">
        <f t="shared" si="2"/>
        <v>1375000</v>
      </c>
      <c r="P48" s="7" t="s">
        <v>221</v>
      </c>
    </row>
    <row r="49" spans="1:16" ht="22.9" customHeight="1" x14ac:dyDescent="0.3">
      <c r="A49" s="7" t="s">
        <v>196</v>
      </c>
      <c r="B49" s="7" t="s">
        <v>389</v>
      </c>
      <c r="C49" s="8" t="s">
        <v>40</v>
      </c>
      <c r="D49" s="9"/>
      <c r="E49" s="9"/>
      <c r="F49" s="9"/>
      <c r="G49" s="9"/>
      <c r="H49" s="9"/>
      <c r="I49" s="9"/>
      <c r="J49" s="9"/>
      <c r="K49" s="9"/>
      <c r="L49" s="9"/>
      <c r="M49" s="9"/>
      <c r="N49" s="9">
        <v>28567000</v>
      </c>
      <c r="O49" s="9">
        <f t="shared" si="2"/>
        <v>28567000</v>
      </c>
      <c r="P49" s="7" t="s">
        <v>232</v>
      </c>
    </row>
    <row r="50" spans="1:16" ht="22.9" customHeight="1" x14ac:dyDescent="0.3">
      <c r="A50" s="7" t="s">
        <v>224</v>
      </c>
      <c r="B50" s="7" t="s">
        <v>392</v>
      </c>
      <c r="C50" s="8" t="s">
        <v>40</v>
      </c>
      <c r="D50" s="9"/>
      <c r="E50" s="9"/>
      <c r="F50" s="9"/>
      <c r="G50" s="9"/>
      <c r="H50" s="9"/>
      <c r="I50" s="9"/>
      <c r="J50" s="9"/>
      <c r="K50" s="9"/>
      <c r="L50" s="9"/>
      <c r="M50" s="9"/>
      <c r="N50" s="9">
        <v>6966000</v>
      </c>
      <c r="O50" s="9">
        <f t="shared" si="2"/>
        <v>6966000</v>
      </c>
      <c r="P50" s="7" t="s">
        <v>234</v>
      </c>
    </row>
    <row r="51" spans="1:16" ht="22.9" customHeight="1" x14ac:dyDescent="0.3">
      <c r="A51" s="7" t="s">
        <v>200</v>
      </c>
      <c r="B51" s="7" t="s">
        <v>397</v>
      </c>
      <c r="C51" s="8" t="s">
        <v>40</v>
      </c>
      <c r="D51" s="9"/>
      <c r="E51" s="9"/>
      <c r="F51" s="9"/>
      <c r="G51" s="9"/>
      <c r="H51" s="9"/>
      <c r="I51" s="9"/>
      <c r="J51" s="9"/>
      <c r="K51" s="9"/>
      <c r="L51" s="9"/>
      <c r="M51" s="9"/>
      <c r="N51" s="9">
        <v>233376000</v>
      </c>
      <c r="O51" s="9">
        <f t="shared" si="2"/>
        <v>233376000</v>
      </c>
      <c r="P51" s="7" t="s">
        <v>210</v>
      </c>
    </row>
    <row r="52" spans="1:16" ht="22.9" customHeight="1" x14ac:dyDescent="0.3">
      <c r="A52" s="7" t="s">
        <v>195</v>
      </c>
      <c r="B52" s="7" t="s">
        <v>421</v>
      </c>
      <c r="C52" s="8" t="s">
        <v>40</v>
      </c>
      <c r="D52" s="9"/>
      <c r="E52" s="9"/>
      <c r="F52" s="9"/>
      <c r="G52" s="9"/>
      <c r="H52" s="9"/>
      <c r="I52" s="9"/>
      <c r="J52" s="9"/>
      <c r="K52" s="9"/>
      <c r="L52" s="9"/>
      <c r="M52" s="9"/>
      <c r="N52" s="9">
        <v>1673000</v>
      </c>
      <c r="O52" s="9">
        <f t="shared" si="2"/>
        <v>1673000</v>
      </c>
      <c r="P52" s="7" t="s">
        <v>225</v>
      </c>
    </row>
  </sheetData>
  <mergeCells count="11">
    <mergeCell ref="K3:L3"/>
    <mergeCell ref="A1:P1"/>
    <mergeCell ref="A2:P2"/>
    <mergeCell ref="A3:A4"/>
    <mergeCell ref="B3:B4"/>
    <mergeCell ref="C3:C4"/>
    <mergeCell ref="O3:O4"/>
    <mergeCell ref="P3:P4"/>
    <mergeCell ref="D3:E3"/>
    <mergeCell ref="F3:G3"/>
    <mergeCell ref="I3:J3"/>
  </mergeCells>
  <phoneticPr fontId="12" type="noConversion"/>
  <conditionalFormatting sqref="A5:P52">
    <cfRule type="containsText" dxfId="5" priority="1" stopIfTrue="1" operator="containsText" text=".">
      <formula>NOT(ISERROR(SEARCH(".",A5)))</formula>
    </cfRule>
    <cfRule type="containsText" dxfId="4" priority="2" stopIfTrue="1" operator="containsText" text=".">
      <formula>ISERROR(SEARCH(".",A5))</formula>
    </cfRule>
  </conditionalFormatting>
  <pageMargins left="0.74513888359069824" right="0" top="0.54847222566604614" bottom="0.1388888955116272" header="0.30000001192092896" footer="0.1388888955116272"/>
  <pageSetup paperSize="9" orientation="landscape"/>
  <rowBreaks count="3" manualBreakCount="3">
    <brk id="20" max="1048575" man="1"/>
    <brk id="36" max="1048575" man="1"/>
    <brk id="52" max="1048575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/>
  <dimension ref="A1"/>
  <sheetViews>
    <sheetView zoomScaleNormal="100" zoomScaleSheetLayoutView="75" workbookViewId="0"/>
  </sheetViews>
  <sheetFormatPr defaultColWidth="9" defaultRowHeight="16.5" x14ac:dyDescent="0.3"/>
  <sheetData/>
  <phoneticPr fontId="12" type="noConversion"/>
  <pageMargins left="0.69972223043441772" right="0.69972223043441772" top="0.75" bottom="0.75" header="0.30000001192092896" footer="0.30000001192092896"/>
  <pageSetup paperSize="9" fitToWidth="0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rgb="FFF19D86"/>
  </sheetPr>
  <dimension ref="A1:AX52"/>
  <sheetViews>
    <sheetView zoomScaleNormal="100" zoomScaleSheetLayoutView="75" workbookViewId="0">
      <pane xSplit="3" ySplit="4" topLeftCell="D5" activePane="bottomRight" state="frozen"/>
      <selection pane="topRight"/>
      <selection pane="bottomLeft"/>
      <selection pane="bottomRight" activeCell="A10" sqref="A10"/>
    </sheetView>
  </sheetViews>
  <sheetFormatPr defaultColWidth="9" defaultRowHeight="16.5" x14ac:dyDescent="0.3"/>
  <cols>
    <col min="1" max="1" width="41.75" style="3" customWidth="1"/>
    <col min="2" max="3" width="4.75" style="4" customWidth="1"/>
    <col min="4" max="4" width="7.75" style="5" customWidth="1"/>
    <col min="5" max="5" width="9.75" style="5" customWidth="1"/>
    <col min="6" max="6" width="7.75" style="5" customWidth="1"/>
    <col min="7" max="7" width="9.75" style="5" customWidth="1"/>
    <col min="8" max="8" width="7.75" style="5" customWidth="1"/>
    <col min="9" max="9" width="9.75" style="5" customWidth="1"/>
    <col min="10" max="10" width="7.75" style="5" customWidth="1"/>
    <col min="11" max="11" width="9.75" style="5" customWidth="1"/>
    <col min="12" max="12" width="6.75" style="3" customWidth="1"/>
    <col min="13" max="50" width="8.75" style="1" hidden="1" customWidth="1"/>
  </cols>
  <sheetData>
    <row r="1" spans="1:50" ht="30" customHeight="1" x14ac:dyDescent="0.3">
      <c r="A1" s="68" t="s">
        <v>339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</row>
    <row r="2" spans="1:50" ht="22.9" customHeight="1" x14ac:dyDescent="0.3">
      <c r="A2" s="69" t="s">
        <v>308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</row>
    <row r="3" spans="1:50" ht="22.9" customHeight="1" x14ac:dyDescent="0.3">
      <c r="A3" s="56" t="s">
        <v>332</v>
      </c>
      <c r="B3" s="56" t="s">
        <v>3</v>
      </c>
      <c r="C3" s="56" t="s">
        <v>50</v>
      </c>
      <c r="D3" s="56" t="s">
        <v>477</v>
      </c>
      <c r="E3" s="56"/>
      <c r="F3" s="56" t="s">
        <v>470</v>
      </c>
      <c r="G3" s="56"/>
      <c r="H3" s="56" t="s">
        <v>305</v>
      </c>
      <c r="I3" s="56"/>
      <c r="J3" s="56" t="s">
        <v>301</v>
      </c>
      <c r="K3" s="56"/>
      <c r="L3" s="56" t="s">
        <v>103</v>
      </c>
    </row>
    <row r="4" spans="1:50" ht="22.9" customHeight="1" x14ac:dyDescent="0.3">
      <c r="A4" s="56"/>
      <c r="B4" s="56"/>
      <c r="C4" s="56"/>
      <c r="D4" s="12" t="s">
        <v>432</v>
      </c>
      <c r="E4" s="12" t="s">
        <v>511</v>
      </c>
      <c r="F4" s="12" t="s">
        <v>432</v>
      </c>
      <c r="G4" s="12" t="s">
        <v>511</v>
      </c>
      <c r="H4" s="12" t="s">
        <v>432</v>
      </c>
      <c r="I4" s="12" t="s">
        <v>511</v>
      </c>
      <c r="J4" s="12" t="s">
        <v>432</v>
      </c>
      <c r="K4" s="12" t="s">
        <v>511</v>
      </c>
      <c r="L4" s="56"/>
      <c r="M4" s="1" t="s">
        <v>445</v>
      </c>
      <c r="N4" s="1" t="s">
        <v>430</v>
      </c>
      <c r="O4" s="1" t="s">
        <v>433</v>
      </c>
      <c r="P4" s="1" t="s">
        <v>426</v>
      </c>
      <c r="Q4" s="1" t="s">
        <v>438</v>
      </c>
      <c r="R4" s="1" t="s">
        <v>101</v>
      </c>
      <c r="S4" s="1" t="s">
        <v>554</v>
      </c>
      <c r="T4" s="1" t="s">
        <v>100</v>
      </c>
      <c r="U4" s="1" t="s">
        <v>91</v>
      </c>
      <c r="V4" s="1" t="s">
        <v>115</v>
      </c>
      <c r="W4" s="1" t="s">
        <v>548</v>
      </c>
      <c r="X4" s="1" t="s">
        <v>87</v>
      </c>
      <c r="Y4" s="1" t="s">
        <v>555</v>
      </c>
      <c r="Z4" s="1" t="s">
        <v>560</v>
      </c>
      <c r="AA4" s="1" t="s">
        <v>550</v>
      </c>
      <c r="AB4" s="1" t="s">
        <v>568</v>
      </c>
      <c r="AC4" s="1" t="s">
        <v>545</v>
      </c>
      <c r="AD4" s="1" t="s">
        <v>565</v>
      </c>
      <c r="AE4" s="1" t="s">
        <v>567</v>
      </c>
      <c r="AF4" s="1" t="s">
        <v>336</v>
      </c>
      <c r="AG4" s="1" t="s">
        <v>335</v>
      </c>
      <c r="AH4" s="1" t="s">
        <v>551</v>
      </c>
      <c r="AI4" s="1" t="s">
        <v>561</v>
      </c>
      <c r="AJ4" s="1" t="s">
        <v>569</v>
      </c>
      <c r="AK4" s="1" t="s">
        <v>570</v>
      </c>
      <c r="AL4" s="1" t="s">
        <v>571</v>
      </c>
      <c r="AM4" s="1" t="s">
        <v>573</v>
      </c>
      <c r="AN4" s="1" t="s">
        <v>585</v>
      </c>
      <c r="AO4" s="1" t="s">
        <v>581</v>
      </c>
      <c r="AP4" s="1" t="s">
        <v>586</v>
      </c>
      <c r="AQ4" s="1" t="s">
        <v>583</v>
      </c>
      <c r="AR4" s="1" t="s">
        <v>577</v>
      </c>
      <c r="AS4" s="1" t="s">
        <v>579</v>
      </c>
      <c r="AT4" s="1" t="s">
        <v>580</v>
      </c>
      <c r="AU4" s="1" t="s">
        <v>588</v>
      </c>
      <c r="AV4" s="1" t="s">
        <v>447</v>
      </c>
      <c r="AW4" s="1" t="s">
        <v>434</v>
      </c>
      <c r="AX4" s="1" t="s">
        <v>7</v>
      </c>
    </row>
    <row r="5" spans="1:50" ht="22.9" customHeight="1" x14ac:dyDescent="0.3">
      <c r="A5" s="14" t="s">
        <v>282</v>
      </c>
      <c r="B5" s="16" t="s">
        <v>31</v>
      </c>
      <c r="C5" s="22">
        <v>1</v>
      </c>
      <c r="D5" s="17">
        <f>E36</f>
        <v>1633337</v>
      </c>
      <c r="E5" s="17">
        <f>C5*D5</f>
        <v>1633337</v>
      </c>
      <c r="F5" s="17">
        <f>G36</f>
        <v>13948099</v>
      </c>
      <c r="G5" s="17">
        <f>C5*F5</f>
        <v>13948099</v>
      </c>
      <c r="H5" s="17">
        <f>I36</f>
        <v>2775713</v>
      </c>
      <c r="I5" s="17">
        <f>C5*H5</f>
        <v>2775713</v>
      </c>
      <c r="J5" s="17">
        <f>D5+F5+H5</f>
        <v>18357149</v>
      </c>
      <c r="K5" s="17">
        <f>E5+G5+I5</f>
        <v>18357149</v>
      </c>
      <c r="L5" s="15"/>
      <c r="P5" s="1">
        <v>1</v>
      </c>
      <c r="Q5" s="1">
        <f>C5*Q36</f>
        <v>2775713</v>
      </c>
      <c r="R5" s="1">
        <f>C5*R36</f>
        <v>0</v>
      </c>
      <c r="S5" s="1">
        <f>C5*S36</f>
        <v>0</v>
      </c>
      <c r="T5" s="1">
        <f>C5*T36</f>
        <v>0</v>
      </c>
      <c r="U5" s="1">
        <f>C5*U36</f>
        <v>0</v>
      </c>
      <c r="V5" s="1">
        <f>C5*V36</f>
        <v>0</v>
      </c>
      <c r="W5" s="1">
        <f>C5*W36</f>
        <v>0</v>
      </c>
      <c r="X5" s="1">
        <f>C5*X36</f>
        <v>0</v>
      </c>
      <c r="Y5" s="1">
        <f>C5*Y36</f>
        <v>0</v>
      </c>
      <c r="Z5" s="1">
        <f>C5*Z36</f>
        <v>0</v>
      </c>
      <c r="AA5" s="1">
        <f>C5*AA36</f>
        <v>0</v>
      </c>
      <c r="AB5" s="1">
        <f>C5*AB36</f>
        <v>0</v>
      </c>
      <c r="AC5" s="1">
        <f>C5*AC36</f>
        <v>0</v>
      </c>
      <c r="AD5" s="1">
        <f>C5*AD36</f>
        <v>0</v>
      </c>
      <c r="AE5" s="1">
        <f>C5*AE36</f>
        <v>0</v>
      </c>
      <c r="AF5" s="1">
        <f>C5*AF36</f>
        <v>-860244</v>
      </c>
      <c r="AG5" s="1">
        <f>C5*AG36</f>
        <v>0</v>
      </c>
      <c r="AH5" s="1">
        <f>C5*AH36</f>
        <v>0</v>
      </c>
      <c r="AI5" s="1">
        <f>C5*AI36</f>
        <v>0</v>
      </c>
      <c r="AJ5" s="1">
        <f>C5*AJ36</f>
        <v>0</v>
      </c>
      <c r="AK5" s="1">
        <f>C5*AK36</f>
        <v>0</v>
      </c>
      <c r="AL5" s="1">
        <f>C5*AL36</f>
        <v>0</v>
      </c>
      <c r="AM5" s="1">
        <f>C5*AM36</f>
        <v>0</v>
      </c>
      <c r="AN5" s="1">
        <f>C5*AN36</f>
        <v>0</v>
      </c>
      <c r="AO5" s="1">
        <f>C5*AO36</f>
        <v>0</v>
      </c>
      <c r="AP5" s="1">
        <f>C5*AP36</f>
        <v>0</v>
      </c>
      <c r="AQ5" s="1">
        <f>C5*AQ36</f>
        <v>0</v>
      </c>
      <c r="AR5" s="1">
        <f>C5*AR36</f>
        <v>0</v>
      </c>
      <c r="AS5" s="1">
        <f>C5*AS36</f>
        <v>0</v>
      </c>
      <c r="AT5" s="1">
        <f>C5*AT36</f>
        <v>0</v>
      </c>
      <c r="AU5" s="1">
        <f>C5*AU36</f>
        <v>0</v>
      </c>
    </row>
    <row r="6" spans="1:50" ht="22.9" customHeight="1" x14ac:dyDescent="0.3">
      <c r="A6" s="14" t="s">
        <v>281</v>
      </c>
      <c r="B6" s="16" t="s">
        <v>31</v>
      </c>
      <c r="C6" s="22">
        <v>1</v>
      </c>
      <c r="D6" s="17">
        <f>E52</f>
        <v>1201557</v>
      </c>
      <c r="E6" s="17">
        <f>C6*D6</f>
        <v>1201557</v>
      </c>
      <c r="F6" s="17">
        <f>G52</f>
        <v>11075022</v>
      </c>
      <c r="G6" s="17">
        <f>C6*F6</f>
        <v>11075022</v>
      </c>
      <c r="H6" s="17">
        <f>I52</f>
        <v>2004618</v>
      </c>
      <c r="I6" s="17">
        <f>C6*H6</f>
        <v>2004618</v>
      </c>
      <c r="J6" s="17">
        <f>D6+F6+H6</f>
        <v>14281197</v>
      </c>
      <c r="K6" s="17">
        <f>E6+G6+I6</f>
        <v>14281197</v>
      </c>
      <c r="L6" s="15"/>
      <c r="P6" s="1">
        <v>1</v>
      </c>
      <c r="Q6" s="1">
        <f>C6*Q52</f>
        <v>2004618</v>
      </c>
      <c r="R6" s="1">
        <f>C6*R52</f>
        <v>0</v>
      </c>
      <c r="S6" s="1">
        <f>C6*S52</f>
        <v>0</v>
      </c>
      <c r="T6" s="1">
        <f>C6*T52</f>
        <v>0</v>
      </c>
      <c r="U6" s="1">
        <f>C6*U52</f>
        <v>0</v>
      </c>
      <c r="V6" s="1">
        <f>C6*V52</f>
        <v>0</v>
      </c>
      <c r="W6" s="1">
        <f>C6*W52</f>
        <v>0</v>
      </c>
      <c r="X6" s="1">
        <f>C6*X52</f>
        <v>0</v>
      </c>
      <c r="Y6" s="1">
        <f>C6*Y52</f>
        <v>0</v>
      </c>
      <c r="Z6" s="1">
        <f>C6*Z52</f>
        <v>0</v>
      </c>
      <c r="AA6" s="1">
        <f>C6*AA52</f>
        <v>0</v>
      </c>
      <c r="AB6" s="1">
        <f>C6*AB52</f>
        <v>0</v>
      </c>
      <c r="AC6" s="1">
        <f>C6*AC52</f>
        <v>0</v>
      </c>
      <c r="AD6" s="1">
        <f>C6*AD52</f>
        <v>0</v>
      </c>
      <c r="AE6" s="1">
        <f>C6*AE52</f>
        <v>0</v>
      </c>
      <c r="AF6" s="1">
        <f>C6*AF52</f>
        <v>-797784</v>
      </c>
      <c r="AG6" s="1">
        <f>C6*AG52</f>
        <v>0</v>
      </c>
      <c r="AH6" s="1">
        <f>C6*AH52</f>
        <v>0</v>
      </c>
      <c r="AI6" s="1">
        <f>C6*AI52</f>
        <v>0</v>
      </c>
      <c r="AJ6" s="1">
        <f>C6*AJ52</f>
        <v>0</v>
      </c>
      <c r="AK6" s="1">
        <f>C6*AK52</f>
        <v>0</v>
      </c>
      <c r="AL6" s="1">
        <f>C6*AL52</f>
        <v>0</v>
      </c>
      <c r="AM6" s="1">
        <f>C6*AM52</f>
        <v>0</v>
      </c>
      <c r="AN6" s="1">
        <f>C6*AN52</f>
        <v>0</v>
      </c>
      <c r="AO6" s="1">
        <f>C6*AO52</f>
        <v>0</v>
      </c>
      <c r="AP6" s="1">
        <f>C6*AP52</f>
        <v>0</v>
      </c>
      <c r="AQ6" s="1">
        <f>C6*AQ52</f>
        <v>0</v>
      </c>
      <c r="AR6" s="1">
        <f>C6*AR52</f>
        <v>0</v>
      </c>
      <c r="AS6" s="1">
        <f>C6*AS52</f>
        <v>0</v>
      </c>
      <c r="AT6" s="1">
        <f>C6*AT52</f>
        <v>0</v>
      </c>
      <c r="AU6" s="1">
        <f>C6*AU52</f>
        <v>0</v>
      </c>
    </row>
    <row r="7" spans="1:50" ht="22.9" customHeight="1" x14ac:dyDescent="0.3">
      <c r="A7" s="15"/>
      <c r="B7" s="22"/>
      <c r="C7" s="22"/>
      <c r="D7" s="17"/>
      <c r="E7" s="17"/>
      <c r="F7" s="17"/>
      <c r="G7" s="17"/>
      <c r="H7" s="17"/>
      <c r="I7" s="17"/>
      <c r="J7" s="17"/>
      <c r="K7" s="17"/>
      <c r="L7" s="15"/>
    </row>
    <row r="8" spans="1:50" ht="22.9" customHeight="1" x14ac:dyDescent="0.3">
      <c r="A8" s="15"/>
      <c r="B8" s="22"/>
      <c r="C8" s="22"/>
      <c r="D8" s="17"/>
      <c r="E8" s="17"/>
      <c r="F8" s="17"/>
      <c r="G8" s="17"/>
      <c r="H8" s="17"/>
      <c r="I8" s="17"/>
      <c r="J8" s="17"/>
      <c r="K8" s="17"/>
      <c r="L8" s="15"/>
    </row>
    <row r="9" spans="1:50" ht="22.9" customHeight="1" x14ac:dyDescent="0.3">
      <c r="A9" s="15"/>
      <c r="B9" s="22"/>
      <c r="C9" s="22"/>
      <c r="D9" s="17"/>
      <c r="E9" s="17"/>
      <c r="F9" s="17"/>
      <c r="G9" s="17"/>
      <c r="H9" s="17"/>
      <c r="I9" s="17"/>
      <c r="J9" s="17"/>
      <c r="K9" s="17"/>
      <c r="L9" s="15"/>
    </row>
    <row r="10" spans="1:50" ht="22.9" customHeight="1" x14ac:dyDescent="0.3">
      <c r="A10" s="15"/>
      <c r="B10" s="22"/>
      <c r="C10" s="22"/>
      <c r="D10" s="17"/>
      <c r="E10" s="17"/>
      <c r="F10" s="17"/>
      <c r="G10" s="17"/>
      <c r="H10" s="17"/>
      <c r="I10" s="17"/>
      <c r="J10" s="17"/>
      <c r="K10" s="17"/>
      <c r="L10" s="15"/>
    </row>
    <row r="11" spans="1:50" ht="22.9" customHeight="1" x14ac:dyDescent="0.3">
      <c r="A11" s="15"/>
      <c r="B11" s="22"/>
      <c r="C11" s="22"/>
      <c r="D11" s="17"/>
      <c r="E11" s="17"/>
      <c r="F11" s="17"/>
      <c r="G11" s="17"/>
      <c r="H11" s="17"/>
      <c r="I11" s="17"/>
      <c r="J11" s="17"/>
      <c r="K11" s="17"/>
      <c r="L11" s="15"/>
    </row>
    <row r="12" spans="1:50" ht="22.9" customHeight="1" x14ac:dyDescent="0.3">
      <c r="A12" s="15"/>
      <c r="B12" s="22"/>
      <c r="C12" s="22"/>
      <c r="D12" s="17"/>
      <c r="E12" s="17"/>
      <c r="F12" s="17"/>
      <c r="G12" s="17"/>
      <c r="H12" s="17"/>
      <c r="I12" s="17"/>
      <c r="J12" s="17"/>
      <c r="K12" s="17"/>
      <c r="L12" s="15"/>
    </row>
    <row r="13" spans="1:50" ht="22.9" customHeight="1" x14ac:dyDescent="0.3">
      <c r="A13" s="15"/>
      <c r="B13" s="22"/>
      <c r="C13" s="22"/>
      <c r="D13" s="17"/>
      <c r="E13" s="17"/>
      <c r="F13" s="17"/>
      <c r="G13" s="17"/>
      <c r="H13" s="17"/>
      <c r="I13" s="17"/>
      <c r="J13" s="17"/>
      <c r="K13" s="17"/>
      <c r="L13" s="15"/>
    </row>
    <row r="14" spans="1:50" ht="22.9" customHeight="1" x14ac:dyDescent="0.3">
      <c r="A14" s="15"/>
      <c r="B14" s="22"/>
      <c r="C14" s="22"/>
      <c r="D14" s="17"/>
      <c r="E14" s="17"/>
      <c r="F14" s="17"/>
      <c r="G14" s="17"/>
      <c r="H14" s="17"/>
      <c r="I14" s="17"/>
      <c r="J14" s="17"/>
      <c r="K14" s="17"/>
      <c r="L14" s="15"/>
    </row>
    <row r="15" spans="1:50" ht="22.9" customHeight="1" x14ac:dyDescent="0.3">
      <c r="A15" s="15"/>
      <c r="B15" s="22"/>
      <c r="C15" s="22"/>
      <c r="D15" s="17"/>
      <c r="E15" s="17"/>
      <c r="F15" s="17"/>
      <c r="G15" s="17"/>
      <c r="H15" s="17"/>
      <c r="I15" s="17"/>
      <c r="J15" s="17"/>
      <c r="K15" s="17"/>
      <c r="L15" s="15"/>
    </row>
    <row r="16" spans="1:50" ht="22.9" customHeight="1" x14ac:dyDescent="0.3">
      <c r="A16" s="15"/>
      <c r="B16" s="22"/>
      <c r="C16" s="22"/>
      <c r="D16" s="17"/>
      <c r="E16" s="17"/>
      <c r="F16" s="17"/>
      <c r="G16" s="17"/>
      <c r="H16" s="17"/>
      <c r="I16" s="17"/>
      <c r="J16" s="17"/>
      <c r="K16" s="17"/>
      <c r="L16" s="15"/>
    </row>
    <row r="17" spans="1:50" ht="22.9" customHeight="1" x14ac:dyDescent="0.3">
      <c r="A17" s="15"/>
      <c r="B17" s="22"/>
      <c r="C17" s="22"/>
      <c r="D17" s="17"/>
      <c r="E17" s="17"/>
      <c r="F17" s="17"/>
      <c r="G17" s="17"/>
      <c r="H17" s="17"/>
      <c r="I17" s="17"/>
      <c r="J17" s="17"/>
      <c r="K17" s="17"/>
      <c r="L17" s="15"/>
    </row>
    <row r="18" spans="1:50" ht="22.9" customHeight="1" x14ac:dyDescent="0.3">
      <c r="A18" s="15"/>
      <c r="B18" s="22"/>
      <c r="C18" s="22"/>
      <c r="D18" s="17"/>
      <c r="E18" s="17"/>
      <c r="F18" s="17"/>
      <c r="G18" s="17"/>
      <c r="H18" s="17"/>
      <c r="I18" s="17"/>
      <c r="J18" s="17"/>
      <c r="K18" s="17"/>
      <c r="L18" s="15"/>
    </row>
    <row r="19" spans="1:50" ht="22.9" customHeight="1" x14ac:dyDescent="0.3">
      <c r="A19" s="15"/>
      <c r="B19" s="22"/>
      <c r="C19" s="22"/>
      <c r="D19" s="17"/>
      <c r="E19" s="17"/>
      <c r="F19" s="17"/>
      <c r="G19" s="17"/>
      <c r="H19" s="17"/>
      <c r="I19" s="17"/>
      <c r="J19" s="17"/>
      <c r="K19" s="17"/>
      <c r="L19" s="15"/>
    </row>
    <row r="20" spans="1:50" ht="22.9" customHeight="1" x14ac:dyDescent="0.3">
      <c r="A20" s="18" t="s">
        <v>439</v>
      </c>
      <c r="B20" s="20"/>
      <c r="C20" s="20"/>
      <c r="D20" s="21"/>
      <c r="E20" s="21">
        <f>SUMIF(P5:P6,"1",E5:E6)</f>
        <v>2834894</v>
      </c>
      <c r="F20" s="21"/>
      <c r="G20" s="21">
        <f>SUMIF(P5:P6,"1",G5:G6)</f>
        <v>25023121</v>
      </c>
      <c r="H20" s="21"/>
      <c r="I20" s="21">
        <f>SUMIF(P5:P6,"1",I5:I6)</f>
        <v>4780331</v>
      </c>
      <c r="J20" s="21"/>
      <c r="K20" s="21">
        <f>E20+G20+I20</f>
        <v>32638346</v>
      </c>
      <c r="L20" s="19"/>
      <c r="Q20" s="1">
        <f t="shared" ref="Q20:AX20" si="0">SUM(Q5:Q6)</f>
        <v>4780331</v>
      </c>
      <c r="R20" s="1">
        <f t="shared" si="0"/>
        <v>0</v>
      </c>
      <c r="S20" s="1">
        <f t="shared" si="0"/>
        <v>0</v>
      </c>
      <c r="T20" s="1">
        <f t="shared" si="0"/>
        <v>0</v>
      </c>
      <c r="U20" s="1">
        <f t="shared" si="0"/>
        <v>0</v>
      </c>
      <c r="V20" s="1">
        <f t="shared" si="0"/>
        <v>0</v>
      </c>
      <c r="W20" s="1">
        <f t="shared" si="0"/>
        <v>0</v>
      </c>
      <c r="X20" s="1">
        <f t="shared" si="0"/>
        <v>0</v>
      </c>
      <c r="Y20" s="1">
        <f t="shared" si="0"/>
        <v>0</v>
      </c>
      <c r="Z20" s="1">
        <f t="shared" si="0"/>
        <v>0</v>
      </c>
      <c r="AA20" s="1">
        <f t="shared" si="0"/>
        <v>0</v>
      </c>
      <c r="AB20" s="1">
        <f t="shared" si="0"/>
        <v>0</v>
      </c>
      <c r="AC20" s="1">
        <f t="shared" si="0"/>
        <v>0</v>
      </c>
      <c r="AD20" s="1">
        <f t="shared" si="0"/>
        <v>0</v>
      </c>
      <c r="AE20" s="1">
        <f t="shared" si="0"/>
        <v>0</v>
      </c>
      <c r="AF20" s="1">
        <f t="shared" si="0"/>
        <v>-1658028</v>
      </c>
      <c r="AG20" s="1">
        <f t="shared" si="0"/>
        <v>0</v>
      </c>
      <c r="AH20" s="1">
        <f t="shared" si="0"/>
        <v>0</v>
      </c>
      <c r="AI20" s="1">
        <f t="shared" si="0"/>
        <v>0</v>
      </c>
      <c r="AJ20" s="1">
        <f t="shared" si="0"/>
        <v>0</v>
      </c>
      <c r="AK20" s="1">
        <f t="shared" si="0"/>
        <v>0</v>
      </c>
      <c r="AL20" s="1">
        <f t="shared" si="0"/>
        <v>0</v>
      </c>
      <c r="AM20" s="1">
        <f t="shared" si="0"/>
        <v>0</v>
      </c>
      <c r="AN20" s="1">
        <f t="shared" si="0"/>
        <v>0</v>
      </c>
      <c r="AO20" s="1">
        <f t="shared" si="0"/>
        <v>0</v>
      </c>
      <c r="AP20" s="1">
        <f t="shared" si="0"/>
        <v>0</v>
      </c>
      <c r="AQ20" s="1">
        <f t="shared" si="0"/>
        <v>0</v>
      </c>
      <c r="AR20" s="1">
        <f t="shared" si="0"/>
        <v>0</v>
      </c>
      <c r="AS20" s="1">
        <f t="shared" si="0"/>
        <v>0</v>
      </c>
      <c r="AT20" s="1">
        <f t="shared" si="0"/>
        <v>0</v>
      </c>
      <c r="AU20" s="1">
        <f t="shared" si="0"/>
        <v>0</v>
      </c>
      <c r="AV20" s="1">
        <f t="shared" si="0"/>
        <v>0</v>
      </c>
      <c r="AW20" s="1">
        <f t="shared" si="0"/>
        <v>0</v>
      </c>
      <c r="AX20" s="1">
        <f t="shared" si="0"/>
        <v>0</v>
      </c>
    </row>
    <row r="21" spans="1:50" ht="22.9" customHeight="1" x14ac:dyDescent="0.3">
      <c r="A21" s="14" t="s">
        <v>282</v>
      </c>
      <c r="B21" s="22"/>
      <c r="C21" s="22"/>
      <c r="D21" s="17"/>
      <c r="E21" s="17"/>
      <c r="F21" s="17"/>
      <c r="G21" s="17"/>
      <c r="H21" s="17"/>
      <c r="I21" s="17"/>
      <c r="J21" s="17"/>
      <c r="K21" s="17"/>
      <c r="L21" s="15"/>
    </row>
    <row r="22" spans="1:50" ht="22.9" customHeight="1" x14ac:dyDescent="0.3">
      <c r="A22" s="14" t="s">
        <v>333</v>
      </c>
      <c r="B22" s="16" t="s">
        <v>31</v>
      </c>
      <c r="C22" s="22">
        <v>1</v>
      </c>
      <c r="D22" s="17">
        <f>내역서!F20</f>
        <v>49196</v>
      </c>
      <c r="E22" s="17">
        <f t="shared" ref="E22:E27" si="1">C22*D22</f>
        <v>49196</v>
      </c>
      <c r="F22" s="17">
        <f>내역서!H20</f>
        <v>156891</v>
      </c>
      <c r="G22" s="17">
        <f t="shared" ref="G22:G27" si="2">C22*F22</f>
        <v>156891</v>
      </c>
      <c r="H22" s="17">
        <f>내역서!J20</f>
        <v>0</v>
      </c>
      <c r="I22" s="17">
        <f t="shared" ref="I22:I27" si="3">C22*H22</f>
        <v>0</v>
      </c>
      <c r="J22" s="17">
        <f t="shared" ref="J22:K27" si="4">D22+F22+H22</f>
        <v>206087</v>
      </c>
      <c r="K22" s="17">
        <f t="shared" si="4"/>
        <v>206087</v>
      </c>
      <c r="L22" s="15"/>
      <c r="P22" s="1">
        <v>1</v>
      </c>
      <c r="Q22" s="1">
        <f>C22*내역서!R20</f>
        <v>0</v>
      </c>
      <c r="R22" s="1">
        <f>C22*내역서!S20</f>
        <v>0</v>
      </c>
      <c r="S22" s="1">
        <f>C22*내역서!T20</f>
        <v>0</v>
      </c>
      <c r="T22" s="1">
        <f>C22*내역서!U20</f>
        <v>0</v>
      </c>
      <c r="U22" s="1">
        <f>C22*내역서!V20</f>
        <v>0</v>
      </c>
      <c r="V22" s="1">
        <f>C22*내역서!W20</f>
        <v>0</v>
      </c>
      <c r="W22" s="1">
        <f>C22*내역서!X20</f>
        <v>0</v>
      </c>
      <c r="X22" s="1">
        <f>C22*내역서!Y20</f>
        <v>0</v>
      </c>
      <c r="Y22" s="1">
        <f>C22*내역서!Z20</f>
        <v>0</v>
      </c>
      <c r="Z22" s="1">
        <f>C22*내역서!AA20</f>
        <v>0</v>
      </c>
      <c r="AA22" s="1">
        <f>C22*내역서!AB20</f>
        <v>0</v>
      </c>
      <c r="AB22" s="1">
        <f>C22*내역서!AC20</f>
        <v>0</v>
      </c>
      <c r="AC22" s="1">
        <f>C22*내역서!AD20</f>
        <v>0</v>
      </c>
      <c r="AD22" s="1">
        <f>C22*내역서!AE20</f>
        <v>0</v>
      </c>
      <c r="AE22" s="1">
        <f>C22*내역서!AF20</f>
        <v>0</v>
      </c>
      <c r="AF22" s="1">
        <f>C22*내역서!AG20</f>
        <v>0</v>
      </c>
      <c r="AG22" s="1">
        <f>C22*내역서!AH20</f>
        <v>0</v>
      </c>
      <c r="AH22" s="1">
        <f>C22*내역서!AI20</f>
        <v>0</v>
      </c>
      <c r="AI22" s="1">
        <f>C22*내역서!AJ20</f>
        <v>0</v>
      </c>
      <c r="AJ22" s="1">
        <f>C22*내역서!AK20</f>
        <v>0</v>
      </c>
      <c r="AK22" s="1">
        <f>C22*내역서!AL20</f>
        <v>0</v>
      </c>
      <c r="AL22" s="1">
        <f>C22*내역서!AM20</f>
        <v>0</v>
      </c>
      <c r="AM22" s="1">
        <f>C22*내역서!AN20</f>
        <v>0</v>
      </c>
      <c r="AN22" s="1">
        <f>C22*내역서!AO20</f>
        <v>0</v>
      </c>
      <c r="AO22" s="1">
        <f>C22*내역서!AP20</f>
        <v>0</v>
      </c>
      <c r="AP22" s="1">
        <f>C22*내역서!AQ20</f>
        <v>0</v>
      </c>
      <c r="AQ22" s="1">
        <f>C22*내역서!AR20</f>
        <v>0</v>
      </c>
      <c r="AR22" s="1">
        <f>C22*내역서!AS20</f>
        <v>0</v>
      </c>
      <c r="AS22" s="1">
        <f>C22*내역서!AT20</f>
        <v>0</v>
      </c>
      <c r="AT22" s="1">
        <f>C22*내역서!AU20</f>
        <v>0</v>
      </c>
      <c r="AU22" s="1">
        <f>C22*내역서!AV20</f>
        <v>0</v>
      </c>
    </row>
    <row r="23" spans="1:50" ht="22.9" customHeight="1" x14ac:dyDescent="0.3">
      <c r="A23" s="14" t="s">
        <v>334</v>
      </c>
      <c r="B23" s="16" t="s">
        <v>31</v>
      </c>
      <c r="C23" s="22">
        <v>1</v>
      </c>
      <c r="D23" s="17">
        <f>내역서!F36</f>
        <v>60543</v>
      </c>
      <c r="E23" s="17">
        <f t="shared" si="1"/>
        <v>60543</v>
      </c>
      <c r="F23" s="17">
        <f>내역서!H36</f>
        <v>55830</v>
      </c>
      <c r="G23" s="17">
        <f t="shared" si="2"/>
        <v>55830</v>
      </c>
      <c r="H23" s="17">
        <f>내역서!J36</f>
        <v>7434</v>
      </c>
      <c r="I23" s="17">
        <f t="shared" si="3"/>
        <v>7434</v>
      </c>
      <c r="J23" s="17">
        <f t="shared" si="4"/>
        <v>123807</v>
      </c>
      <c r="K23" s="17">
        <f t="shared" si="4"/>
        <v>123807</v>
      </c>
      <c r="L23" s="15"/>
      <c r="P23" s="1">
        <v>1</v>
      </c>
      <c r="Q23" s="1">
        <f>C23*내역서!R36</f>
        <v>7434</v>
      </c>
      <c r="R23" s="1">
        <f>C23*내역서!S36</f>
        <v>0</v>
      </c>
      <c r="S23" s="1">
        <f>C23*내역서!T36</f>
        <v>0</v>
      </c>
      <c r="T23" s="1">
        <f>C23*내역서!U36</f>
        <v>0</v>
      </c>
      <c r="U23" s="1">
        <f>C23*내역서!V36</f>
        <v>0</v>
      </c>
      <c r="V23" s="1">
        <f>C23*내역서!W36</f>
        <v>0</v>
      </c>
      <c r="W23" s="1">
        <f>C23*내역서!X36</f>
        <v>0</v>
      </c>
      <c r="X23" s="1">
        <f>C23*내역서!Y36</f>
        <v>0</v>
      </c>
      <c r="Y23" s="1">
        <f>C23*내역서!Z36</f>
        <v>0</v>
      </c>
      <c r="Z23" s="1">
        <f>C23*내역서!AA36</f>
        <v>0</v>
      </c>
      <c r="AA23" s="1">
        <f>C23*내역서!AB36</f>
        <v>0</v>
      </c>
      <c r="AB23" s="1">
        <f>C23*내역서!AC36</f>
        <v>0</v>
      </c>
      <c r="AC23" s="1">
        <f>C23*내역서!AD36</f>
        <v>0</v>
      </c>
      <c r="AD23" s="1">
        <f>C23*내역서!AE36</f>
        <v>0</v>
      </c>
      <c r="AE23" s="1">
        <f>C23*내역서!AF36</f>
        <v>0</v>
      </c>
      <c r="AF23" s="1">
        <f>C23*내역서!AG36</f>
        <v>0</v>
      </c>
      <c r="AG23" s="1">
        <f>C23*내역서!AH36</f>
        <v>0</v>
      </c>
      <c r="AH23" s="1">
        <f>C23*내역서!AI36</f>
        <v>0</v>
      </c>
      <c r="AI23" s="1">
        <f>C23*내역서!AJ36</f>
        <v>0</v>
      </c>
      <c r="AJ23" s="1">
        <f>C23*내역서!AK36</f>
        <v>0</v>
      </c>
      <c r="AK23" s="1">
        <f>C23*내역서!AL36</f>
        <v>0</v>
      </c>
      <c r="AL23" s="1">
        <f>C23*내역서!AM36</f>
        <v>0</v>
      </c>
      <c r="AM23" s="1">
        <f>C23*내역서!AN36</f>
        <v>0</v>
      </c>
      <c r="AN23" s="1">
        <f>C23*내역서!AO36</f>
        <v>0</v>
      </c>
      <c r="AO23" s="1">
        <f>C23*내역서!AP36</f>
        <v>0</v>
      </c>
      <c r="AP23" s="1">
        <f>C23*내역서!AQ36</f>
        <v>0</v>
      </c>
      <c r="AQ23" s="1">
        <f>C23*내역서!AR36</f>
        <v>0</v>
      </c>
      <c r="AR23" s="1">
        <f>C23*내역서!AS36</f>
        <v>0</v>
      </c>
      <c r="AS23" s="1">
        <f>C23*내역서!AT36</f>
        <v>0</v>
      </c>
      <c r="AT23" s="1">
        <f>C23*내역서!AU36</f>
        <v>0</v>
      </c>
      <c r="AU23" s="1">
        <f>C23*내역서!AV36</f>
        <v>0</v>
      </c>
    </row>
    <row r="24" spans="1:50" ht="22.9" customHeight="1" x14ac:dyDescent="0.3">
      <c r="A24" s="14" t="s">
        <v>342</v>
      </c>
      <c r="B24" s="16" t="s">
        <v>31</v>
      </c>
      <c r="C24" s="22">
        <v>1</v>
      </c>
      <c r="D24" s="17">
        <f>내역서!F68</f>
        <v>1523598</v>
      </c>
      <c r="E24" s="17">
        <f t="shared" si="1"/>
        <v>1523598</v>
      </c>
      <c r="F24" s="17">
        <f>내역서!H68</f>
        <v>13735378</v>
      </c>
      <c r="G24" s="17">
        <f t="shared" si="2"/>
        <v>13735378</v>
      </c>
      <c r="H24" s="17">
        <f>내역서!J68</f>
        <v>2005658</v>
      </c>
      <c r="I24" s="17">
        <f t="shared" si="3"/>
        <v>2005658</v>
      </c>
      <c r="J24" s="17">
        <f t="shared" si="4"/>
        <v>17264634</v>
      </c>
      <c r="K24" s="17">
        <f t="shared" si="4"/>
        <v>17264634</v>
      </c>
      <c r="L24" s="15"/>
      <c r="P24" s="1">
        <v>1</v>
      </c>
      <c r="Q24" s="1">
        <f>C24*내역서!R68</f>
        <v>2005658</v>
      </c>
      <c r="R24" s="1">
        <f>C24*내역서!S68</f>
        <v>0</v>
      </c>
      <c r="S24" s="1">
        <f>C24*내역서!T68</f>
        <v>0</v>
      </c>
      <c r="T24" s="1">
        <f>C24*내역서!U68</f>
        <v>0</v>
      </c>
      <c r="U24" s="1">
        <f>C24*내역서!V68</f>
        <v>0</v>
      </c>
      <c r="V24" s="1">
        <f>C24*내역서!W68</f>
        <v>0</v>
      </c>
      <c r="W24" s="1">
        <f>C24*내역서!X68</f>
        <v>0</v>
      </c>
      <c r="X24" s="1">
        <f>C24*내역서!Y68</f>
        <v>0</v>
      </c>
      <c r="Y24" s="1">
        <f>C24*내역서!Z68</f>
        <v>0</v>
      </c>
      <c r="Z24" s="1">
        <f>C24*내역서!AA68</f>
        <v>0</v>
      </c>
      <c r="AA24" s="1">
        <f>C24*내역서!AB68</f>
        <v>0</v>
      </c>
      <c r="AB24" s="1">
        <f>C24*내역서!AC68</f>
        <v>0</v>
      </c>
      <c r="AC24" s="1">
        <f>C24*내역서!AD68</f>
        <v>0</v>
      </c>
      <c r="AD24" s="1">
        <f>C24*내역서!AE68</f>
        <v>0</v>
      </c>
      <c r="AE24" s="1">
        <f>C24*내역서!AF68</f>
        <v>0</v>
      </c>
      <c r="AF24" s="1">
        <f>C24*내역서!AG68</f>
        <v>0</v>
      </c>
      <c r="AG24" s="1">
        <f>C24*내역서!AH68</f>
        <v>0</v>
      </c>
      <c r="AH24" s="1">
        <f>C24*내역서!AI68</f>
        <v>0</v>
      </c>
      <c r="AI24" s="1">
        <f>C24*내역서!AJ68</f>
        <v>0</v>
      </c>
      <c r="AJ24" s="1">
        <f>C24*내역서!AK68</f>
        <v>0</v>
      </c>
      <c r="AK24" s="1">
        <f>C24*내역서!AL68</f>
        <v>0</v>
      </c>
      <c r="AL24" s="1">
        <f>C24*내역서!AM68</f>
        <v>0</v>
      </c>
      <c r="AM24" s="1">
        <f>C24*내역서!AN68</f>
        <v>0</v>
      </c>
      <c r="AN24" s="1">
        <f>C24*내역서!AO68</f>
        <v>0</v>
      </c>
      <c r="AO24" s="1">
        <f>C24*내역서!AP68</f>
        <v>0</v>
      </c>
      <c r="AP24" s="1">
        <f>C24*내역서!AQ68</f>
        <v>0</v>
      </c>
      <c r="AQ24" s="1">
        <f>C24*내역서!AR68</f>
        <v>0</v>
      </c>
      <c r="AR24" s="1">
        <f>C24*내역서!AS68</f>
        <v>0</v>
      </c>
      <c r="AS24" s="1">
        <f>C24*내역서!AT68</f>
        <v>0</v>
      </c>
      <c r="AT24" s="1">
        <f>C24*내역서!AU68</f>
        <v>0</v>
      </c>
      <c r="AU24" s="1">
        <f>C24*내역서!AV68</f>
        <v>0</v>
      </c>
    </row>
    <row r="25" spans="1:50" ht="22.9" customHeight="1" x14ac:dyDescent="0.3">
      <c r="A25" s="14" t="s">
        <v>183</v>
      </c>
      <c r="B25" s="16" t="s">
        <v>31</v>
      </c>
      <c r="C25" s="22">
        <v>1</v>
      </c>
      <c r="D25" s="17">
        <f>내역서!F84</f>
        <v>-860244</v>
      </c>
      <c r="E25" s="17">
        <f t="shared" si="1"/>
        <v>-860244</v>
      </c>
      <c r="F25" s="17">
        <f>내역서!H84</f>
        <v>0</v>
      </c>
      <c r="G25" s="17">
        <f t="shared" si="2"/>
        <v>0</v>
      </c>
      <c r="H25" s="17">
        <f>내역서!J84</f>
        <v>0</v>
      </c>
      <c r="I25" s="17">
        <f t="shared" si="3"/>
        <v>0</v>
      </c>
      <c r="J25" s="17">
        <f t="shared" si="4"/>
        <v>-860244</v>
      </c>
      <c r="K25" s="17">
        <f t="shared" si="4"/>
        <v>-860244</v>
      </c>
      <c r="L25" s="14" t="s">
        <v>589</v>
      </c>
      <c r="Q25" s="1">
        <f>C25*내역서!R84</f>
        <v>0</v>
      </c>
      <c r="R25" s="1">
        <f>C25*내역서!S84</f>
        <v>0</v>
      </c>
      <c r="S25" s="1">
        <f>C25*내역서!T84</f>
        <v>0</v>
      </c>
      <c r="T25" s="1">
        <f>C25*내역서!U84</f>
        <v>0</v>
      </c>
      <c r="U25" s="1">
        <f>C25*내역서!V84</f>
        <v>0</v>
      </c>
      <c r="V25" s="1">
        <f>C25*내역서!W84</f>
        <v>0</v>
      </c>
      <c r="W25" s="1">
        <f>C25*내역서!X84</f>
        <v>0</v>
      </c>
      <c r="X25" s="1">
        <f>C25*내역서!Y84</f>
        <v>0</v>
      </c>
      <c r="Y25" s="1">
        <f>C25*내역서!Z84</f>
        <v>0</v>
      </c>
      <c r="Z25" s="1">
        <f>C25*내역서!AA84</f>
        <v>0</v>
      </c>
      <c r="AA25" s="1">
        <f>C25*내역서!AB84</f>
        <v>0</v>
      </c>
      <c r="AB25" s="1">
        <f>C25*내역서!AC84</f>
        <v>0</v>
      </c>
      <c r="AC25" s="1">
        <f>C25*내역서!AD84</f>
        <v>0</v>
      </c>
      <c r="AD25" s="1">
        <f>C25*내역서!AE84</f>
        <v>0</v>
      </c>
      <c r="AE25" s="1">
        <f>C25*내역서!AF84</f>
        <v>0</v>
      </c>
      <c r="AF25" s="1">
        <f>C25*내역서!AG84</f>
        <v>-860244</v>
      </c>
      <c r="AG25" s="1">
        <f>C25*내역서!AH84</f>
        <v>0</v>
      </c>
      <c r="AH25" s="1">
        <f>C25*내역서!AI84</f>
        <v>0</v>
      </c>
      <c r="AI25" s="1">
        <f>C25*내역서!AJ84</f>
        <v>0</v>
      </c>
      <c r="AJ25" s="1">
        <f>C25*내역서!AK84</f>
        <v>0</v>
      </c>
      <c r="AK25" s="1">
        <f>C25*내역서!AL84</f>
        <v>0</v>
      </c>
      <c r="AL25" s="1">
        <f>C25*내역서!AM84</f>
        <v>0</v>
      </c>
      <c r="AM25" s="1">
        <f>C25*내역서!AN84</f>
        <v>0</v>
      </c>
      <c r="AN25" s="1">
        <f>C25*내역서!AO84</f>
        <v>0</v>
      </c>
      <c r="AO25" s="1">
        <f>C25*내역서!AP84</f>
        <v>0</v>
      </c>
      <c r="AP25" s="1">
        <f>C25*내역서!AQ84</f>
        <v>0</v>
      </c>
      <c r="AQ25" s="1">
        <f>C25*내역서!AR84</f>
        <v>0</v>
      </c>
      <c r="AR25" s="1">
        <f>C25*내역서!AS84</f>
        <v>0</v>
      </c>
      <c r="AS25" s="1">
        <f>C25*내역서!AT84</f>
        <v>0</v>
      </c>
      <c r="AT25" s="1">
        <f>C25*내역서!AU84</f>
        <v>0</v>
      </c>
      <c r="AU25" s="1">
        <f>C25*내역서!AV84</f>
        <v>0</v>
      </c>
    </row>
    <row r="26" spans="1:50" ht="22.9" customHeight="1" x14ac:dyDescent="0.3">
      <c r="A26" s="14" t="s">
        <v>246</v>
      </c>
      <c r="B26" s="16" t="s">
        <v>31</v>
      </c>
      <c r="C26" s="22">
        <v>1</v>
      </c>
      <c r="D26" s="17">
        <f>내역서!F100</f>
        <v>0</v>
      </c>
      <c r="E26" s="17">
        <f t="shared" si="1"/>
        <v>0</v>
      </c>
      <c r="F26" s="17">
        <f>내역서!H100</f>
        <v>0</v>
      </c>
      <c r="G26" s="17">
        <f t="shared" si="2"/>
        <v>0</v>
      </c>
      <c r="H26" s="17">
        <f>내역서!J100</f>
        <v>707941</v>
      </c>
      <c r="I26" s="17">
        <f t="shared" si="3"/>
        <v>707941</v>
      </c>
      <c r="J26" s="17">
        <f t="shared" si="4"/>
        <v>707941</v>
      </c>
      <c r="K26" s="17">
        <f t="shared" si="4"/>
        <v>707941</v>
      </c>
      <c r="L26" s="15"/>
      <c r="P26" s="1">
        <v>1</v>
      </c>
      <c r="Q26" s="1">
        <f>C26*내역서!R100</f>
        <v>707941</v>
      </c>
      <c r="R26" s="1">
        <f>C26*내역서!S100</f>
        <v>0</v>
      </c>
      <c r="S26" s="1">
        <f>C26*내역서!T100</f>
        <v>0</v>
      </c>
      <c r="T26" s="1">
        <f>C26*내역서!U100</f>
        <v>0</v>
      </c>
      <c r="U26" s="1">
        <f>C26*내역서!V100</f>
        <v>0</v>
      </c>
      <c r="V26" s="1">
        <f>C26*내역서!W100</f>
        <v>0</v>
      </c>
      <c r="W26" s="1">
        <f>C26*내역서!X100</f>
        <v>0</v>
      </c>
      <c r="X26" s="1">
        <f>C26*내역서!Y100</f>
        <v>0</v>
      </c>
      <c r="Y26" s="1">
        <f>C26*내역서!Z100</f>
        <v>0</v>
      </c>
      <c r="Z26" s="1">
        <f>C26*내역서!AA100</f>
        <v>0</v>
      </c>
      <c r="AA26" s="1">
        <f>C26*내역서!AB100</f>
        <v>0</v>
      </c>
      <c r="AB26" s="1">
        <f>C26*내역서!AC100</f>
        <v>0</v>
      </c>
      <c r="AC26" s="1">
        <f>C26*내역서!AD100</f>
        <v>0</v>
      </c>
      <c r="AD26" s="1">
        <f>C26*내역서!AE100</f>
        <v>0</v>
      </c>
      <c r="AE26" s="1">
        <f>C26*내역서!AF100</f>
        <v>0</v>
      </c>
      <c r="AF26" s="1">
        <f>C26*내역서!AG100</f>
        <v>0</v>
      </c>
      <c r="AG26" s="1">
        <f>C26*내역서!AH100</f>
        <v>0</v>
      </c>
      <c r="AH26" s="1">
        <f>C26*내역서!AI100</f>
        <v>0</v>
      </c>
      <c r="AI26" s="1">
        <f>C26*내역서!AJ100</f>
        <v>0</v>
      </c>
      <c r="AJ26" s="1">
        <f>C26*내역서!AK100</f>
        <v>0</v>
      </c>
      <c r="AK26" s="1">
        <f>C26*내역서!AL100</f>
        <v>0</v>
      </c>
      <c r="AL26" s="1">
        <f>C26*내역서!AM100</f>
        <v>0</v>
      </c>
      <c r="AM26" s="1">
        <f>C26*내역서!AN100</f>
        <v>0</v>
      </c>
      <c r="AN26" s="1">
        <f>C26*내역서!AO100</f>
        <v>0</v>
      </c>
      <c r="AO26" s="1">
        <f>C26*내역서!AP100</f>
        <v>0</v>
      </c>
      <c r="AP26" s="1">
        <f>C26*내역서!AQ100</f>
        <v>0</v>
      </c>
      <c r="AQ26" s="1">
        <f>C26*내역서!AR100</f>
        <v>0</v>
      </c>
      <c r="AR26" s="1">
        <f>C26*내역서!AS100</f>
        <v>0</v>
      </c>
      <c r="AS26" s="1">
        <f>C26*내역서!AT100</f>
        <v>0</v>
      </c>
      <c r="AT26" s="1">
        <f>C26*내역서!AU100</f>
        <v>0</v>
      </c>
      <c r="AU26" s="1">
        <f>C26*내역서!AV100</f>
        <v>0</v>
      </c>
    </row>
    <row r="27" spans="1:50" ht="22.9" customHeight="1" x14ac:dyDescent="0.3">
      <c r="A27" s="14" t="s">
        <v>343</v>
      </c>
      <c r="B27" s="16" t="s">
        <v>31</v>
      </c>
      <c r="C27" s="22">
        <v>1</v>
      </c>
      <c r="D27" s="17">
        <f>내역서!F116</f>
        <v>0</v>
      </c>
      <c r="E27" s="17">
        <f t="shared" si="1"/>
        <v>0</v>
      </c>
      <c r="F27" s="17">
        <f>내역서!H116</f>
        <v>0</v>
      </c>
      <c r="G27" s="17">
        <f t="shared" si="2"/>
        <v>0</v>
      </c>
      <c r="H27" s="17">
        <f>내역서!J116</f>
        <v>54680</v>
      </c>
      <c r="I27" s="17">
        <f t="shared" si="3"/>
        <v>54680</v>
      </c>
      <c r="J27" s="17">
        <f t="shared" si="4"/>
        <v>54680</v>
      </c>
      <c r="K27" s="17">
        <f t="shared" si="4"/>
        <v>54680</v>
      </c>
      <c r="L27" s="14" t="s">
        <v>589</v>
      </c>
      <c r="Q27" s="1">
        <f>C27*내역서!R116</f>
        <v>54680</v>
      </c>
      <c r="R27" s="1">
        <f>C27*내역서!S116</f>
        <v>0</v>
      </c>
      <c r="S27" s="1">
        <f>C27*내역서!T116</f>
        <v>0</v>
      </c>
      <c r="T27" s="1">
        <f>C27*내역서!U116</f>
        <v>0</v>
      </c>
      <c r="U27" s="1">
        <f>C27*내역서!V116</f>
        <v>0</v>
      </c>
      <c r="V27" s="1">
        <f>C27*내역서!W116</f>
        <v>0</v>
      </c>
      <c r="W27" s="1">
        <f>C27*내역서!X116</f>
        <v>0</v>
      </c>
      <c r="X27" s="1">
        <f>C27*내역서!Y116</f>
        <v>0</v>
      </c>
      <c r="Y27" s="1">
        <f>C27*내역서!Z116</f>
        <v>0</v>
      </c>
      <c r="Z27" s="1">
        <f>C27*내역서!AA116</f>
        <v>0</v>
      </c>
      <c r="AA27" s="1">
        <f>C27*내역서!AB116</f>
        <v>0</v>
      </c>
      <c r="AB27" s="1">
        <f>C27*내역서!AC116</f>
        <v>0</v>
      </c>
      <c r="AC27" s="1">
        <f>C27*내역서!AD116</f>
        <v>0</v>
      </c>
      <c r="AD27" s="1">
        <f>C27*내역서!AE116</f>
        <v>0</v>
      </c>
      <c r="AE27" s="1">
        <f>C27*내역서!AF116</f>
        <v>0</v>
      </c>
      <c r="AF27" s="1">
        <f>C27*내역서!AG116</f>
        <v>0</v>
      </c>
      <c r="AG27" s="1">
        <f>C27*내역서!AH116</f>
        <v>0</v>
      </c>
      <c r="AH27" s="1">
        <f>C27*내역서!AI116</f>
        <v>0</v>
      </c>
      <c r="AI27" s="1">
        <f>C27*내역서!AJ116</f>
        <v>0</v>
      </c>
      <c r="AJ27" s="1">
        <f>C27*내역서!AK116</f>
        <v>0</v>
      </c>
      <c r="AK27" s="1">
        <f>C27*내역서!AL116</f>
        <v>0</v>
      </c>
      <c r="AL27" s="1">
        <f>C27*내역서!AM116</f>
        <v>0</v>
      </c>
      <c r="AM27" s="1">
        <f>C27*내역서!AN116</f>
        <v>0</v>
      </c>
      <c r="AN27" s="1">
        <f>C27*내역서!AO116</f>
        <v>0</v>
      </c>
      <c r="AO27" s="1">
        <f>C27*내역서!AP116</f>
        <v>0</v>
      </c>
      <c r="AP27" s="1">
        <f>C27*내역서!AQ116</f>
        <v>0</v>
      </c>
      <c r="AQ27" s="1">
        <f>C27*내역서!AR116</f>
        <v>0</v>
      </c>
      <c r="AR27" s="1">
        <f>C27*내역서!AS116</f>
        <v>0</v>
      </c>
      <c r="AS27" s="1">
        <f>C27*내역서!AT116</f>
        <v>0</v>
      </c>
      <c r="AT27" s="1">
        <f>C27*내역서!AU116</f>
        <v>0</v>
      </c>
      <c r="AU27" s="1">
        <f>C27*내역서!AV116</f>
        <v>0</v>
      </c>
    </row>
    <row r="28" spans="1:50" ht="22.9" customHeight="1" x14ac:dyDescent="0.3">
      <c r="A28" s="15"/>
      <c r="B28" s="22"/>
      <c r="C28" s="22"/>
      <c r="D28" s="17"/>
      <c r="E28" s="17"/>
      <c r="F28" s="17"/>
      <c r="G28" s="17"/>
      <c r="H28" s="17"/>
      <c r="I28" s="17"/>
      <c r="J28" s="17"/>
      <c r="K28" s="17"/>
      <c r="L28" s="15"/>
    </row>
    <row r="29" spans="1:50" ht="22.9" customHeight="1" x14ac:dyDescent="0.3">
      <c r="A29" s="15"/>
      <c r="B29" s="22"/>
      <c r="C29" s="22"/>
      <c r="D29" s="17"/>
      <c r="E29" s="17"/>
      <c r="F29" s="17"/>
      <c r="G29" s="17"/>
      <c r="H29" s="17"/>
      <c r="I29" s="17"/>
      <c r="J29" s="17"/>
      <c r="K29" s="17"/>
      <c r="L29" s="15"/>
    </row>
    <row r="30" spans="1:50" ht="22.9" customHeight="1" x14ac:dyDescent="0.3">
      <c r="A30" s="15"/>
      <c r="B30" s="22"/>
      <c r="C30" s="22"/>
      <c r="D30" s="17"/>
      <c r="E30" s="17"/>
      <c r="F30" s="17"/>
      <c r="G30" s="17"/>
      <c r="H30" s="17"/>
      <c r="I30" s="17"/>
      <c r="J30" s="17"/>
      <c r="K30" s="17"/>
      <c r="L30" s="15"/>
    </row>
    <row r="31" spans="1:50" ht="22.9" customHeight="1" x14ac:dyDescent="0.3">
      <c r="A31" s="15"/>
      <c r="B31" s="22"/>
      <c r="C31" s="22"/>
      <c r="D31" s="17"/>
      <c r="E31" s="17"/>
      <c r="F31" s="17"/>
      <c r="G31" s="17"/>
      <c r="H31" s="17"/>
      <c r="I31" s="17"/>
      <c r="J31" s="17"/>
      <c r="K31" s="17"/>
      <c r="L31" s="15"/>
    </row>
    <row r="32" spans="1:50" ht="22.9" customHeight="1" x14ac:dyDescent="0.3">
      <c r="A32" s="15"/>
      <c r="B32" s="22"/>
      <c r="C32" s="22"/>
      <c r="D32" s="17"/>
      <c r="E32" s="17"/>
      <c r="F32" s="17"/>
      <c r="G32" s="17"/>
      <c r="H32" s="17"/>
      <c r="I32" s="17"/>
      <c r="J32" s="17"/>
      <c r="K32" s="17"/>
      <c r="L32" s="15"/>
    </row>
    <row r="33" spans="1:50" ht="22.9" customHeight="1" x14ac:dyDescent="0.3">
      <c r="A33" s="15"/>
      <c r="B33" s="22"/>
      <c r="C33" s="22"/>
      <c r="D33" s="17"/>
      <c r="E33" s="17"/>
      <c r="F33" s="17"/>
      <c r="G33" s="17"/>
      <c r="H33" s="17"/>
      <c r="I33" s="17"/>
      <c r="J33" s="17"/>
      <c r="K33" s="17"/>
      <c r="L33" s="15"/>
    </row>
    <row r="34" spans="1:50" ht="22.9" customHeight="1" x14ac:dyDescent="0.3">
      <c r="A34" s="15"/>
      <c r="B34" s="22"/>
      <c r="C34" s="22"/>
      <c r="D34" s="17"/>
      <c r="E34" s="17"/>
      <c r="F34" s="17"/>
      <c r="G34" s="17"/>
      <c r="H34" s="17"/>
      <c r="I34" s="17"/>
      <c r="J34" s="17"/>
      <c r="K34" s="17"/>
      <c r="L34" s="15"/>
    </row>
    <row r="35" spans="1:50" ht="22.9" customHeight="1" x14ac:dyDescent="0.3">
      <c r="A35" s="15"/>
      <c r="B35" s="22"/>
      <c r="C35" s="22"/>
      <c r="D35" s="17"/>
      <c r="E35" s="17"/>
      <c r="F35" s="17"/>
      <c r="G35" s="17"/>
      <c r="H35" s="17"/>
      <c r="I35" s="17"/>
      <c r="J35" s="17"/>
      <c r="K35" s="17"/>
      <c r="L35" s="15"/>
    </row>
    <row r="36" spans="1:50" ht="22.9" customHeight="1" x14ac:dyDescent="0.3">
      <c r="A36" s="18" t="s">
        <v>439</v>
      </c>
      <c r="B36" s="20"/>
      <c r="C36" s="20"/>
      <c r="D36" s="21"/>
      <c r="E36" s="21">
        <f>SUMIF(P22:P27,"1",E22:E27)</f>
        <v>1633337</v>
      </c>
      <c r="F36" s="21"/>
      <c r="G36" s="21">
        <f>SUMIF(P22:P27,"1",G22:G27)</f>
        <v>13948099</v>
      </c>
      <c r="H36" s="21"/>
      <c r="I36" s="21">
        <f>SUM(I21:I35)</f>
        <v>2775713</v>
      </c>
      <c r="J36" s="21"/>
      <c r="K36" s="21">
        <f>E36+G36+I36</f>
        <v>18357149</v>
      </c>
      <c r="L36" s="19"/>
      <c r="Q36" s="1">
        <f t="shared" ref="Q36:AX36" si="5">SUM(Q22:Q27)</f>
        <v>2775713</v>
      </c>
      <c r="R36" s="1">
        <f t="shared" si="5"/>
        <v>0</v>
      </c>
      <c r="S36" s="1">
        <f t="shared" si="5"/>
        <v>0</v>
      </c>
      <c r="T36" s="1">
        <f t="shared" si="5"/>
        <v>0</v>
      </c>
      <c r="U36" s="1">
        <f t="shared" si="5"/>
        <v>0</v>
      </c>
      <c r="V36" s="1">
        <f t="shared" si="5"/>
        <v>0</v>
      </c>
      <c r="W36" s="1">
        <f t="shared" si="5"/>
        <v>0</v>
      </c>
      <c r="X36" s="1">
        <f t="shared" si="5"/>
        <v>0</v>
      </c>
      <c r="Y36" s="1">
        <f t="shared" si="5"/>
        <v>0</v>
      </c>
      <c r="Z36" s="1">
        <f t="shared" si="5"/>
        <v>0</v>
      </c>
      <c r="AA36" s="1">
        <f t="shared" si="5"/>
        <v>0</v>
      </c>
      <c r="AB36" s="1">
        <f t="shared" si="5"/>
        <v>0</v>
      </c>
      <c r="AC36" s="1">
        <f t="shared" si="5"/>
        <v>0</v>
      </c>
      <c r="AD36" s="1">
        <f t="shared" si="5"/>
        <v>0</v>
      </c>
      <c r="AE36" s="1">
        <f t="shared" si="5"/>
        <v>0</v>
      </c>
      <c r="AF36" s="1">
        <f t="shared" si="5"/>
        <v>-860244</v>
      </c>
      <c r="AG36" s="1">
        <f t="shared" si="5"/>
        <v>0</v>
      </c>
      <c r="AH36" s="1">
        <f t="shared" si="5"/>
        <v>0</v>
      </c>
      <c r="AI36" s="1">
        <f t="shared" si="5"/>
        <v>0</v>
      </c>
      <c r="AJ36" s="1">
        <f t="shared" si="5"/>
        <v>0</v>
      </c>
      <c r="AK36" s="1">
        <f t="shared" si="5"/>
        <v>0</v>
      </c>
      <c r="AL36" s="1">
        <f t="shared" si="5"/>
        <v>0</v>
      </c>
      <c r="AM36" s="1">
        <f t="shared" si="5"/>
        <v>0</v>
      </c>
      <c r="AN36" s="1">
        <f t="shared" si="5"/>
        <v>0</v>
      </c>
      <c r="AO36" s="1">
        <f t="shared" si="5"/>
        <v>0</v>
      </c>
      <c r="AP36" s="1">
        <f t="shared" si="5"/>
        <v>0</v>
      </c>
      <c r="AQ36" s="1">
        <f t="shared" si="5"/>
        <v>0</v>
      </c>
      <c r="AR36" s="1">
        <f t="shared" si="5"/>
        <v>0</v>
      </c>
      <c r="AS36" s="1">
        <f t="shared" si="5"/>
        <v>0</v>
      </c>
      <c r="AT36" s="1">
        <f t="shared" si="5"/>
        <v>0</v>
      </c>
      <c r="AU36" s="1">
        <f t="shared" si="5"/>
        <v>0</v>
      </c>
      <c r="AV36" s="1">
        <f t="shared" si="5"/>
        <v>0</v>
      </c>
      <c r="AW36" s="1">
        <f t="shared" si="5"/>
        <v>0</v>
      </c>
      <c r="AX36" s="1">
        <f t="shared" si="5"/>
        <v>0</v>
      </c>
    </row>
    <row r="37" spans="1:50" ht="22.9" customHeight="1" x14ac:dyDescent="0.3">
      <c r="A37" s="14" t="s">
        <v>281</v>
      </c>
      <c r="B37" s="22"/>
      <c r="C37" s="22"/>
      <c r="D37" s="17"/>
      <c r="E37" s="17"/>
      <c r="F37" s="17"/>
      <c r="G37" s="17"/>
      <c r="H37" s="17"/>
      <c r="I37" s="17"/>
      <c r="J37" s="17"/>
      <c r="K37" s="17"/>
      <c r="L37" s="15"/>
    </row>
    <row r="38" spans="1:50" ht="22.9" customHeight="1" x14ac:dyDescent="0.3">
      <c r="A38" s="14" t="s">
        <v>337</v>
      </c>
      <c r="B38" s="16" t="s">
        <v>31</v>
      </c>
      <c r="C38" s="22">
        <v>1</v>
      </c>
      <c r="D38" s="17">
        <f>내역서!F132</f>
        <v>49196</v>
      </c>
      <c r="E38" s="17">
        <f t="shared" ref="E38:E43" si="6">C38*D38</f>
        <v>49196</v>
      </c>
      <c r="F38" s="17">
        <f>내역서!H132</f>
        <v>156891</v>
      </c>
      <c r="G38" s="17">
        <f t="shared" ref="G38:G43" si="7">C38*F38</f>
        <v>156891</v>
      </c>
      <c r="H38" s="17">
        <f>내역서!J132</f>
        <v>0</v>
      </c>
      <c r="I38" s="17">
        <f t="shared" ref="I38:I43" si="8">C38*H38</f>
        <v>0</v>
      </c>
      <c r="J38" s="17">
        <f t="shared" ref="J38:K43" si="9">D38+F38+H38</f>
        <v>206087</v>
      </c>
      <c r="K38" s="17">
        <f t="shared" si="9"/>
        <v>206087</v>
      </c>
      <c r="L38" s="15"/>
      <c r="P38" s="1">
        <v>1</v>
      </c>
      <c r="Q38" s="1">
        <f>C38*내역서!R132</f>
        <v>0</v>
      </c>
      <c r="R38" s="1">
        <f>C38*내역서!S132</f>
        <v>0</v>
      </c>
      <c r="S38" s="1">
        <f>C38*내역서!T132</f>
        <v>0</v>
      </c>
      <c r="T38" s="1">
        <f>C38*내역서!U132</f>
        <v>0</v>
      </c>
      <c r="U38" s="1">
        <f>C38*내역서!V132</f>
        <v>0</v>
      </c>
      <c r="V38" s="1">
        <f>C38*내역서!W132</f>
        <v>0</v>
      </c>
      <c r="W38" s="1">
        <f>C38*내역서!X132</f>
        <v>0</v>
      </c>
      <c r="X38" s="1">
        <f>C38*내역서!Y132</f>
        <v>0</v>
      </c>
      <c r="Y38" s="1">
        <f>C38*내역서!Z132</f>
        <v>0</v>
      </c>
      <c r="Z38" s="1">
        <f>C38*내역서!AA132</f>
        <v>0</v>
      </c>
      <c r="AA38" s="1">
        <f>C38*내역서!AB132</f>
        <v>0</v>
      </c>
      <c r="AB38" s="1">
        <f>C38*내역서!AC132</f>
        <v>0</v>
      </c>
      <c r="AC38" s="1">
        <f>C38*내역서!AD132</f>
        <v>0</v>
      </c>
      <c r="AD38" s="1">
        <f>C38*내역서!AE132</f>
        <v>0</v>
      </c>
      <c r="AE38" s="1">
        <f>C38*내역서!AF132</f>
        <v>0</v>
      </c>
      <c r="AF38" s="1">
        <f>C38*내역서!AG132</f>
        <v>0</v>
      </c>
      <c r="AG38" s="1">
        <f>C38*내역서!AH132</f>
        <v>0</v>
      </c>
      <c r="AH38" s="1">
        <f>C38*내역서!AI132</f>
        <v>0</v>
      </c>
      <c r="AI38" s="1">
        <f>C38*내역서!AJ132</f>
        <v>0</v>
      </c>
      <c r="AJ38" s="1">
        <f>C38*내역서!AK132</f>
        <v>0</v>
      </c>
      <c r="AK38" s="1">
        <f>C38*내역서!AL132</f>
        <v>0</v>
      </c>
      <c r="AL38" s="1">
        <f>C38*내역서!AM132</f>
        <v>0</v>
      </c>
      <c r="AM38" s="1">
        <f>C38*내역서!AN132</f>
        <v>0</v>
      </c>
      <c r="AN38" s="1">
        <f>C38*내역서!AO132</f>
        <v>0</v>
      </c>
      <c r="AO38" s="1">
        <f>C38*내역서!AP132</f>
        <v>0</v>
      </c>
      <c r="AP38" s="1">
        <f>C38*내역서!AQ132</f>
        <v>0</v>
      </c>
      <c r="AQ38" s="1">
        <f>C38*내역서!AR132</f>
        <v>0</v>
      </c>
      <c r="AR38" s="1">
        <f>C38*내역서!AS132</f>
        <v>0</v>
      </c>
      <c r="AS38" s="1">
        <f>C38*내역서!AT132</f>
        <v>0</v>
      </c>
      <c r="AT38" s="1">
        <f>C38*내역서!AU132</f>
        <v>0</v>
      </c>
      <c r="AU38" s="1">
        <f>C38*내역서!AV132</f>
        <v>0</v>
      </c>
    </row>
    <row r="39" spans="1:50" ht="22.9" customHeight="1" x14ac:dyDescent="0.3">
      <c r="A39" s="14" t="s">
        <v>341</v>
      </c>
      <c r="B39" s="16" t="s">
        <v>31</v>
      </c>
      <c r="C39" s="22">
        <v>1</v>
      </c>
      <c r="D39" s="17">
        <f>내역서!F148</f>
        <v>60543</v>
      </c>
      <c r="E39" s="17">
        <f t="shared" si="6"/>
        <v>60543</v>
      </c>
      <c r="F39" s="17">
        <f>내역서!H148</f>
        <v>55830</v>
      </c>
      <c r="G39" s="17">
        <f t="shared" si="7"/>
        <v>55830</v>
      </c>
      <c r="H39" s="17">
        <f>내역서!J148</f>
        <v>7434</v>
      </c>
      <c r="I39" s="17">
        <f t="shared" si="8"/>
        <v>7434</v>
      </c>
      <c r="J39" s="17">
        <f t="shared" si="9"/>
        <v>123807</v>
      </c>
      <c r="K39" s="17">
        <f t="shared" si="9"/>
        <v>123807</v>
      </c>
      <c r="L39" s="15"/>
      <c r="P39" s="1">
        <v>1</v>
      </c>
      <c r="Q39" s="1">
        <f>C39*내역서!R148</f>
        <v>7434</v>
      </c>
      <c r="R39" s="1">
        <f>C39*내역서!S148</f>
        <v>0</v>
      </c>
      <c r="S39" s="1">
        <f>C39*내역서!T148</f>
        <v>0</v>
      </c>
      <c r="T39" s="1">
        <f>C39*내역서!U148</f>
        <v>0</v>
      </c>
      <c r="U39" s="1">
        <f>C39*내역서!V148</f>
        <v>0</v>
      </c>
      <c r="V39" s="1">
        <f>C39*내역서!W148</f>
        <v>0</v>
      </c>
      <c r="W39" s="1">
        <f>C39*내역서!X148</f>
        <v>0</v>
      </c>
      <c r="X39" s="1">
        <f>C39*내역서!Y148</f>
        <v>0</v>
      </c>
      <c r="Y39" s="1">
        <f>C39*내역서!Z148</f>
        <v>0</v>
      </c>
      <c r="Z39" s="1">
        <f>C39*내역서!AA148</f>
        <v>0</v>
      </c>
      <c r="AA39" s="1">
        <f>C39*내역서!AB148</f>
        <v>0</v>
      </c>
      <c r="AB39" s="1">
        <f>C39*내역서!AC148</f>
        <v>0</v>
      </c>
      <c r="AC39" s="1">
        <f>C39*내역서!AD148</f>
        <v>0</v>
      </c>
      <c r="AD39" s="1">
        <f>C39*내역서!AE148</f>
        <v>0</v>
      </c>
      <c r="AE39" s="1">
        <f>C39*내역서!AF148</f>
        <v>0</v>
      </c>
      <c r="AF39" s="1">
        <f>C39*내역서!AG148</f>
        <v>0</v>
      </c>
      <c r="AG39" s="1">
        <f>C39*내역서!AH148</f>
        <v>0</v>
      </c>
      <c r="AH39" s="1">
        <f>C39*내역서!AI148</f>
        <v>0</v>
      </c>
      <c r="AI39" s="1">
        <f>C39*내역서!AJ148</f>
        <v>0</v>
      </c>
      <c r="AJ39" s="1">
        <f>C39*내역서!AK148</f>
        <v>0</v>
      </c>
      <c r="AK39" s="1">
        <f>C39*내역서!AL148</f>
        <v>0</v>
      </c>
      <c r="AL39" s="1">
        <f>C39*내역서!AM148</f>
        <v>0</v>
      </c>
      <c r="AM39" s="1">
        <f>C39*내역서!AN148</f>
        <v>0</v>
      </c>
      <c r="AN39" s="1">
        <f>C39*내역서!AO148</f>
        <v>0</v>
      </c>
      <c r="AO39" s="1">
        <f>C39*내역서!AP148</f>
        <v>0</v>
      </c>
      <c r="AP39" s="1">
        <f>C39*내역서!AQ148</f>
        <v>0</v>
      </c>
      <c r="AQ39" s="1">
        <f>C39*내역서!AR148</f>
        <v>0</v>
      </c>
      <c r="AR39" s="1">
        <f>C39*내역서!AS148</f>
        <v>0</v>
      </c>
      <c r="AS39" s="1">
        <f>C39*내역서!AT148</f>
        <v>0</v>
      </c>
      <c r="AT39" s="1">
        <f>C39*내역서!AU148</f>
        <v>0</v>
      </c>
      <c r="AU39" s="1">
        <f>C39*내역서!AV148</f>
        <v>0</v>
      </c>
    </row>
    <row r="40" spans="1:50" ht="22.9" customHeight="1" x14ac:dyDescent="0.3">
      <c r="A40" s="14" t="s">
        <v>338</v>
      </c>
      <c r="B40" s="16" t="s">
        <v>31</v>
      </c>
      <c r="C40" s="22">
        <v>1</v>
      </c>
      <c r="D40" s="17">
        <f>내역서!F180</f>
        <v>1091818</v>
      </c>
      <c r="E40" s="17">
        <f t="shared" si="6"/>
        <v>1091818</v>
      </c>
      <c r="F40" s="17">
        <f>내역서!H180</f>
        <v>10862301</v>
      </c>
      <c r="G40" s="17">
        <f t="shared" si="7"/>
        <v>10862301</v>
      </c>
      <c r="H40" s="17">
        <f>내역서!J180</f>
        <v>1358615</v>
      </c>
      <c r="I40" s="17">
        <f t="shared" si="8"/>
        <v>1358615</v>
      </c>
      <c r="J40" s="17">
        <f t="shared" si="9"/>
        <v>13312734</v>
      </c>
      <c r="K40" s="17">
        <f t="shared" si="9"/>
        <v>13312734</v>
      </c>
      <c r="L40" s="15"/>
      <c r="P40" s="1">
        <v>1</v>
      </c>
      <c r="Q40" s="1">
        <f>C40*내역서!R180</f>
        <v>1358615</v>
      </c>
      <c r="R40" s="1">
        <f>C40*내역서!S180</f>
        <v>0</v>
      </c>
      <c r="S40" s="1">
        <f>C40*내역서!T180</f>
        <v>0</v>
      </c>
      <c r="T40" s="1">
        <f>C40*내역서!U180</f>
        <v>0</v>
      </c>
      <c r="U40" s="1">
        <f>C40*내역서!V180</f>
        <v>0</v>
      </c>
      <c r="V40" s="1">
        <f>C40*내역서!W180</f>
        <v>0</v>
      </c>
      <c r="W40" s="1">
        <f>C40*내역서!X180</f>
        <v>0</v>
      </c>
      <c r="X40" s="1">
        <f>C40*내역서!Y180</f>
        <v>0</v>
      </c>
      <c r="Y40" s="1">
        <f>C40*내역서!Z180</f>
        <v>0</v>
      </c>
      <c r="Z40" s="1">
        <f>C40*내역서!AA180</f>
        <v>0</v>
      </c>
      <c r="AA40" s="1">
        <f>C40*내역서!AB180</f>
        <v>0</v>
      </c>
      <c r="AB40" s="1">
        <f>C40*내역서!AC180</f>
        <v>0</v>
      </c>
      <c r="AC40" s="1">
        <f>C40*내역서!AD180</f>
        <v>0</v>
      </c>
      <c r="AD40" s="1">
        <f>C40*내역서!AE180</f>
        <v>0</v>
      </c>
      <c r="AE40" s="1">
        <f>C40*내역서!AF180</f>
        <v>0</v>
      </c>
      <c r="AF40" s="1">
        <f>C40*내역서!AG180</f>
        <v>0</v>
      </c>
      <c r="AG40" s="1">
        <f>C40*내역서!AH180</f>
        <v>0</v>
      </c>
      <c r="AH40" s="1">
        <f>C40*내역서!AI180</f>
        <v>0</v>
      </c>
      <c r="AI40" s="1">
        <f>C40*내역서!AJ180</f>
        <v>0</v>
      </c>
      <c r="AJ40" s="1">
        <f>C40*내역서!AK180</f>
        <v>0</v>
      </c>
      <c r="AK40" s="1">
        <f>C40*내역서!AL180</f>
        <v>0</v>
      </c>
      <c r="AL40" s="1">
        <f>C40*내역서!AM180</f>
        <v>0</v>
      </c>
      <c r="AM40" s="1">
        <f>C40*내역서!AN180</f>
        <v>0</v>
      </c>
      <c r="AN40" s="1">
        <f>C40*내역서!AO180</f>
        <v>0</v>
      </c>
      <c r="AO40" s="1">
        <f>C40*내역서!AP180</f>
        <v>0</v>
      </c>
      <c r="AP40" s="1">
        <f>C40*내역서!AQ180</f>
        <v>0</v>
      </c>
      <c r="AQ40" s="1">
        <f>C40*내역서!AR180</f>
        <v>0</v>
      </c>
      <c r="AR40" s="1">
        <f>C40*내역서!AS180</f>
        <v>0</v>
      </c>
      <c r="AS40" s="1">
        <f>C40*내역서!AT180</f>
        <v>0</v>
      </c>
      <c r="AT40" s="1">
        <f>C40*내역서!AU180</f>
        <v>0</v>
      </c>
      <c r="AU40" s="1">
        <f>C40*내역서!AV180</f>
        <v>0</v>
      </c>
    </row>
    <row r="41" spans="1:50" ht="22.9" customHeight="1" x14ac:dyDescent="0.3">
      <c r="A41" s="14" t="s">
        <v>168</v>
      </c>
      <c r="B41" s="16" t="s">
        <v>31</v>
      </c>
      <c r="C41" s="22">
        <v>1</v>
      </c>
      <c r="D41" s="17">
        <f>내역서!F196</f>
        <v>-797784</v>
      </c>
      <c r="E41" s="17">
        <f t="shared" si="6"/>
        <v>-797784</v>
      </c>
      <c r="F41" s="17">
        <f>내역서!H196</f>
        <v>0</v>
      </c>
      <c r="G41" s="17">
        <f t="shared" si="7"/>
        <v>0</v>
      </c>
      <c r="H41" s="17">
        <f>내역서!J196</f>
        <v>0</v>
      </c>
      <c r="I41" s="17">
        <f t="shared" si="8"/>
        <v>0</v>
      </c>
      <c r="J41" s="17">
        <f t="shared" si="9"/>
        <v>-797784</v>
      </c>
      <c r="K41" s="17">
        <f t="shared" si="9"/>
        <v>-797784</v>
      </c>
      <c r="L41" s="14" t="s">
        <v>589</v>
      </c>
      <c r="Q41" s="1">
        <f>C41*내역서!R196</f>
        <v>0</v>
      </c>
      <c r="R41" s="1">
        <f>C41*내역서!S196</f>
        <v>0</v>
      </c>
      <c r="S41" s="1">
        <f>C41*내역서!T196</f>
        <v>0</v>
      </c>
      <c r="T41" s="1">
        <f>C41*내역서!U196</f>
        <v>0</v>
      </c>
      <c r="U41" s="1">
        <f>C41*내역서!V196</f>
        <v>0</v>
      </c>
      <c r="V41" s="1">
        <f>C41*내역서!W196</f>
        <v>0</v>
      </c>
      <c r="W41" s="1">
        <f>C41*내역서!X196</f>
        <v>0</v>
      </c>
      <c r="X41" s="1">
        <f>C41*내역서!Y196</f>
        <v>0</v>
      </c>
      <c r="Y41" s="1">
        <f>C41*내역서!Z196</f>
        <v>0</v>
      </c>
      <c r="Z41" s="1">
        <f>C41*내역서!AA196</f>
        <v>0</v>
      </c>
      <c r="AA41" s="1">
        <f>C41*내역서!AB196</f>
        <v>0</v>
      </c>
      <c r="AB41" s="1">
        <f>C41*내역서!AC196</f>
        <v>0</v>
      </c>
      <c r="AC41" s="1">
        <f>C41*내역서!AD196</f>
        <v>0</v>
      </c>
      <c r="AD41" s="1">
        <f>C41*내역서!AE196</f>
        <v>0</v>
      </c>
      <c r="AE41" s="1">
        <f>C41*내역서!AF196</f>
        <v>0</v>
      </c>
      <c r="AF41" s="1">
        <f>C41*내역서!AG196</f>
        <v>-797784</v>
      </c>
      <c r="AG41" s="1">
        <f>C41*내역서!AH196</f>
        <v>0</v>
      </c>
      <c r="AH41" s="1">
        <f>C41*내역서!AI196</f>
        <v>0</v>
      </c>
      <c r="AI41" s="1">
        <f>C41*내역서!AJ196</f>
        <v>0</v>
      </c>
      <c r="AJ41" s="1">
        <f>C41*내역서!AK196</f>
        <v>0</v>
      </c>
      <c r="AK41" s="1">
        <f>C41*내역서!AL196</f>
        <v>0</v>
      </c>
      <c r="AL41" s="1">
        <f>C41*내역서!AM196</f>
        <v>0</v>
      </c>
      <c r="AM41" s="1">
        <f>C41*내역서!AN196</f>
        <v>0</v>
      </c>
      <c r="AN41" s="1">
        <f>C41*내역서!AO196</f>
        <v>0</v>
      </c>
      <c r="AO41" s="1">
        <f>C41*내역서!AP196</f>
        <v>0</v>
      </c>
      <c r="AP41" s="1">
        <f>C41*내역서!AQ196</f>
        <v>0</v>
      </c>
      <c r="AQ41" s="1">
        <f>C41*내역서!AR196</f>
        <v>0</v>
      </c>
      <c r="AR41" s="1">
        <f>C41*내역서!AS196</f>
        <v>0</v>
      </c>
      <c r="AS41" s="1">
        <f>C41*내역서!AT196</f>
        <v>0</v>
      </c>
      <c r="AT41" s="1">
        <f>C41*내역서!AU196</f>
        <v>0</v>
      </c>
      <c r="AU41" s="1">
        <f>C41*내역서!AV196</f>
        <v>0</v>
      </c>
    </row>
    <row r="42" spans="1:50" ht="22.9" customHeight="1" x14ac:dyDescent="0.3">
      <c r="A42" s="14" t="s">
        <v>263</v>
      </c>
      <c r="B42" s="16" t="s">
        <v>31</v>
      </c>
      <c r="C42" s="22">
        <v>1</v>
      </c>
      <c r="D42" s="17">
        <f>내역서!F212</f>
        <v>0</v>
      </c>
      <c r="E42" s="17">
        <f t="shared" si="6"/>
        <v>0</v>
      </c>
      <c r="F42" s="17">
        <f>내역서!H212</f>
        <v>0</v>
      </c>
      <c r="G42" s="17">
        <f t="shared" si="7"/>
        <v>0</v>
      </c>
      <c r="H42" s="17">
        <f>내역서!J212</f>
        <v>583889</v>
      </c>
      <c r="I42" s="17">
        <f t="shared" si="8"/>
        <v>583889</v>
      </c>
      <c r="J42" s="17">
        <f t="shared" si="9"/>
        <v>583889</v>
      </c>
      <c r="K42" s="17">
        <f t="shared" si="9"/>
        <v>583889</v>
      </c>
      <c r="L42" s="15"/>
      <c r="P42" s="1">
        <v>1</v>
      </c>
      <c r="Q42" s="1">
        <f>C42*내역서!R212</f>
        <v>583889</v>
      </c>
      <c r="R42" s="1">
        <f>C42*내역서!S212</f>
        <v>0</v>
      </c>
      <c r="S42" s="1">
        <f>C42*내역서!T212</f>
        <v>0</v>
      </c>
      <c r="T42" s="1">
        <f>C42*내역서!U212</f>
        <v>0</v>
      </c>
      <c r="U42" s="1">
        <f>C42*내역서!V212</f>
        <v>0</v>
      </c>
      <c r="V42" s="1">
        <f>C42*내역서!W212</f>
        <v>0</v>
      </c>
      <c r="W42" s="1">
        <f>C42*내역서!X212</f>
        <v>0</v>
      </c>
      <c r="X42" s="1">
        <f>C42*내역서!Y212</f>
        <v>0</v>
      </c>
      <c r="Y42" s="1">
        <f>C42*내역서!Z212</f>
        <v>0</v>
      </c>
      <c r="Z42" s="1">
        <f>C42*내역서!AA212</f>
        <v>0</v>
      </c>
      <c r="AA42" s="1">
        <f>C42*내역서!AB212</f>
        <v>0</v>
      </c>
      <c r="AB42" s="1">
        <f>C42*내역서!AC212</f>
        <v>0</v>
      </c>
      <c r="AC42" s="1">
        <f>C42*내역서!AD212</f>
        <v>0</v>
      </c>
      <c r="AD42" s="1">
        <f>C42*내역서!AE212</f>
        <v>0</v>
      </c>
      <c r="AE42" s="1">
        <f>C42*내역서!AF212</f>
        <v>0</v>
      </c>
      <c r="AF42" s="1">
        <f>C42*내역서!AG212</f>
        <v>0</v>
      </c>
      <c r="AG42" s="1">
        <f>C42*내역서!AH212</f>
        <v>0</v>
      </c>
      <c r="AH42" s="1">
        <f>C42*내역서!AI212</f>
        <v>0</v>
      </c>
      <c r="AI42" s="1">
        <f>C42*내역서!AJ212</f>
        <v>0</v>
      </c>
      <c r="AJ42" s="1">
        <f>C42*내역서!AK212</f>
        <v>0</v>
      </c>
      <c r="AK42" s="1">
        <f>C42*내역서!AL212</f>
        <v>0</v>
      </c>
      <c r="AL42" s="1">
        <f>C42*내역서!AM212</f>
        <v>0</v>
      </c>
      <c r="AM42" s="1">
        <f>C42*내역서!AN212</f>
        <v>0</v>
      </c>
      <c r="AN42" s="1">
        <f>C42*내역서!AO212</f>
        <v>0</v>
      </c>
      <c r="AO42" s="1">
        <f>C42*내역서!AP212</f>
        <v>0</v>
      </c>
      <c r="AP42" s="1">
        <f>C42*내역서!AQ212</f>
        <v>0</v>
      </c>
      <c r="AQ42" s="1">
        <f>C42*내역서!AR212</f>
        <v>0</v>
      </c>
      <c r="AR42" s="1">
        <f>C42*내역서!AS212</f>
        <v>0</v>
      </c>
      <c r="AS42" s="1">
        <f>C42*내역서!AT212</f>
        <v>0</v>
      </c>
      <c r="AT42" s="1">
        <f>C42*내역서!AU212</f>
        <v>0</v>
      </c>
      <c r="AU42" s="1">
        <f>C42*내역서!AV212</f>
        <v>0</v>
      </c>
    </row>
    <row r="43" spans="1:50" ht="22.9" customHeight="1" x14ac:dyDescent="0.3">
      <c r="A43" s="14" t="s">
        <v>344</v>
      </c>
      <c r="B43" s="16" t="s">
        <v>31</v>
      </c>
      <c r="C43" s="22">
        <v>1</v>
      </c>
      <c r="D43" s="17">
        <f>내역서!F228</f>
        <v>0</v>
      </c>
      <c r="E43" s="17">
        <f t="shared" si="6"/>
        <v>0</v>
      </c>
      <c r="F43" s="17">
        <f>내역서!H228</f>
        <v>0</v>
      </c>
      <c r="G43" s="17">
        <f t="shared" si="7"/>
        <v>0</v>
      </c>
      <c r="H43" s="17">
        <f>내역서!J228</f>
        <v>54680</v>
      </c>
      <c r="I43" s="17">
        <f t="shared" si="8"/>
        <v>54680</v>
      </c>
      <c r="J43" s="17">
        <f t="shared" si="9"/>
        <v>54680</v>
      </c>
      <c r="K43" s="17">
        <f t="shared" si="9"/>
        <v>54680</v>
      </c>
      <c r="L43" s="15"/>
      <c r="P43" s="1">
        <v>1</v>
      </c>
      <c r="Q43" s="1">
        <f>C43*내역서!R228</f>
        <v>54680</v>
      </c>
      <c r="R43" s="1">
        <f>C43*내역서!S228</f>
        <v>0</v>
      </c>
      <c r="S43" s="1">
        <f>C43*내역서!T228</f>
        <v>0</v>
      </c>
      <c r="T43" s="1">
        <f>C43*내역서!U228</f>
        <v>0</v>
      </c>
      <c r="U43" s="1">
        <f>C43*내역서!V228</f>
        <v>0</v>
      </c>
      <c r="V43" s="1">
        <f>C43*내역서!W228</f>
        <v>0</v>
      </c>
      <c r="W43" s="1">
        <f>C43*내역서!X228</f>
        <v>0</v>
      </c>
      <c r="X43" s="1">
        <f>C43*내역서!Y228</f>
        <v>0</v>
      </c>
      <c r="Y43" s="1">
        <f>C43*내역서!Z228</f>
        <v>0</v>
      </c>
      <c r="Z43" s="1">
        <f>C43*내역서!AA228</f>
        <v>0</v>
      </c>
      <c r="AA43" s="1">
        <f>C43*내역서!AB228</f>
        <v>0</v>
      </c>
      <c r="AB43" s="1">
        <f>C43*내역서!AC228</f>
        <v>0</v>
      </c>
      <c r="AC43" s="1">
        <f>C43*내역서!AD228</f>
        <v>0</v>
      </c>
      <c r="AD43" s="1">
        <f>C43*내역서!AE228</f>
        <v>0</v>
      </c>
      <c r="AE43" s="1">
        <f>C43*내역서!AF228</f>
        <v>0</v>
      </c>
      <c r="AF43" s="1">
        <f>C43*내역서!AG228</f>
        <v>0</v>
      </c>
      <c r="AG43" s="1">
        <f>C43*내역서!AH228</f>
        <v>0</v>
      </c>
      <c r="AH43" s="1">
        <f>C43*내역서!AI228</f>
        <v>0</v>
      </c>
      <c r="AI43" s="1">
        <f>C43*내역서!AJ228</f>
        <v>0</v>
      </c>
      <c r="AJ43" s="1">
        <f>C43*내역서!AK228</f>
        <v>0</v>
      </c>
      <c r="AK43" s="1">
        <f>C43*내역서!AL228</f>
        <v>0</v>
      </c>
      <c r="AL43" s="1">
        <f>C43*내역서!AM228</f>
        <v>0</v>
      </c>
      <c r="AM43" s="1">
        <f>C43*내역서!AN228</f>
        <v>0</v>
      </c>
      <c r="AN43" s="1">
        <f>C43*내역서!AO228</f>
        <v>0</v>
      </c>
      <c r="AO43" s="1">
        <f>C43*내역서!AP228</f>
        <v>0</v>
      </c>
      <c r="AP43" s="1">
        <f>C43*내역서!AQ228</f>
        <v>0</v>
      </c>
      <c r="AQ43" s="1">
        <f>C43*내역서!AR228</f>
        <v>0</v>
      </c>
      <c r="AR43" s="1">
        <f>C43*내역서!AS228</f>
        <v>0</v>
      </c>
      <c r="AS43" s="1">
        <f>C43*내역서!AT228</f>
        <v>0</v>
      </c>
      <c r="AT43" s="1">
        <f>C43*내역서!AU228</f>
        <v>0</v>
      </c>
      <c r="AU43" s="1">
        <f>C43*내역서!AV228</f>
        <v>0</v>
      </c>
    </row>
    <row r="44" spans="1:50" ht="22.9" customHeight="1" x14ac:dyDescent="0.3">
      <c r="A44" s="15"/>
      <c r="B44" s="22"/>
      <c r="C44" s="22"/>
      <c r="D44" s="17"/>
      <c r="E44" s="17"/>
      <c r="F44" s="17"/>
      <c r="G44" s="17"/>
      <c r="H44" s="17"/>
      <c r="I44" s="17"/>
      <c r="J44" s="17"/>
      <c r="K44" s="17"/>
      <c r="L44" s="15"/>
    </row>
    <row r="45" spans="1:50" ht="22.9" customHeight="1" x14ac:dyDescent="0.3">
      <c r="A45" s="15"/>
      <c r="B45" s="22"/>
      <c r="C45" s="22"/>
      <c r="D45" s="17"/>
      <c r="E45" s="17"/>
      <c r="F45" s="17"/>
      <c r="G45" s="17"/>
      <c r="H45" s="17"/>
      <c r="I45" s="17"/>
      <c r="J45" s="17"/>
      <c r="K45" s="17"/>
      <c r="L45" s="15"/>
    </row>
    <row r="46" spans="1:50" ht="22.9" customHeight="1" x14ac:dyDescent="0.3">
      <c r="A46" s="15"/>
      <c r="B46" s="22"/>
      <c r="C46" s="22"/>
      <c r="D46" s="17"/>
      <c r="E46" s="17"/>
      <c r="F46" s="17"/>
      <c r="G46" s="17"/>
      <c r="H46" s="17"/>
      <c r="I46" s="17"/>
      <c r="J46" s="17"/>
      <c r="K46" s="17"/>
      <c r="L46" s="15"/>
    </row>
    <row r="47" spans="1:50" ht="22.9" customHeight="1" x14ac:dyDescent="0.3">
      <c r="A47" s="15"/>
      <c r="B47" s="22"/>
      <c r="C47" s="22"/>
      <c r="D47" s="17"/>
      <c r="E47" s="17"/>
      <c r="F47" s="17"/>
      <c r="G47" s="17"/>
      <c r="H47" s="17"/>
      <c r="I47" s="17"/>
      <c r="J47" s="17"/>
      <c r="K47" s="17"/>
      <c r="L47" s="15"/>
    </row>
    <row r="48" spans="1:50" ht="22.9" customHeight="1" x14ac:dyDescent="0.3">
      <c r="A48" s="15"/>
      <c r="B48" s="22"/>
      <c r="C48" s="22"/>
      <c r="D48" s="17"/>
      <c r="E48" s="17"/>
      <c r="F48" s="17"/>
      <c r="G48" s="17"/>
      <c r="H48" s="17"/>
      <c r="I48" s="17"/>
      <c r="J48" s="17"/>
      <c r="K48" s="17"/>
      <c r="L48" s="15"/>
    </row>
    <row r="49" spans="1:50" ht="22.9" customHeight="1" x14ac:dyDescent="0.3">
      <c r="A49" s="15"/>
      <c r="B49" s="22"/>
      <c r="C49" s="22"/>
      <c r="D49" s="17"/>
      <c r="E49" s="17"/>
      <c r="F49" s="17"/>
      <c r="G49" s="17"/>
      <c r="H49" s="17"/>
      <c r="I49" s="17"/>
      <c r="J49" s="17"/>
      <c r="K49" s="17"/>
      <c r="L49" s="15"/>
    </row>
    <row r="50" spans="1:50" ht="22.9" customHeight="1" x14ac:dyDescent="0.3">
      <c r="A50" s="15"/>
      <c r="B50" s="22"/>
      <c r="C50" s="22"/>
      <c r="D50" s="17"/>
      <c r="E50" s="17"/>
      <c r="F50" s="17"/>
      <c r="G50" s="17"/>
      <c r="H50" s="17"/>
      <c r="I50" s="17"/>
      <c r="J50" s="17"/>
      <c r="K50" s="17"/>
      <c r="L50" s="15"/>
    </row>
    <row r="51" spans="1:50" ht="22.9" customHeight="1" x14ac:dyDescent="0.3">
      <c r="A51" s="15"/>
      <c r="B51" s="22"/>
      <c r="C51" s="22"/>
      <c r="D51" s="17"/>
      <c r="E51" s="17"/>
      <c r="F51" s="17"/>
      <c r="G51" s="17"/>
      <c r="H51" s="17"/>
      <c r="I51" s="17"/>
      <c r="J51" s="17"/>
      <c r="K51" s="17"/>
      <c r="L51" s="15"/>
    </row>
    <row r="52" spans="1:50" ht="22.9" customHeight="1" x14ac:dyDescent="0.3">
      <c r="A52" s="18" t="s">
        <v>439</v>
      </c>
      <c r="B52" s="20"/>
      <c r="C52" s="20"/>
      <c r="D52" s="21"/>
      <c r="E52" s="21">
        <f>SUMIF(P38:P43,"1",E38:E43)</f>
        <v>1201557</v>
      </c>
      <c r="F52" s="21"/>
      <c r="G52" s="21">
        <f>SUMIF(P38:P43,"1",G38:G43)</f>
        <v>11075022</v>
      </c>
      <c r="H52" s="21"/>
      <c r="I52" s="21">
        <f>SUMIF(P38:P43,"1",I38:I43)</f>
        <v>2004618</v>
      </c>
      <c r="J52" s="21"/>
      <c r="K52" s="21">
        <f>E52+G52+I52</f>
        <v>14281197</v>
      </c>
      <c r="L52" s="19"/>
      <c r="Q52" s="1">
        <f t="shared" ref="Q52:AX52" si="10">SUM(Q38:Q43)</f>
        <v>2004618</v>
      </c>
      <c r="R52" s="1">
        <f t="shared" si="10"/>
        <v>0</v>
      </c>
      <c r="S52" s="1">
        <f t="shared" si="10"/>
        <v>0</v>
      </c>
      <c r="T52" s="1">
        <f t="shared" si="10"/>
        <v>0</v>
      </c>
      <c r="U52" s="1">
        <f t="shared" si="10"/>
        <v>0</v>
      </c>
      <c r="V52" s="1">
        <f t="shared" si="10"/>
        <v>0</v>
      </c>
      <c r="W52" s="1">
        <f t="shared" si="10"/>
        <v>0</v>
      </c>
      <c r="X52" s="1">
        <f t="shared" si="10"/>
        <v>0</v>
      </c>
      <c r="Y52" s="1">
        <f t="shared" si="10"/>
        <v>0</v>
      </c>
      <c r="Z52" s="1">
        <f t="shared" si="10"/>
        <v>0</v>
      </c>
      <c r="AA52" s="1">
        <f t="shared" si="10"/>
        <v>0</v>
      </c>
      <c r="AB52" s="1">
        <f t="shared" si="10"/>
        <v>0</v>
      </c>
      <c r="AC52" s="1">
        <f t="shared" si="10"/>
        <v>0</v>
      </c>
      <c r="AD52" s="1">
        <f t="shared" si="10"/>
        <v>0</v>
      </c>
      <c r="AE52" s="1">
        <f t="shared" si="10"/>
        <v>0</v>
      </c>
      <c r="AF52" s="1">
        <f t="shared" si="10"/>
        <v>-797784</v>
      </c>
      <c r="AG52" s="1">
        <f t="shared" si="10"/>
        <v>0</v>
      </c>
      <c r="AH52" s="1">
        <f t="shared" si="10"/>
        <v>0</v>
      </c>
      <c r="AI52" s="1">
        <f t="shared" si="10"/>
        <v>0</v>
      </c>
      <c r="AJ52" s="1">
        <f t="shared" si="10"/>
        <v>0</v>
      </c>
      <c r="AK52" s="1">
        <f t="shared" si="10"/>
        <v>0</v>
      </c>
      <c r="AL52" s="1">
        <f t="shared" si="10"/>
        <v>0</v>
      </c>
      <c r="AM52" s="1">
        <f t="shared" si="10"/>
        <v>0</v>
      </c>
      <c r="AN52" s="1">
        <f t="shared" si="10"/>
        <v>0</v>
      </c>
      <c r="AO52" s="1">
        <f t="shared" si="10"/>
        <v>0</v>
      </c>
      <c r="AP52" s="1">
        <f t="shared" si="10"/>
        <v>0</v>
      </c>
      <c r="AQ52" s="1">
        <f t="shared" si="10"/>
        <v>0</v>
      </c>
      <c r="AR52" s="1">
        <f t="shared" si="10"/>
        <v>0</v>
      </c>
      <c r="AS52" s="1">
        <f t="shared" si="10"/>
        <v>0</v>
      </c>
      <c r="AT52" s="1">
        <f t="shared" si="10"/>
        <v>0</v>
      </c>
      <c r="AU52" s="1">
        <f t="shared" si="10"/>
        <v>0</v>
      </c>
      <c r="AV52" s="1">
        <f t="shared" si="10"/>
        <v>0</v>
      </c>
      <c r="AW52" s="1">
        <f t="shared" si="10"/>
        <v>0</v>
      </c>
      <c r="AX52" s="1">
        <f t="shared" si="10"/>
        <v>0</v>
      </c>
    </row>
  </sheetData>
  <mergeCells count="10">
    <mergeCell ref="A1:L1"/>
    <mergeCell ref="A2:L2"/>
    <mergeCell ref="A3:A4"/>
    <mergeCell ref="B3:B4"/>
    <mergeCell ref="C3:C4"/>
    <mergeCell ref="L3:L4"/>
    <mergeCell ref="D3:E3"/>
    <mergeCell ref="F3:G3"/>
    <mergeCell ref="H3:I3"/>
    <mergeCell ref="J3:K3"/>
  </mergeCells>
  <phoneticPr fontId="12" type="noConversion"/>
  <conditionalFormatting sqref="A5:L52">
    <cfRule type="containsText" dxfId="21" priority="1" stopIfTrue="1" operator="containsText" text=".">
      <formula>NOT(ISERROR(SEARCH(".",A5)))</formula>
    </cfRule>
    <cfRule type="containsText" dxfId="20" priority="2" stopIfTrue="1" operator="containsText" text=".">
      <formula>ISERROR(SEARCH(".",A5))</formula>
    </cfRule>
  </conditionalFormatting>
  <pageMargins left="0.74763888120651245" right="0" top="0.55097222328186035" bottom="0.15722222626209259" header="0.31486111879348755" footer="0.15722222626209259"/>
  <pageSetup paperSize="9" scale="95" orientation="landscape"/>
  <rowBreaks count="3" manualBreakCount="3">
    <brk id="20" max="1048575" man="1"/>
    <brk id="36" max="1048575" man="1"/>
    <brk id="52" max="1048575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rgb="FFFFFFB7"/>
  </sheetPr>
  <dimension ref="A1:AY228"/>
  <sheetViews>
    <sheetView zoomScaleNormal="100" zoomScaleSheetLayoutView="75" workbookViewId="0">
      <pane xSplit="4" ySplit="4" topLeftCell="E123" activePane="bottomRight" state="frozen"/>
      <selection pane="topRight"/>
      <selection pane="bottomLeft"/>
      <selection pane="bottomRight" activeCell="L20" sqref="L20"/>
    </sheetView>
  </sheetViews>
  <sheetFormatPr defaultColWidth="9" defaultRowHeight="16.5" x14ac:dyDescent="0.3"/>
  <cols>
    <col min="1" max="2" width="20.75" style="3" customWidth="1"/>
    <col min="3" max="3" width="4.75" style="4" customWidth="1"/>
    <col min="4" max="5" width="6.75" style="5" customWidth="1"/>
    <col min="6" max="6" width="9.75" style="5" customWidth="1"/>
    <col min="7" max="7" width="6.75" style="5" customWidth="1"/>
    <col min="8" max="8" width="9.75" style="5" customWidth="1"/>
    <col min="9" max="9" width="6.75" style="5" customWidth="1"/>
    <col min="10" max="10" width="9.75" style="5" customWidth="1"/>
    <col min="11" max="11" width="6.75" style="5" customWidth="1"/>
    <col min="12" max="12" width="9.75" style="5" customWidth="1"/>
    <col min="13" max="13" width="8.75" style="5" customWidth="1"/>
    <col min="14" max="51" width="0" style="1" hidden="1" customWidth="1"/>
  </cols>
  <sheetData>
    <row r="1" spans="1:51" ht="30" customHeight="1" x14ac:dyDescent="0.3">
      <c r="A1" s="68" t="s">
        <v>328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</row>
    <row r="2" spans="1:51" ht="22.9" customHeight="1" x14ac:dyDescent="0.3">
      <c r="A2" s="69" t="s">
        <v>308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</row>
    <row r="3" spans="1:51" ht="22.9" customHeight="1" x14ac:dyDescent="0.3">
      <c r="A3" s="56" t="s">
        <v>332</v>
      </c>
      <c r="B3" s="56" t="s">
        <v>327</v>
      </c>
      <c r="C3" s="56" t="s">
        <v>3</v>
      </c>
      <c r="D3" s="56" t="s">
        <v>427</v>
      </c>
      <c r="E3" s="56" t="s">
        <v>477</v>
      </c>
      <c r="F3" s="56"/>
      <c r="G3" s="56" t="s">
        <v>470</v>
      </c>
      <c r="H3" s="56"/>
      <c r="I3" s="56" t="s">
        <v>305</v>
      </c>
      <c r="J3" s="56"/>
      <c r="K3" s="56" t="s">
        <v>301</v>
      </c>
      <c r="L3" s="56"/>
      <c r="M3" s="56" t="s">
        <v>103</v>
      </c>
    </row>
    <row r="4" spans="1:51" ht="22.9" customHeight="1" x14ac:dyDescent="0.3">
      <c r="A4" s="56"/>
      <c r="B4" s="56"/>
      <c r="C4" s="56"/>
      <c r="D4" s="56"/>
      <c r="E4" s="12" t="s">
        <v>432</v>
      </c>
      <c r="F4" s="12" t="s">
        <v>435</v>
      </c>
      <c r="G4" s="12" t="s">
        <v>432</v>
      </c>
      <c r="H4" s="12" t="s">
        <v>435</v>
      </c>
      <c r="I4" s="12" t="s">
        <v>432</v>
      </c>
      <c r="J4" s="12" t="s">
        <v>435</v>
      </c>
      <c r="K4" s="12" t="s">
        <v>432</v>
      </c>
      <c r="L4" s="12" t="s">
        <v>435</v>
      </c>
      <c r="M4" s="56"/>
      <c r="N4" s="1" t="s">
        <v>445</v>
      </c>
      <c r="O4" s="1" t="s">
        <v>430</v>
      </c>
      <c r="P4" s="1" t="s">
        <v>433</v>
      </c>
      <c r="Q4" s="1" t="s">
        <v>426</v>
      </c>
      <c r="R4" s="1" t="s">
        <v>438</v>
      </c>
      <c r="S4" s="1" t="s">
        <v>101</v>
      </c>
      <c r="T4" s="1" t="s">
        <v>554</v>
      </c>
      <c r="U4" s="1" t="s">
        <v>100</v>
      </c>
      <c r="V4" s="1" t="s">
        <v>91</v>
      </c>
      <c r="W4" s="1" t="s">
        <v>115</v>
      </c>
      <c r="X4" s="1" t="s">
        <v>548</v>
      </c>
      <c r="Y4" s="1" t="s">
        <v>87</v>
      </c>
      <c r="Z4" s="1" t="s">
        <v>555</v>
      </c>
      <c r="AA4" s="1" t="s">
        <v>560</v>
      </c>
      <c r="AB4" s="1" t="s">
        <v>550</v>
      </c>
      <c r="AC4" s="1" t="s">
        <v>568</v>
      </c>
      <c r="AD4" s="1" t="s">
        <v>545</v>
      </c>
      <c r="AE4" s="1" t="s">
        <v>565</v>
      </c>
      <c r="AF4" s="1" t="s">
        <v>567</v>
      </c>
      <c r="AG4" s="1" t="s">
        <v>336</v>
      </c>
      <c r="AH4" s="1" t="s">
        <v>335</v>
      </c>
      <c r="AI4" s="1" t="s">
        <v>551</v>
      </c>
      <c r="AJ4" s="1" t="s">
        <v>561</v>
      </c>
      <c r="AK4" s="1" t="s">
        <v>569</v>
      </c>
      <c r="AL4" s="1" t="s">
        <v>570</v>
      </c>
      <c r="AM4" s="1" t="s">
        <v>571</v>
      </c>
      <c r="AN4" s="1" t="s">
        <v>573</v>
      </c>
      <c r="AO4" s="1" t="s">
        <v>585</v>
      </c>
      <c r="AP4" s="1" t="s">
        <v>581</v>
      </c>
      <c r="AQ4" s="1" t="s">
        <v>586</v>
      </c>
      <c r="AR4" s="1" t="s">
        <v>583</v>
      </c>
      <c r="AS4" s="1" t="s">
        <v>577</v>
      </c>
      <c r="AT4" s="1" t="s">
        <v>579</v>
      </c>
      <c r="AU4" s="1" t="s">
        <v>580</v>
      </c>
      <c r="AV4" s="1" t="s">
        <v>588</v>
      </c>
      <c r="AW4" s="1" t="s">
        <v>447</v>
      </c>
      <c r="AX4" s="1" t="s">
        <v>434</v>
      </c>
      <c r="AY4" s="1" t="s">
        <v>7</v>
      </c>
    </row>
    <row r="5" spans="1:51" ht="22.9" customHeight="1" x14ac:dyDescent="0.3">
      <c r="A5" s="73" t="s">
        <v>333</v>
      </c>
      <c r="B5" s="74"/>
      <c r="C5" s="74"/>
      <c r="D5" s="74"/>
      <c r="E5" s="74"/>
      <c r="F5" s="74"/>
      <c r="G5" s="74"/>
      <c r="H5" s="74"/>
      <c r="I5" s="74"/>
      <c r="J5" s="74"/>
      <c r="K5" s="74"/>
      <c r="L5" s="74"/>
      <c r="M5" s="75"/>
    </row>
    <row r="6" spans="1:51" ht="22.9" customHeight="1" x14ac:dyDescent="0.3">
      <c r="A6" s="14" t="s">
        <v>296</v>
      </c>
      <c r="B6" s="14" t="s">
        <v>297</v>
      </c>
      <c r="C6" s="16" t="s">
        <v>55</v>
      </c>
      <c r="D6" s="17">
        <v>1</v>
      </c>
      <c r="E6" s="17">
        <f>일위대가목록!G5</f>
        <v>49196</v>
      </c>
      <c r="F6" s="17">
        <f>ROUNDDOWN(D6*E6,0)</f>
        <v>49196</v>
      </c>
      <c r="G6" s="17">
        <f>일위대가목록!I5</f>
        <v>156891</v>
      </c>
      <c r="H6" s="17">
        <f>ROUNDDOWN(D6*G6,0)</f>
        <v>156891</v>
      </c>
      <c r="I6" s="17">
        <f>일위대가목록!K5</f>
        <v>0</v>
      </c>
      <c r="J6" s="17">
        <f>ROUNDDOWN(D6*I6,0)</f>
        <v>0</v>
      </c>
      <c r="K6" s="17">
        <f>E6+G6+I6</f>
        <v>206087</v>
      </c>
      <c r="L6" s="17">
        <f>F6+H6+J6</f>
        <v>206087</v>
      </c>
      <c r="M6" s="25" t="s">
        <v>500</v>
      </c>
      <c r="O6" s="1" t="str">
        <f>""</f>
        <v/>
      </c>
      <c r="P6" s="2" t="s">
        <v>438</v>
      </c>
      <c r="Q6" s="1">
        <v>1</v>
      </c>
      <c r="R6" s="1">
        <f>IF(P6="기계경비",J6,0)</f>
        <v>0</v>
      </c>
      <c r="S6" s="1">
        <f>IF(P6="운반비",L6,0)</f>
        <v>0</v>
      </c>
      <c r="T6" s="1">
        <f>IF(P6="작업부산물",F6,0)</f>
        <v>0</v>
      </c>
      <c r="U6" s="1">
        <f>IF(P6="관급",F6,0)</f>
        <v>0</v>
      </c>
      <c r="V6" s="1">
        <f>IF(P6="외주비",J6,0)</f>
        <v>0</v>
      </c>
      <c r="W6" s="1">
        <f>IF(P6="장비비",J6,0)</f>
        <v>0</v>
      </c>
      <c r="X6" s="1">
        <f>IF(P6="폐기물처리비",L6,0)</f>
        <v>0</v>
      </c>
      <c r="Y6" s="1">
        <f>IF(P6="가설비",J6,0)</f>
        <v>0</v>
      </c>
      <c r="Z6" s="1">
        <f>IF(P6="잡비제외분",F6,0)</f>
        <v>0</v>
      </c>
      <c r="AA6" s="1">
        <f>IF(P6="사급자재대",L6,0)</f>
        <v>0</v>
      </c>
      <c r="AB6" s="1">
        <f>IF(P6="관급자재대",L6,0)</f>
        <v>0</v>
      </c>
      <c r="AC6" s="1">
        <f>IF(P6="사용자항목1",L6,0)</f>
        <v>0</v>
      </c>
      <c r="AD6" s="1">
        <f>IF(P6="사용자항목2",L6,0)</f>
        <v>0</v>
      </c>
      <c r="AE6" s="1">
        <f>IF(P6="안전관리비",L6,0)</f>
        <v>0</v>
      </c>
      <c r="AF6" s="1">
        <f>IF(P6="품질관리비",L6,0)</f>
        <v>0</v>
      </c>
      <c r="AG6" s="1">
        <f>IF(P6="작업부산물(철거해체)",L6,0)</f>
        <v>0</v>
      </c>
      <c r="AH6" s="1">
        <f>IF(P6="재해예방기술지도비",L6,0)</f>
        <v>0</v>
      </c>
      <c r="AI6" s="1">
        <f>IF(P6="사용자항목7",L6,0)</f>
        <v>0</v>
      </c>
      <c r="AJ6" s="1">
        <f>IF(P6="석면분담금",L6,0)</f>
        <v>0</v>
      </c>
      <c r="AK6" s="1">
        <f>IF(P6="임금채권분담금",L6,0)</f>
        <v>0</v>
      </c>
      <c r="AL6" s="1">
        <f>IF(P6="사용자항목10",L6,0)</f>
        <v>0</v>
      </c>
      <c r="AM6" s="1">
        <f>IF(P6="사용자항목11",L6,0)</f>
        <v>0</v>
      </c>
      <c r="AN6" s="1">
        <f>IF(P6="사용자항목12",L6,0)</f>
        <v>0</v>
      </c>
      <c r="AO6" s="1">
        <f>IF(P6="사용자항목13",L6,0)</f>
        <v>0</v>
      </c>
      <c r="AP6" s="1">
        <f>IF(P6="사용자항목14",L6,0)</f>
        <v>0</v>
      </c>
      <c r="AQ6" s="1">
        <f>IF(P6="사용자항목15",L6,0)</f>
        <v>0</v>
      </c>
      <c r="AR6" s="1">
        <f>IF(P6="사용자항목16",L6,0)</f>
        <v>0</v>
      </c>
      <c r="AS6" s="1">
        <f>IF(P6="사용자항목17",L6,0)</f>
        <v>0</v>
      </c>
      <c r="AT6" s="1">
        <f>IF(P6="사용자항목18",L6,0)</f>
        <v>0</v>
      </c>
      <c r="AU6" s="1">
        <f>IF(P6="사용자항목19",L6,0)</f>
        <v>0</v>
      </c>
    </row>
    <row r="7" spans="1:51" ht="22.9" customHeight="1" x14ac:dyDescent="0.3">
      <c r="A7" s="15"/>
      <c r="B7" s="15"/>
      <c r="C7" s="22"/>
      <c r="D7" s="17"/>
      <c r="E7" s="17"/>
      <c r="F7" s="17"/>
      <c r="G7" s="17"/>
      <c r="H7" s="17"/>
      <c r="I7" s="17"/>
      <c r="J7" s="17"/>
      <c r="K7" s="17"/>
      <c r="L7" s="17"/>
      <c r="M7" s="17"/>
    </row>
    <row r="8" spans="1:51" ht="22.9" customHeight="1" x14ac:dyDescent="0.3">
      <c r="A8" s="15"/>
      <c r="B8" s="15"/>
      <c r="C8" s="22"/>
      <c r="D8" s="17"/>
      <c r="E8" s="17"/>
      <c r="F8" s="17"/>
      <c r="G8" s="17"/>
      <c r="H8" s="17"/>
      <c r="I8" s="17"/>
      <c r="J8" s="17"/>
      <c r="K8" s="17"/>
      <c r="L8" s="17"/>
      <c r="M8" s="17"/>
    </row>
    <row r="9" spans="1:51" ht="22.9" customHeight="1" x14ac:dyDescent="0.3">
      <c r="A9" s="15"/>
      <c r="B9" s="15"/>
      <c r="C9" s="22"/>
      <c r="D9" s="17"/>
      <c r="E9" s="17"/>
      <c r="F9" s="17"/>
      <c r="G9" s="17"/>
      <c r="H9" s="17"/>
      <c r="I9" s="17"/>
      <c r="J9" s="17"/>
      <c r="K9" s="17"/>
      <c r="L9" s="17"/>
      <c r="M9" s="17"/>
    </row>
    <row r="10" spans="1:51" ht="22.9" customHeight="1" x14ac:dyDescent="0.3">
      <c r="A10" s="15"/>
      <c r="B10" s="15"/>
      <c r="C10" s="22"/>
      <c r="D10" s="17"/>
      <c r="E10" s="17"/>
      <c r="F10" s="17"/>
      <c r="G10" s="17"/>
      <c r="H10" s="17"/>
      <c r="I10" s="17"/>
      <c r="J10" s="17"/>
      <c r="K10" s="17"/>
      <c r="L10" s="17"/>
      <c r="M10" s="17"/>
    </row>
    <row r="11" spans="1:51" ht="22.9" customHeight="1" x14ac:dyDescent="0.3">
      <c r="A11" s="15"/>
      <c r="B11" s="15"/>
      <c r="C11" s="22"/>
      <c r="D11" s="17"/>
      <c r="E11" s="17"/>
      <c r="F11" s="17"/>
      <c r="G11" s="17"/>
      <c r="H11" s="17"/>
      <c r="I11" s="17"/>
      <c r="J11" s="17"/>
      <c r="K11" s="17"/>
      <c r="L11" s="17"/>
      <c r="M11" s="17"/>
    </row>
    <row r="12" spans="1:51" ht="22.9" customHeight="1" x14ac:dyDescent="0.3">
      <c r="A12" s="15"/>
      <c r="B12" s="15"/>
      <c r="C12" s="22"/>
      <c r="D12" s="17"/>
      <c r="E12" s="17"/>
      <c r="F12" s="17"/>
      <c r="G12" s="17"/>
      <c r="H12" s="17"/>
      <c r="I12" s="17"/>
      <c r="J12" s="17"/>
      <c r="K12" s="17"/>
      <c r="L12" s="17"/>
      <c r="M12" s="17"/>
    </row>
    <row r="13" spans="1:51" ht="22.9" customHeight="1" x14ac:dyDescent="0.3">
      <c r="A13" s="15"/>
      <c r="B13" s="15"/>
      <c r="C13" s="22"/>
      <c r="D13" s="17"/>
      <c r="E13" s="17"/>
      <c r="F13" s="17"/>
      <c r="G13" s="17"/>
      <c r="H13" s="17"/>
      <c r="I13" s="17"/>
      <c r="J13" s="17"/>
      <c r="K13" s="17"/>
      <c r="L13" s="17"/>
      <c r="M13" s="17"/>
    </row>
    <row r="14" spans="1:51" ht="22.9" customHeight="1" x14ac:dyDescent="0.3">
      <c r="A14" s="15"/>
      <c r="B14" s="15"/>
      <c r="C14" s="22"/>
      <c r="D14" s="17"/>
      <c r="E14" s="17"/>
      <c r="F14" s="17"/>
      <c r="G14" s="17"/>
      <c r="H14" s="17"/>
      <c r="I14" s="17"/>
      <c r="J14" s="17"/>
      <c r="K14" s="17"/>
      <c r="L14" s="17"/>
      <c r="M14" s="17"/>
    </row>
    <row r="15" spans="1:51" ht="22.9" customHeight="1" x14ac:dyDescent="0.3">
      <c r="A15" s="15"/>
      <c r="B15" s="15"/>
      <c r="C15" s="22"/>
      <c r="D15" s="17"/>
      <c r="E15" s="17"/>
      <c r="F15" s="17"/>
      <c r="G15" s="17"/>
      <c r="H15" s="17"/>
      <c r="I15" s="17"/>
      <c r="J15" s="17"/>
      <c r="K15" s="17"/>
      <c r="L15" s="17"/>
      <c r="M15" s="17"/>
    </row>
    <row r="16" spans="1:51" ht="22.9" customHeight="1" x14ac:dyDescent="0.3">
      <c r="A16" s="15"/>
      <c r="B16" s="15"/>
      <c r="C16" s="22"/>
      <c r="D16" s="17"/>
      <c r="E16" s="17"/>
      <c r="F16" s="17"/>
      <c r="G16" s="17"/>
      <c r="H16" s="17"/>
      <c r="I16" s="17"/>
      <c r="J16" s="17"/>
      <c r="K16" s="17"/>
      <c r="L16" s="17"/>
      <c r="M16" s="17"/>
    </row>
    <row r="17" spans="1:51" ht="22.9" customHeight="1" x14ac:dyDescent="0.3">
      <c r="A17" s="15"/>
      <c r="B17" s="15"/>
      <c r="C17" s="22"/>
      <c r="D17" s="17"/>
      <c r="E17" s="17"/>
      <c r="F17" s="17"/>
      <c r="G17" s="17"/>
      <c r="H17" s="17"/>
      <c r="I17" s="17"/>
      <c r="J17" s="17"/>
      <c r="K17" s="17"/>
      <c r="L17" s="17"/>
      <c r="M17" s="17"/>
    </row>
    <row r="18" spans="1:51" ht="22.9" customHeight="1" x14ac:dyDescent="0.3">
      <c r="A18" s="15"/>
      <c r="B18" s="15"/>
      <c r="C18" s="22"/>
      <c r="D18" s="17"/>
      <c r="E18" s="17"/>
      <c r="F18" s="17"/>
      <c r="G18" s="17"/>
      <c r="H18" s="17"/>
      <c r="I18" s="17"/>
      <c r="J18" s="17"/>
      <c r="K18" s="17"/>
      <c r="L18" s="17"/>
      <c r="M18" s="17"/>
    </row>
    <row r="19" spans="1:51" ht="22.9" customHeight="1" x14ac:dyDescent="0.3">
      <c r="A19" s="15"/>
      <c r="B19" s="15"/>
      <c r="C19" s="22"/>
      <c r="D19" s="17"/>
      <c r="E19" s="17"/>
      <c r="F19" s="17"/>
      <c r="G19" s="17"/>
      <c r="H19" s="17"/>
      <c r="I19" s="17"/>
      <c r="J19" s="17"/>
      <c r="K19" s="17"/>
      <c r="L19" s="17"/>
      <c r="M19" s="17"/>
    </row>
    <row r="20" spans="1:51" ht="22.9" customHeight="1" x14ac:dyDescent="0.3">
      <c r="A20" s="18" t="s">
        <v>439</v>
      </c>
      <c r="B20" s="19"/>
      <c r="C20" s="20"/>
      <c r="D20" s="21"/>
      <c r="E20" s="21"/>
      <c r="F20" s="21">
        <f>ROUNDDOWN(SUMIF(Q6:Q19,"1",F6:F19),0)</f>
        <v>49196</v>
      </c>
      <c r="G20" s="21"/>
      <c r="H20" s="21">
        <f>ROUNDDOWN(SUMIF(Q6:Q19,"1",H6:H19),0)</f>
        <v>156891</v>
      </c>
      <c r="I20" s="21"/>
      <c r="J20" s="21">
        <f>ROUNDDOWN(SUMIF(Q6:Q19,"1",J6:J19),0)</f>
        <v>0</v>
      </c>
      <c r="K20" s="21"/>
      <c r="L20" s="21">
        <f>F20+H20+J20</f>
        <v>206087</v>
      </c>
      <c r="M20" s="21"/>
      <c r="R20" s="1">
        <f t="shared" ref="R20:AY20" si="0">ROUNDDOWN(SUM(R6:R6),0)</f>
        <v>0</v>
      </c>
      <c r="S20" s="1">
        <f t="shared" si="0"/>
        <v>0</v>
      </c>
      <c r="T20" s="1">
        <f t="shared" si="0"/>
        <v>0</v>
      </c>
      <c r="U20" s="1">
        <f t="shared" si="0"/>
        <v>0</v>
      </c>
      <c r="V20" s="1">
        <f t="shared" si="0"/>
        <v>0</v>
      </c>
      <c r="W20" s="1">
        <f t="shared" si="0"/>
        <v>0</v>
      </c>
      <c r="X20" s="1">
        <f t="shared" si="0"/>
        <v>0</v>
      </c>
      <c r="Y20" s="1">
        <f t="shared" si="0"/>
        <v>0</v>
      </c>
      <c r="Z20" s="1">
        <f t="shared" si="0"/>
        <v>0</v>
      </c>
      <c r="AA20" s="1">
        <f t="shared" si="0"/>
        <v>0</v>
      </c>
      <c r="AB20" s="1">
        <f t="shared" si="0"/>
        <v>0</v>
      </c>
      <c r="AC20" s="1">
        <f t="shared" si="0"/>
        <v>0</v>
      </c>
      <c r="AD20" s="1">
        <f t="shared" si="0"/>
        <v>0</v>
      </c>
      <c r="AE20" s="1">
        <f t="shared" si="0"/>
        <v>0</v>
      </c>
      <c r="AF20" s="1">
        <f t="shared" si="0"/>
        <v>0</v>
      </c>
      <c r="AG20" s="1">
        <f t="shared" si="0"/>
        <v>0</v>
      </c>
      <c r="AH20" s="1">
        <f t="shared" si="0"/>
        <v>0</v>
      </c>
      <c r="AI20" s="1">
        <f t="shared" si="0"/>
        <v>0</v>
      </c>
      <c r="AJ20" s="1">
        <f t="shared" si="0"/>
        <v>0</v>
      </c>
      <c r="AK20" s="1">
        <f t="shared" si="0"/>
        <v>0</v>
      </c>
      <c r="AL20" s="1">
        <f t="shared" si="0"/>
        <v>0</v>
      </c>
      <c r="AM20" s="1">
        <f t="shared" si="0"/>
        <v>0</v>
      </c>
      <c r="AN20" s="1">
        <f t="shared" si="0"/>
        <v>0</v>
      </c>
      <c r="AO20" s="1">
        <f t="shared" si="0"/>
        <v>0</v>
      </c>
      <c r="AP20" s="1">
        <f t="shared" si="0"/>
        <v>0</v>
      </c>
      <c r="AQ20" s="1">
        <f t="shared" si="0"/>
        <v>0</v>
      </c>
      <c r="AR20" s="1">
        <f t="shared" si="0"/>
        <v>0</v>
      </c>
      <c r="AS20" s="1">
        <f t="shared" si="0"/>
        <v>0</v>
      </c>
      <c r="AT20" s="1">
        <f t="shared" si="0"/>
        <v>0</v>
      </c>
      <c r="AU20" s="1">
        <f t="shared" si="0"/>
        <v>0</v>
      </c>
      <c r="AV20" s="1">
        <f t="shared" si="0"/>
        <v>0</v>
      </c>
      <c r="AW20" s="1">
        <f t="shared" si="0"/>
        <v>0</v>
      </c>
      <c r="AX20" s="1">
        <f t="shared" si="0"/>
        <v>0</v>
      </c>
      <c r="AY20" s="1">
        <f t="shared" si="0"/>
        <v>0</v>
      </c>
    </row>
    <row r="21" spans="1:51" ht="22.9" customHeight="1" x14ac:dyDescent="0.3">
      <c r="A21" s="71" t="s">
        <v>334</v>
      </c>
      <c r="B21" s="72"/>
      <c r="C21" s="72"/>
      <c r="D21" s="72"/>
      <c r="E21" s="72"/>
      <c r="F21" s="72"/>
      <c r="G21" s="72"/>
      <c r="H21" s="72"/>
      <c r="I21" s="72"/>
      <c r="J21" s="72"/>
      <c r="K21" s="72"/>
      <c r="L21" s="72"/>
      <c r="M21" s="72"/>
    </row>
    <row r="22" spans="1:51" ht="22.9" customHeight="1" x14ac:dyDescent="0.3">
      <c r="A22" s="14" t="s">
        <v>458</v>
      </c>
      <c r="B22" s="14" t="s">
        <v>157</v>
      </c>
      <c r="C22" s="16" t="s">
        <v>75</v>
      </c>
      <c r="D22" s="17">
        <v>2.66</v>
      </c>
      <c r="E22" s="17">
        <f>단가산출서목록!G5</f>
        <v>492</v>
      </c>
      <c r="F22" s="17">
        <f>ROUNDDOWN(D22*E22,0)</f>
        <v>1308</v>
      </c>
      <c r="G22" s="17">
        <f>단가산출서목록!I5</f>
        <v>2900</v>
      </c>
      <c r="H22" s="17">
        <f>ROUNDDOWN(D22*G22,0)</f>
        <v>7714</v>
      </c>
      <c r="I22" s="17">
        <f>단가산출서목록!K5</f>
        <v>681</v>
      </c>
      <c r="J22" s="17">
        <f>ROUNDDOWN(D22*I22,0)</f>
        <v>1811</v>
      </c>
      <c r="K22" s="17">
        <f t="shared" ref="K22:L24" si="1">E22+G22+I22</f>
        <v>4073</v>
      </c>
      <c r="L22" s="17">
        <f t="shared" si="1"/>
        <v>10833</v>
      </c>
      <c r="M22" s="25" t="s">
        <v>465</v>
      </c>
      <c r="O22" s="1" t="str">
        <f>""</f>
        <v/>
      </c>
      <c r="P22" s="2" t="s">
        <v>438</v>
      </c>
      <c r="Q22" s="1">
        <v>1</v>
      </c>
      <c r="R22" s="1">
        <f>IF(P22="기계경비",J22,0)</f>
        <v>1811</v>
      </c>
      <c r="S22" s="1">
        <f>IF(P22="운반비",L22,0)</f>
        <v>0</v>
      </c>
      <c r="T22" s="1">
        <f>IF(P22="작업부산물",F22,0)</f>
        <v>0</v>
      </c>
      <c r="U22" s="1">
        <f>IF(P22="관급",F22,0)</f>
        <v>0</v>
      </c>
      <c r="V22" s="1">
        <f>IF(P22="외주비",J22,0)</f>
        <v>0</v>
      </c>
      <c r="W22" s="1">
        <f>IF(P22="장비비",J22,0)</f>
        <v>0</v>
      </c>
      <c r="X22" s="1">
        <f>IF(P22="폐기물처리비",L22,0)</f>
        <v>0</v>
      </c>
      <c r="Y22" s="1">
        <f>IF(P22="가설비",J22,0)</f>
        <v>0</v>
      </c>
      <c r="Z22" s="1">
        <f>IF(P22="잡비제외분",F22,0)</f>
        <v>0</v>
      </c>
      <c r="AA22" s="1">
        <f>IF(P22="사급자재대",L22,0)</f>
        <v>0</v>
      </c>
      <c r="AB22" s="1">
        <f>IF(P22="관급자재대",L22,0)</f>
        <v>0</v>
      </c>
      <c r="AC22" s="1">
        <f>IF(P22="사용자항목1",L22,0)</f>
        <v>0</v>
      </c>
      <c r="AD22" s="1">
        <f>IF(P22="사용자항목2",L22,0)</f>
        <v>0</v>
      </c>
      <c r="AE22" s="1">
        <f>IF(P22="안전관리비",L22,0)</f>
        <v>0</v>
      </c>
      <c r="AF22" s="1">
        <f>IF(P22="품질관리비",L22,0)</f>
        <v>0</v>
      </c>
      <c r="AG22" s="1">
        <f>IF(P22="작업부산물(철거해체)",L22,0)</f>
        <v>0</v>
      </c>
      <c r="AH22" s="1">
        <f>IF(P22="재해예방기술지도비",L22,0)</f>
        <v>0</v>
      </c>
      <c r="AI22" s="1">
        <f>IF(P22="사용자항목7",L22,0)</f>
        <v>0</v>
      </c>
      <c r="AJ22" s="1">
        <f>IF(P22="석면분담금",L22,0)</f>
        <v>0</v>
      </c>
      <c r="AK22" s="1">
        <f>IF(P22="임금채권분담금",L22,0)</f>
        <v>0</v>
      </c>
      <c r="AL22" s="1">
        <f>IF(P22="사용자항목10",L22,0)</f>
        <v>0</v>
      </c>
      <c r="AM22" s="1">
        <f>IF(P22="사용자항목11",L22,0)</f>
        <v>0</v>
      </c>
      <c r="AN22" s="1">
        <f>IF(P22="사용자항목12",L22,0)</f>
        <v>0</v>
      </c>
      <c r="AO22" s="1">
        <f>IF(P22="사용자항목13",L22,0)</f>
        <v>0</v>
      </c>
      <c r="AP22" s="1">
        <f>IF(P22="사용자항목14",L22,0)</f>
        <v>0</v>
      </c>
      <c r="AQ22" s="1">
        <f>IF(P22="사용자항목15",L22,0)</f>
        <v>0</v>
      </c>
      <c r="AR22" s="1">
        <f>IF(P22="사용자항목16",L22,0)</f>
        <v>0</v>
      </c>
      <c r="AS22" s="1">
        <f>IF(P22="사용자항목17",L22,0)</f>
        <v>0</v>
      </c>
      <c r="AT22" s="1">
        <f>IF(P22="사용자항목18",L22,0)</f>
        <v>0</v>
      </c>
      <c r="AU22" s="1">
        <f>IF(P22="사용자항목19",L22,0)</f>
        <v>0</v>
      </c>
    </row>
    <row r="23" spans="1:51" ht="22.9" customHeight="1" x14ac:dyDescent="0.3">
      <c r="A23" s="14" t="s">
        <v>463</v>
      </c>
      <c r="B23" s="14" t="s">
        <v>181</v>
      </c>
      <c r="C23" s="16" t="s">
        <v>75</v>
      </c>
      <c r="D23" s="17">
        <v>4.58</v>
      </c>
      <c r="E23" s="17">
        <f>단가산출서목록!G6</f>
        <v>635</v>
      </c>
      <c r="F23" s="17">
        <f>ROUNDDOWN(D23*E23,0)</f>
        <v>2908</v>
      </c>
      <c r="G23" s="17">
        <f>단가산출서목록!I6</f>
        <v>6452</v>
      </c>
      <c r="H23" s="17">
        <f>ROUNDDOWN(D23*G23,0)</f>
        <v>29550</v>
      </c>
      <c r="I23" s="17">
        <f>단가산출서목록!K6</f>
        <v>638</v>
      </c>
      <c r="J23" s="17">
        <f>ROUNDDOWN(D23*I23,0)</f>
        <v>2922</v>
      </c>
      <c r="K23" s="17">
        <f t="shared" si="1"/>
        <v>7725</v>
      </c>
      <c r="L23" s="17">
        <f t="shared" si="1"/>
        <v>35380</v>
      </c>
      <c r="M23" s="25" t="s">
        <v>450</v>
      </c>
      <c r="O23" s="1" t="str">
        <f>""</f>
        <v/>
      </c>
      <c r="P23" s="2" t="s">
        <v>438</v>
      </c>
      <c r="Q23" s="1">
        <v>1</v>
      </c>
      <c r="R23" s="1">
        <f>IF(P23="기계경비",J23,0)</f>
        <v>2922</v>
      </c>
      <c r="S23" s="1">
        <f>IF(P23="운반비",L23,0)</f>
        <v>0</v>
      </c>
      <c r="T23" s="1">
        <f>IF(P23="작업부산물",F23,0)</f>
        <v>0</v>
      </c>
      <c r="U23" s="1">
        <f>IF(P23="관급",F23,0)</f>
        <v>0</v>
      </c>
      <c r="V23" s="1">
        <f>IF(P23="외주비",J23,0)</f>
        <v>0</v>
      </c>
      <c r="W23" s="1">
        <f>IF(P23="장비비",J23,0)</f>
        <v>0</v>
      </c>
      <c r="X23" s="1">
        <f>IF(P23="폐기물처리비",L23,0)</f>
        <v>0</v>
      </c>
      <c r="Y23" s="1">
        <f>IF(P23="가설비",J23,0)</f>
        <v>0</v>
      </c>
      <c r="Z23" s="1">
        <f>IF(P23="잡비제외분",F23,0)</f>
        <v>0</v>
      </c>
      <c r="AA23" s="1">
        <f>IF(P23="사급자재대",L23,0)</f>
        <v>0</v>
      </c>
      <c r="AB23" s="1">
        <f>IF(P23="관급자재대",L23,0)</f>
        <v>0</v>
      </c>
      <c r="AC23" s="1">
        <f>IF(P23="사용자항목1",L23,0)</f>
        <v>0</v>
      </c>
      <c r="AD23" s="1">
        <f>IF(P23="사용자항목2",L23,0)</f>
        <v>0</v>
      </c>
      <c r="AE23" s="1">
        <f>IF(P23="안전관리비",L23,0)</f>
        <v>0</v>
      </c>
      <c r="AF23" s="1">
        <f>IF(P23="품질관리비",L23,0)</f>
        <v>0</v>
      </c>
      <c r="AG23" s="1">
        <f>IF(P23="작업부산물(철거해체)",L23,0)</f>
        <v>0</v>
      </c>
      <c r="AH23" s="1">
        <f>IF(P23="재해예방기술지도비",L23,0)</f>
        <v>0</v>
      </c>
      <c r="AI23" s="1">
        <f>IF(P23="사용자항목7",L23,0)</f>
        <v>0</v>
      </c>
      <c r="AJ23" s="1">
        <f>IF(P23="석면분담금",L23,0)</f>
        <v>0</v>
      </c>
      <c r="AK23" s="1">
        <f>IF(P23="임금채권분담금",L23,0)</f>
        <v>0</v>
      </c>
      <c r="AL23" s="1">
        <f>IF(P23="사용자항목10",L23,0)</f>
        <v>0</v>
      </c>
      <c r="AM23" s="1">
        <f>IF(P23="사용자항목11",L23,0)</f>
        <v>0</v>
      </c>
      <c r="AN23" s="1">
        <f>IF(P23="사용자항목12",L23,0)</f>
        <v>0</v>
      </c>
      <c r="AO23" s="1">
        <f>IF(P23="사용자항목13",L23,0)</f>
        <v>0</v>
      </c>
      <c r="AP23" s="1">
        <f>IF(P23="사용자항목14",L23,0)</f>
        <v>0</v>
      </c>
      <c r="AQ23" s="1">
        <f>IF(P23="사용자항목15",L23,0)</f>
        <v>0</v>
      </c>
      <c r="AR23" s="1">
        <f>IF(P23="사용자항목16",L23,0)</f>
        <v>0</v>
      </c>
      <c r="AS23" s="1">
        <f>IF(P23="사용자항목17",L23,0)</f>
        <v>0</v>
      </c>
      <c r="AT23" s="1">
        <f>IF(P23="사용자항목18",L23,0)</f>
        <v>0</v>
      </c>
      <c r="AU23" s="1">
        <f>IF(P23="사용자항목19",L23,0)</f>
        <v>0</v>
      </c>
    </row>
    <row r="24" spans="1:51" ht="22.9" customHeight="1" x14ac:dyDescent="0.3">
      <c r="A24" s="14" t="s">
        <v>505</v>
      </c>
      <c r="B24" s="14" t="s">
        <v>487</v>
      </c>
      <c r="C24" s="16" t="s">
        <v>75</v>
      </c>
      <c r="D24" s="17">
        <v>1.92</v>
      </c>
      <c r="E24" s="17">
        <f>일위대가목록!G6</f>
        <v>29337</v>
      </c>
      <c r="F24" s="17">
        <f>ROUNDDOWN(D24*E24,0)</f>
        <v>56327</v>
      </c>
      <c r="G24" s="17">
        <f>일위대가목록!I6</f>
        <v>9670</v>
      </c>
      <c r="H24" s="17">
        <f>ROUNDDOWN(D24*G24,0)</f>
        <v>18566</v>
      </c>
      <c r="I24" s="17">
        <f>일위대가목록!K6</f>
        <v>1407</v>
      </c>
      <c r="J24" s="17">
        <f>ROUNDDOWN(D24*I24,0)</f>
        <v>2701</v>
      </c>
      <c r="K24" s="17">
        <f t="shared" si="1"/>
        <v>40414</v>
      </c>
      <c r="L24" s="17">
        <f t="shared" si="1"/>
        <v>77594</v>
      </c>
      <c r="M24" s="25" t="s">
        <v>509</v>
      </c>
      <c r="O24" s="1" t="str">
        <f>""</f>
        <v/>
      </c>
      <c r="P24" s="2" t="s">
        <v>438</v>
      </c>
      <c r="Q24" s="1">
        <v>1</v>
      </c>
      <c r="R24" s="1">
        <f>IF(P24="기계경비",J24,0)</f>
        <v>2701</v>
      </c>
      <c r="S24" s="1">
        <f>IF(P24="운반비",L24,0)</f>
        <v>0</v>
      </c>
      <c r="T24" s="1">
        <f>IF(P24="작업부산물",F24,0)</f>
        <v>0</v>
      </c>
      <c r="U24" s="1">
        <f>IF(P24="관급",F24,0)</f>
        <v>0</v>
      </c>
      <c r="V24" s="1">
        <f>IF(P24="외주비",J24,0)</f>
        <v>0</v>
      </c>
      <c r="W24" s="1">
        <f>IF(P24="장비비",J24,0)</f>
        <v>0</v>
      </c>
      <c r="X24" s="1">
        <f>IF(P24="폐기물처리비",L24,0)</f>
        <v>0</v>
      </c>
      <c r="Y24" s="1">
        <f>IF(P24="가설비",J24,0)</f>
        <v>0</v>
      </c>
      <c r="Z24" s="1">
        <f>IF(P24="잡비제외분",F24,0)</f>
        <v>0</v>
      </c>
      <c r="AA24" s="1">
        <f>IF(P24="사급자재대",L24,0)</f>
        <v>0</v>
      </c>
      <c r="AB24" s="1">
        <f>IF(P24="관급자재대",L24,0)</f>
        <v>0</v>
      </c>
      <c r="AC24" s="1">
        <f>IF(P24="사용자항목1",L24,0)</f>
        <v>0</v>
      </c>
      <c r="AD24" s="1">
        <f>IF(P24="사용자항목2",L24,0)</f>
        <v>0</v>
      </c>
      <c r="AE24" s="1">
        <f>IF(P24="안전관리비",L24,0)</f>
        <v>0</v>
      </c>
      <c r="AF24" s="1">
        <f>IF(P24="품질관리비",L24,0)</f>
        <v>0</v>
      </c>
      <c r="AG24" s="1">
        <f>IF(P24="작업부산물(철거해체)",L24,0)</f>
        <v>0</v>
      </c>
      <c r="AH24" s="1">
        <f>IF(P24="재해예방기술지도비",L24,0)</f>
        <v>0</v>
      </c>
      <c r="AI24" s="1">
        <f>IF(P24="사용자항목7",L24,0)</f>
        <v>0</v>
      </c>
      <c r="AJ24" s="1">
        <f>IF(P24="석면분담금",L24,0)</f>
        <v>0</v>
      </c>
      <c r="AK24" s="1">
        <f>IF(P24="임금채권분담금",L24,0)</f>
        <v>0</v>
      </c>
      <c r="AL24" s="1">
        <f>IF(P24="사용자항목10",L24,0)</f>
        <v>0</v>
      </c>
      <c r="AM24" s="1">
        <f>IF(P24="사용자항목11",L24,0)</f>
        <v>0</v>
      </c>
      <c r="AN24" s="1">
        <f>IF(P24="사용자항목12",L24,0)</f>
        <v>0</v>
      </c>
      <c r="AO24" s="1">
        <f>IF(P24="사용자항목13",L24,0)</f>
        <v>0</v>
      </c>
      <c r="AP24" s="1">
        <f>IF(P24="사용자항목14",L24,0)</f>
        <v>0</v>
      </c>
      <c r="AQ24" s="1">
        <f>IF(P24="사용자항목15",L24,0)</f>
        <v>0</v>
      </c>
      <c r="AR24" s="1">
        <f>IF(P24="사용자항목16",L24,0)</f>
        <v>0</v>
      </c>
      <c r="AS24" s="1">
        <f>IF(P24="사용자항목17",L24,0)</f>
        <v>0</v>
      </c>
      <c r="AT24" s="1">
        <f>IF(P24="사용자항목18",L24,0)</f>
        <v>0</v>
      </c>
      <c r="AU24" s="1">
        <f>IF(P24="사용자항목19",L24,0)</f>
        <v>0</v>
      </c>
    </row>
    <row r="25" spans="1:51" ht="22.9" customHeight="1" x14ac:dyDescent="0.3">
      <c r="A25" s="15"/>
      <c r="B25" s="15"/>
      <c r="C25" s="22"/>
      <c r="D25" s="17"/>
      <c r="E25" s="17"/>
      <c r="F25" s="17"/>
      <c r="G25" s="17"/>
      <c r="H25" s="17"/>
      <c r="I25" s="17"/>
      <c r="J25" s="17"/>
      <c r="K25" s="17"/>
      <c r="L25" s="17"/>
      <c r="M25" s="17"/>
    </row>
    <row r="26" spans="1:51" ht="22.9" customHeight="1" x14ac:dyDescent="0.3">
      <c r="A26" s="15"/>
      <c r="B26" s="15"/>
      <c r="C26" s="22"/>
      <c r="D26" s="17"/>
      <c r="E26" s="17"/>
      <c r="F26" s="17"/>
      <c r="G26" s="17"/>
      <c r="H26" s="17"/>
      <c r="I26" s="17"/>
      <c r="J26" s="17"/>
      <c r="K26" s="17"/>
      <c r="L26" s="17"/>
      <c r="M26" s="17"/>
    </row>
    <row r="27" spans="1:51" ht="22.9" customHeight="1" x14ac:dyDescent="0.3">
      <c r="A27" s="15"/>
      <c r="B27" s="15"/>
      <c r="C27" s="22"/>
      <c r="D27" s="17"/>
      <c r="E27" s="17"/>
      <c r="F27" s="17"/>
      <c r="G27" s="17"/>
      <c r="H27" s="17"/>
      <c r="I27" s="17"/>
      <c r="J27" s="17"/>
      <c r="K27" s="17"/>
      <c r="L27" s="17"/>
      <c r="M27" s="17"/>
    </row>
    <row r="28" spans="1:51" ht="22.9" customHeight="1" x14ac:dyDescent="0.3">
      <c r="A28" s="15"/>
      <c r="B28" s="15"/>
      <c r="C28" s="22"/>
      <c r="D28" s="17"/>
      <c r="E28" s="17"/>
      <c r="F28" s="17"/>
      <c r="G28" s="17"/>
      <c r="H28" s="17"/>
      <c r="I28" s="17"/>
      <c r="J28" s="17"/>
      <c r="K28" s="17"/>
      <c r="L28" s="17"/>
      <c r="M28" s="17"/>
    </row>
    <row r="29" spans="1:51" ht="22.9" customHeight="1" x14ac:dyDescent="0.3">
      <c r="A29" s="15"/>
      <c r="B29" s="15"/>
      <c r="C29" s="22"/>
      <c r="D29" s="17"/>
      <c r="E29" s="17"/>
      <c r="F29" s="17"/>
      <c r="G29" s="17"/>
      <c r="H29" s="17"/>
      <c r="I29" s="17"/>
      <c r="J29" s="17"/>
      <c r="K29" s="17"/>
      <c r="L29" s="17"/>
      <c r="M29" s="17"/>
    </row>
    <row r="30" spans="1:51" ht="22.9" customHeight="1" x14ac:dyDescent="0.3">
      <c r="A30" s="15"/>
      <c r="B30" s="15"/>
      <c r="C30" s="22"/>
      <c r="D30" s="17"/>
      <c r="E30" s="17"/>
      <c r="F30" s="17"/>
      <c r="G30" s="17"/>
      <c r="H30" s="17"/>
      <c r="I30" s="17"/>
      <c r="J30" s="17"/>
      <c r="K30" s="17"/>
      <c r="L30" s="17"/>
      <c r="M30" s="17"/>
    </row>
    <row r="31" spans="1:51" ht="22.9" customHeight="1" x14ac:dyDescent="0.3">
      <c r="A31" s="15"/>
      <c r="B31" s="15"/>
      <c r="C31" s="22"/>
      <c r="D31" s="17"/>
      <c r="E31" s="17"/>
      <c r="F31" s="17"/>
      <c r="G31" s="17"/>
      <c r="H31" s="17"/>
      <c r="I31" s="17"/>
      <c r="J31" s="17"/>
      <c r="K31" s="17"/>
      <c r="L31" s="17"/>
      <c r="M31" s="17"/>
    </row>
    <row r="32" spans="1:51" ht="22.9" customHeight="1" x14ac:dyDescent="0.3">
      <c r="A32" s="15"/>
      <c r="B32" s="15"/>
      <c r="C32" s="22"/>
      <c r="D32" s="17"/>
      <c r="E32" s="17"/>
      <c r="F32" s="17"/>
      <c r="G32" s="17"/>
      <c r="H32" s="17"/>
      <c r="I32" s="17"/>
      <c r="J32" s="17"/>
      <c r="K32" s="17"/>
      <c r="L32" s="17"/>
      <c r="M32" s="17"/>
    </row>
    <row r="33" spans="1:51" ht="22.9" customHeight="1" x14ac:dyDescent="0.3">
      <c r="A33" s="15"/>
      <c r="B33" s="15"/>
      <c r="C33" s="22"/>
      <c r="D33" s="17"/>
      <c r="E33" s="17"/>
      <c r="F33" s="17"/>
      <c r="G33" s="17"/>
      <c r="H33" s="17"/>
      <c r="I33" s="17"/>
      <c r="J33" s="17"/>
      <c r="K33" s="17"/>
      <c r="L33" s="17"/>
      <c r="M33" s="17"/>
    </row>
    <row r="34" spans="1:51" ht="22.9" customHeight="1" x14ac:dyDescent="0.3">
      <c r="A34" s="15"/>
      <c r="B34" s="15"/>
      <c r="C34" s="22"/>
      <c r="D34" s="17"/>
      <c r="E34" s="17"/>
      <c r="F34" s="17"/>
      <c r="G34" s="17"/>
      <c r="H34" s="17"/>
      <c r="I34" s="17"/>
      <c r="J34" s="17"/>
      <c r="K34" s="17"/>
      <c r="L34" s="17"/>
      <c r="M34" s="17"/>
    </row>
    <row r="35" spans="1:51" ht="22.9" customHeight="1" x14ac:dyDescent="0.3">
      <c r="A35" s="15"/>
      <c r="B35" s="15"/>
      <c r="C35" s="22"/>
      <c r="D35" s="17"/>
      <c r="E35" s="17"/>
      <c r="F35" s="17"/>
      <c r="G35" s="17"/>
      <c r="H35" s="17"/>
      <c r="I35" s="17"/>
      <c r="J35" s="17"/>
      <c r="K35" s="17"/>
      <c r="L35" s="17"/>
      <c r="M35" s="17"/>
    </row>
    <row r="36" spans="1:51" ht="22.9" customHeight="1" x14ac:dyDescent="0.3">
      <c r="A36" s="18" t="s">
        <v>439</v>
      </c>
      <c r="B36" s="19"/>
      <c r="C36" s="20"/>
      <c r="D36" s="21"/>
      <c r="E36" s="21"/>
      <c r="F36" s="21">
        <f>ROUNDDOWN(SUMIF(Q22:Q35,"1",F22:F35),0)</f>
        <v>60543</v>
      </c>
      <c r="G36" s="21"/>
      <c r="H36" s="21">
        <f>ROUNDDOWN(SUMIF(Q22:Q35,"1",H22:H35),0)</f>
        <v>55830</v>
      </c>
      <c r="I36" s="21"/>
      <c r="J36" s="21">
        <f>ROUNDDOWN(SUMIF(Q22:Q35,"1",J22:J35),0)</f>
        <v>7434</v>
      </c>
      <c r="K36" s="21"/>
      <c r="L36" s="21">
        <f>F36+H36+J36</f>
        <v>123807</v>
      </c>
      <c r="M36" s="21"/>
      <c r="R36" s="1">
        <f t="shared" ref="R36:AY36" si="2">ROUNDDOWN(SUM(R22:R24),0)</f>
        <v>7434</v>
      </c>
      <c r="S36" s="1">
        <f t="shared" si="2"/>
        <v>0</v>
      </c>
      <c r="T36" s="1">
        <f t="shared" si="2"/>
        <v>0</v>
      </c>
      <c r="U36" s="1">
        <f t="shared" si="2"/>
        <v>0</v>
      </c>
      <c r="V36" s="1">
        <f t="shared" si="2"/>
        <v>0</v>
      </c>
      <c r="W36" s="1">
        <f t="shared" si="2"/>
        <v>0</v>
      </c>
      <c r="X36" s="1">
        <f t="shared" si="2"/>
        <v>0</v>
      </c>
      <c r="Y36" s="1">
        <f t="shared" si="2"/>
        <v>0</v>
      </c>
      <c r="Z36" s="1">
        <f t="shared" si="2"/>
        <v>0</v>
      </c>
      <c r="AA36" s="1">
        <f t="shared" si="2"/>
        <v>0</v>
      </c>
      <c r="AB36" s="1">
        <f t="shared" si="2"/>
        <v>0</v>
      </c>
      <c r="AC36" s="1">
        <f t="shared" si="2"/>
        <v>0</v>
      </c>
      <c r="AD36" s="1">
        <f t="shared" si="2"/>
        <v>0</v>
      </c>
      <c r="AE36" s="1">
        <f t="shared" si="2"/>
        <v>0</v>
      </c>
      <c r="AF36" s="1">
        <f t="shared" si="2"/>
        <v>0</v>
      </c>
      <c r="AG36" s="1">
        <f t="shared" si="2"/>
        <v>0</v>
      </c>
      <c r="AH36" s="1">
        <f t="shared" si="2"/>
        <v>0</v>
      </c>
      <c r="AI36" s="1">
        <f t="shared" si="2"/>
        <v>0</v>
      </c>
      <c r="AJ36" s="1">
        <f t="shared" si="2"/>
        <v>0</v>
      </c>
      <c r="AK36" s="1">
        <f t="shared" si="2"/>
        <v>0</v>
      </c>
      <c r="AL36" s="1">
        <f t="shared" si="2"/>
        <v>0</v>
      </c>
      <c r="AM36" s="1">
        <f t="shared" si="2"/>
        <v>0</v>
      </c>
      <c r="AN36" s="1">
        <f t="shared" si="2"/>
        <v>0</v>
      </c>
      <c r="AO36" s="1">
        <f t="shared" si="2"/>
        <v>0</v>
      </c>
      <c r="AP36" s="1">
        <f t="shared" si="2"/>
        <v>0</v>
      </c>
      <c r="AQ36" s="1">
        <f t="shared" si="2"/>
        <v>0</v>
      </c>
      <c r="AR36" s="1">
        <f t="shared" si="2"/>
        <v>0</v>
      </c>
      <c r="AS36" s="1">
        <f t="shared" si="2"/>
        <v>0</v>
      </c>
      <c r="AT36" s="1">
        <f t="shared" si="2"/>
        <v>0</v>
      </c>
      <c r="AU36" s="1">
        <f t="shared" si="2"/>
        <v>0</v>
      </c>
      <c r="AV36" s="1">
        <f t="shared" si="2"/>
        <v>0</v>
      </c>
      <c r="AW36" s="1">
        <f t="shared" si="2"/>
        <v>0</v>
      </c>
      <c r="AX36" s="1">
        <f t="shared" si="2"/>
        <v>0</v>
      </c>
      <c r="AY36" s="1">
        <f t="shared" si="2"/>
        <v>0</v>
      </c>
    </row>
    <row r="37" spans="1:51" ht="22.9" customHeight="1" x14ac:dyDescent="0.3">
      <c r="A37" s="71" t="s">
        <v>342</v>
      </c>
      <c r="B37" s="72"/>
      <c r="C37" s="72"/>
      <c r="D37" s="72"/>
      <c r="E37" s="72"/>
      <c r="F37" s="72"/>
      <c r="G37" s="72"/>
      <c r="H37" s="72"/>
      <c r="I37" s="72"/>
      <c r="J37" s="72"/>
      <c r="K37" s="72"/>
      <c r="L37" s="72"/>
      <c r="M37" s="72"/>
    </row>
    <row r="38" spans="1:51" ht="22.9" customHeight="1" x14ac:dyDescent="0.3">
      <c r="A38" s="14" t="s">
        <v>510</v>
      </c>
      <c r="B38" s="14" t="s">
        <v>597</v>
      </c>
      <c r="C38" s="16" t="s">
        <v>67</v>
      </c>
      <c r="D38" s="17">
        <v>6</v>
      </c>
      <c r="E38" s="17">
        <f>일위대가목록!G7</f>
        <v>0</v>
      </c>
      <c r="F38" s="17">
        <f t="shared" ref="F38:F62" si="3">ROUNDDOWN(D38*E38,0)</f>
        <v>0</v>
      </c>
      <c r="G38" s="17">
        <f>일위대가목록!I7</f>
        <v>24901</v>
      </c>
      <c r="H38" s="17">
        <f t="shared" ref="H38:H62" si="4">ROUNDDOWN(D38*G38,0)</f>
        <v>149406</v>
      </c>
      <c r="I38" s="17">
        <f>일위대가목록!K7</f>
        <v>747</v>
      </c>
      <c r="J38" s="17">
        <f t="shared" ref="J38:J62" si="5">ROUNDDOWN(D38*I38,0)</f>
        <v>4482</v>
      </c>
      <c r="K38" s="17">
        <f t="shared" ref="K38:K62" si="6">E38+G38+I38</f>
        <v>25648</v>
      </c>
      <c r="L38" s="17">
        <f t="shared" ref="L38:L62" si="7">F38+H38+J38</f>
        <v>153888</v>
      </c>
      <c r="M38" s="25" t="s">
        <v>486</v>
      </c>
      <c r="O38" s="1" t="str">
        <f>""</f>
        <v/>
      </c>
      <c r="P38" s="2" t="s">
        <v>438</v>
      </c>
      <c r="Q38" s="1">
        <v>1</v>
      </c>
      <c r="R38" s="1">
        <f t="shared" ref="R38:R62" si="8">IF(P38="기계경비",J38,0)</f>
        <v>4482</v>
      </c>
      <c r="S38" s="1">
        <f t="shared" ref="S38:S62" si="9">IF(P38="운반비",L38,0)</f>
        <v>0</v>
      </c>
      <c r="T38" s="1">
        <f t="shared" ref="T38:T62" si="10">IF(P38="작업부산물",F38,0)</f>
        <v>0</v>
      </c>
      <c r="U38" s="1">
        <f t="shared" ref="U38:U62" si="11">IF(P38="관급",F38,0)</f>
        <v>0</v>
      </c>
      <c r="V38" s="1">
        <f t="shared" ref="V38:V62" si="12">IF(P38="외주비",J38,0)</f>
        <v>0</v>
      </c>
      <c r="W38" s="1">
        <f t="shared" ref="W38:W62" si="13">IF(P38="장비비",J38,0)</f>
        <v>0</v>
      </c>
      <c r="X38" s="1">
        <f t="shared" ref="X38:X62" si="14">IF(P38="폐기물처리비",L38,0)</f>
        <v>0</v>
      </c>
      <c r="Y38" s="1">
        <f t="shared" ref="Y38:Y62" si="15">IF(P38="가설비",J38,0)</f>
        <v>0</v>
      </c>
      <c r="Z38" s="1">
        <f t="shared" ref="Z38:Z62" si="16">IF(P38="잡비제외분",F38,0)</f>
        <v>0</v>
      </c>
      <c r="AA38" s="1">
        <f t="shared" ref="AA38:AA62" si="17">IF(P38="사급자재대",L38,0)</f>
        <v>0</v>
      </c>
      <c r="AB38" s="1">
        <f t="shared" ref="AB38:AB62" si="18">IF(P38="관급자재대",L38,0)</f>
        <v>0</v>
      </c>
      <c r="AC38" s="1">
        <f t="shared" ref="AC38:AC62" si="19">IF(P38="사용자항목1",L38,0)</f>
        <v>0</v>
      </c>
      <c r="AD38" s="1">
        <f t="shared" ref="AD38:AD62" si="20">IF(P38="사용자항목2",L38,0)</f>
        <v>0</v>
      </c>
      <c r="AE38" s="1">
        <f t="shared" ref="AE38:AE62" si="21">IF(P38="안전관리비",L38,0)</f>
        <v>0</v>
      </c>
      <c r="AF38" s="1">
        <f t="shared" ref="AF38:AF62" si="22">IF(P38="품질관리비",L38,0)</f>
        <v>0</v>
      </c>
      <c r="AG38" s="1">
        <f t="shared" ref="AG38:AG62" si="23">IF(P38="작업부산물(철거해체)",L38,0)</f>
        <v>0</v>
      </c>
      <c r="AH38" s="1">
        <f t="shared" ref="AH38:AH62" si="24">IF(P38="재해예방기술지도비",L38,0)</f>
        <v>0</v>
      </c>
      <c r="AI38" s="1">
        <f t="shared" ref="AI38:AI62" si="25">IF(P38="사용자항목7",L38,0)</f>
        <v>0</v>
      </c>
      <c r="AJ38" s="1">
        <f t="shared" ref="AJ38:AJ62" si="26">IF(P38="석면분담금",L38,0)</f>
        <v>0</v>
      </c>
      <c r="AK38" s="1">
        <f t="shared" ref="AK38:AK62" si="27">IF(P38="임금채권분담금",L38,0)</f>
        <v>0</v>
      </c>
      <c r="AL38" s="1">
        <f t="shared" ref="AL38:AL62" si="28">IF(P38="사용자항목10",L38,0)</f>
        <v>0</v>
      </c>
      <c r="AM38" s="1">
        <f t="shared" ref="AM38:AM62" si="29">IF(P38="사용자항목11",L38,0)</f>
        <v>0</v>
      </c>
      <c r="AN38" s="1">
        <f t="shared" ref="AN38:AN62" si="30">IF(P38="사용자항목12",L38,0)</f>
        <v>0</v>
      </c>
      <c r="AO38" s="1">
        <f t="shared" ref="AO38:AO62" si="31">IF(P38="사용자항목13",L38,0)</f>
        <v>0</v>
      </c>
      <c r="AP38" s="1">
        <f t="shared" ref="AP38:AP62" si="32">IF(P38="사용자항목14",L38,0)</f>
        <v>0</v>
      </c>
      <c r="AQ38" s="1">
        <f t="shared" ref="AQ38:AQ62" si="33">IF(P38="사용자항목15",L38,0)</f>
        <v>0</v>
      </c>
      <c r="AR38" s="1">
        <f t="shared" ref="AR38:AR62" si="34">IF(P38="사용자항목16",L38,0)</f>
        <v>0</v>
      </c>
      <c r="AS38" s="1">
        <f t="shared" ref="AS38:AS62" si="35">IF(P38="사용자항목17",L38,0)</f>
        <v>0</v>
      </c>
      <c r="AT38" s="1">
        <f t="shared" ref="AT38:AT62" si="36">IF(P38="사용자항목18",L38,0)</f>
        <v>0</v>
      </c>
      <c r="AU38" s="1">
        <f t="shared" ref="AU38:AU62" si="37">IF(P38="사용자항목19",L38,0)</f>
        <v>0</v>
      </c>
      <c r="AY38" s="2" t="s">
        <v>499</v>
      </c>
    </row>
    <row r="39" spans="1:51" ht="22.9" customHeight="1" x14ac:dyDescent="0.3">
      <c r="A39" s="14" t="s">
        <v>298</v>
      </c>
      <c r="B39" s="14" t="s">
        <v>358</v>
      </c>
      <c r="C39" s="16" t="s">
        <v>67</v>
      </c>
      <c r="D39" s="17">
        <v>1</v>
      </c>
      <c r="E39" s="17">
        <f>일위대가목록!G8</f>
        <v>21697</v>
      </c>
      <c r="F39" s="17">
        <f t="shared" si="3"/>
        <v>21697</v>
      </c>
      <c r="G39" s="17">
        <f>일위대가목록!I8</f>
        <v>143310</v>
      </c>
      <c r="H39" s="17">
        <f t="shared" si="4"/>
        <v>143310</v>
      </c>
      <c r="I39" s="17">
        <f>일위대가목록!K8</f>
        <v>18381</v>
      </c>
      <c r="J39" s="17">
        <f t="shared" si="5"/>
        <v>18381</v>
      </c>
      <c r="K39" s="17">
        <f t="shared" si="6"/>
        <v>183388</v>
      </c>
      <c r="L39" s="17">
        <f t="shared" si="7"/>
        <v>183388</v>
      </c>
      <c r="M39" s="25" t="s">
        <v>504</v>
      </c>
      <c r="O39" s="1" t="str">
        <f>""</f>
        <v/>
      </c>
      <c r="P39" s="2" t="s">
        <v>438</v>
      </c>
      <c r="Q39" s="1">
        <v>1</v>
      </c>
      <c r="R39" s="1">
        <f t="shared" si="8"/>
        <v>18381</v>
      </c>
      <c r="S39" s="1">
        <f t="shared" si="9"/>
        <v>0</v>
      </c>
      <c r="T39" s="1">
        <f t="shared" si="10"/>
        <v>0</v>
      </c>
      <c r="U39" s="1">
        <f t="shared" si="11"/>
        <v>0</v>
      </c>
      <c r="V39" s="1">
        <f t="shared" si="12"/>
        <v>0</v>
      </c>
      <c r="W39" s="1">
        <f t="shared" si="13"/>
        <v>0</v>
      </c>
      <c r="X39" s="1">
        <f t="shared" si="14"/>
        <v>0</v>
      </c>
      <c r="Y39" s="1">
        <f t="shared" si="15"/>
        <v>0</v>
      </c>
      <c r="Z39" s="1">
        <f t="shared" si="16"/>
        <v>0</v>
      </c>
      <c r="AA39" s="1">
        <f t="shared" si="17"/>
        <v>0</v>
      </c>
      <c r="AB39" s="1">
        <f t="shared" si="18"/>
        <v>0</v>
      </c>
      <c r="AC39" s="1">
        <f t="shared" si="19"/>
        <v>0</v>
      </c>
      <c r="AD39" s="1">
        <f t="shared" si="20"/>
        <v>0</v>
      </c>
      <c r="AE39" s="1">
        <f t="shared" si="21"/>
        <v>0</v>
      </c>
      <c r="AF39" s="1">
        <f t="shared" si="22"/>
        <v>0</v>
      </c>
      <c r="AG39" s="1">
        <f t="shared" si="23"/>
        <v>0</v>
      </c>
      <c r="AH39" s="1">
        <f t="shared" si="24"/>
        <v>0</v>
      </c>
      <c r="AI39" s="1">
        <f t="shared" si="25"/>
        <v>0</v>
      </c>
      <c r="AJ39" s="1">
        <f t="shared" si="26"/>
        <v>0</v>
      </c>
      <c r="AK39" s="1">
        <f t="shared" si="27"/>
        <v>0</v>
      </c>
      <c r="AL39" s="1">
        <f t="shared" si="28"/>
        <v>0</v>
      </c>
      <c r="AM39" s="1">
        <f t="shared" si="29"/>
        <v>0</v>
      </c>
      <c r="AN39" s="1">
        <f t="shared" si="30"/>
        <v>0</v>
      </c>
      <c r="AO39" s="1">
        <f t="shared" si="31"/>
        <v>0</v>
      </c>
      <c r="AP39" s="1">
        <f t="shared" si="32"/>
        <v>0</v>
      </c>
      <c r="AQ39" s="1">
        <f t="shared" si="33"/>
        <v>0</v>
      </c>
      <c r="AR39" s="1">
        <f t="shared" si="34"/>
        <v>0</v>
      </c>
      <c r="AS39" s="1">
        <f t="shared" si="35"/>
        <v>0</v>
      </c>
      <c r="AT39" s="1">
        <f t="shared" si="36"/>
        <v>0</v>
      </c>
      <c r="AU39" s="1">
        <f t="shared" si="37"/>
        <v>0</v>
      </c>
      <c r="AY39" s="2" t="s">
        <v>499</v>
      </c>
    </row>
    <row r="40" spans="1:51" ht="22.9" customHeight="1" x14ac:dyDescent="0.3">
      <c r="A40" s="14" t="s">
        <v>524</v>
      </c>
      <c r="B40" s="14" t="s">
        <v>65</v>
      </c>
      <c r="C40" s="16" t="s">
        <v>75</v>
      </c>
      <c r="D40" s="17">
        <v>3.35</v>
      </c>
      <c r="E40" s="17">
        <f>일위대가목록!G9</f>
        <v>2283</v>
      </c>
      <c r="F40" s="17">
        <f t="shared" si="3"/>
        <v>7648</v>
      </c>
      <c r="G40" s="17">
        <f>일위대가목록!I9</f>
        <v>228399</v>
      </c>
      <c r="H40" s="17">
        <f t="shared" si="4"/>
        <v>765136</v>
      </c>
      <c r="I40" s="17">
        <f>일위대가목록!K9</f>
        <v>2032</v>
      </c>
      <c r="J40" s="17">
        <f t="shared" si="5"/>
        <v>6807</v>
      </c>
      <c r="K40" s="17">
        <f t="shared" si="6"/>
        <v>232714</v>
      </c>
      <c r="L40" s="17">
        <f t="shared" si="7"/>
        <v>779591</v>
      </c>
      <c r="M40" s="25" t="s">
        <v>488</v>
      </c>
      <c r="O40" s="1" t="str">
        <f>""</f>
        <v/>
      </c>
      <c r="P40" s="2" t="s">
        <v>438</v>
      </c>
      <c r="Q40" s="1">
        <v>1</v>
      </c>
      <c r="R40" s="1">
        <f t="shared" si="8"/>
        <v>6807</v>
      </c>
      <c r="S40" s="1">
        <f t="shared" si="9"/>
        <v>0</v>
      </c>
      <c r="T40" s="1">
        <f t="shared" si="10"/>
        <v>0</v>
      </c>
      <c r="U40" s="1">
        <f t="shared" si="11"/>
        <v>0</v>
      </c>
      <c r="V40" s="1">
        <f t="shared" si="12"/>
        <v>0</v>
      </c>
      <c r="W40" s="1">
        <f t="shared" si="13"/>
        <v>0</v>
      </c>
      <c r="X40" s="1">
        <f t="shared" si="14"/>
        <v>0</v>
      </c>
      <c r="Y40" s="1">
        <f t="shared" si="15"/>
        <v>0</v>
      </c>
      <c r="Z40" s="1">
        <f t="shared" si="16"/>
        <v>0</v>
      </c>
      <c r="AA40" s="1">
        <f t="shared" si="17"/>
        <v>0</v>
      </c>
      <c r="AB40" s="1">
        <f t="shared" si="18"/>
        <v>0</v>
      </c>
      <c r="AC40" s="1">
        <f t="shared" si="19"/>
        <v>0</v>
      </c>
      <c r="AD40" s="1">
        <f t="shared" si="20"/>
        <v>0</v>
      </c>
      <c r="AE40" s="1">
        <f t="shared" si="21"/>
        <v>0</v>
      </c>
      <c r="AF40" s="1">
        <f t="shared" si="22"/>
        <v>0</v>
      </c>
      <c r="AG40" s="1">
        <f t="shared" si="23"/>
        <v>0</v>
      </c>
      <c r="AH40" s="1">
        <f t="shared" si="24"/>
        <v>0</v>
      </c>
      <c r="AI40" s="1">
        <f t="shared" si="25"/>
        <v>0</v>
      </c>
      <c r="AJ40" s="1">
        <f t="shared" si="26"/>
        <v>0</v>
      </c>
      <c r="AK40" s="1">
        <f t="shared" si="27"/>
        <v>0</v>
      </c>
      <c r="AL40" s="1">
        <f t="shared" si="28"/>
        <v>0</v>
      </c>
      <c r="AM40" s="1">
        <f t="shared" si="29"/>
        <v>0</v>
      </c>
      <c r="AN40" s="1">
        <f t="shared" si="30"/>
        <v>0</v>
      </c>
      <c r="AO40" s="1">
        <f t="shared" si="31"/>
        <v>0</v>
      </c>
      <c r="AP40" s="1">
        <f t="shared" si="32"/>
        <v>0</v>
      </c>
      <c r="AQ40" s="1">
        <f t="shared" si="33"/>
        <v>0</v>
      </c>
      <c r="AR40" s="1">
        <f t="shared" si="34"/>
        <v>0</v>
      </c>
      <c r="AS40" s="1">
        <f t="shared" si="35"/>
        <v>0</v>
      </c>
      <c r="AT40" s="1">
        <f t="shared" si="36"/>
        <v>0</v>
      </c>
      <c r="AU40" s="1">
        <f t="shared" si="37"/>
        <v>0</v>
      </c>
      <c r="AY40" s="2" t="s">
        <v>499</v>
      </c>
    </row>
    <row r="41" spans="1:51" ht="22.9" customHeight="1" x14ac:dyDescent="0.3">
      <c r="A41" s="14" t="s">
        <v>534</v>
      </c>
      <c r="B41" s="14" t="s">
        <v>261</v>
      </c>
      <c r="C41" s="16" t="s">
        <v>70</v>
      </c>
      <c r="D41" s="17">
        <v>108.53</v>
      </c>
      <c r="E41" s="17">
        <f>일위대가목록!G10</f>
        <v>248</v>
      </c>
      <c r="F41" s="17">
        <f t="shared" si="3"/>
        <v>26915</v>
      </c>
      <c r="G41" s="17">
        <f>일위대가목록!I10</f>
        <v>3537</v>
      </c>
      <c r="H41" s="17">
        <f t="shared" si="4"/>
        <v>383870</v>
      </c>
      <c r="I41" s="17">
        <f>일위대가목록!K10</f>
        <v>1119</v>
      </c>
      <c r="J41" s="17">
        <f t="shared" si="5"/>
        <v>121445</v>
      </c>
      <c r="K41" s="17">
        <f t="shared" si="6"/>
        <v>4904</v>
      </c>
      <c r="L41" s="17">
        <f t="shared" si="7"/>
        <v>532230</v>
      </c>
      <c r="M41" s="25" t="s">
        <v>525</v>
      </c>
      <c r="O41" s="1" t="str">
        <f>""</f>
        <v/>
      </c>
      <c r="P41" s="2" t="s">
        <v>438</v>
      </c>
      <c r="Q41" s="1">
        <v>1</v>
      </c>
      <c r="R41" s="1">
        <f t="shared" si="8"/>
        <v>121445</v>
      </c>
      <c r="S41" s="1">
        <f t="shared" si="9"/>
        <v>0</v>
      </c>
      <c r="T41" s="1">
        <f t="shared" si="10"/>
        <v>0</v>
      </c>
      <c r="U41" s="1">
        <f t="shared" si="11"/>
        <v>0</v>
      </c>
      <c r="V41" s="1">
        <f t="shared" si="12"/>
        <v>0</v>
      </c>
      <c r="W41" s="1">
        <f t="shared" si="13"/>
        <v>0</v>
      </c>
      <c r="X41" s="1">
        <f t="shared" si="14"/>
        <v>0</v>
      </c>
      <c r="Y41" s="1">
        <f t="shared" si="15"/>
        <v>0</v>
      </c>
      <c r="Z41" s="1">
        <f t="shared" si="16"/>
        <v>0</v>
      </c>
      <c r="AA41" s="1">
        <f t="shared" si="17"/>
        <v>0</v>
      </c>
      <c r="AB41" s="1">
        <f t="shared" si="18"/>
        <v>0</v>
      </c>
      <c r="AC41" s="1">
        <f t="shared" si="19"/>
        <v>0</v>
      </c>
      <c r="AD41" s="1">
        <f t="shared" si="20"/>
        <v>0</v>
      </c>
      <c r="AE41" s="1">
        <f t="shared" si="21"/>
        <v>0</v>
      </c>
      <c r="AF41" s="1">
        <f t="shared" si="22"/>
        <v>0</v>
      </c>
      <c r="AG41" s="1">
        <f t="shared" si="23"/>
        <v>0</v>
      </c>
      <c r="AH41" s="1">
        <f t="shared" si="24"/>
        <v>0</v>
      </c>
      <c r="AI41" s="1">
        <f t="shared" si="25"/>
        <v>0</v>
      </c>
      <c r="AJ41" s="1">
        <f t="shared" si="26"/>
        <v>0</v>
      </c>
      <c r="AK41" s="1">
        <f t="shared" si="27"/>
        <v>0</v>
      </c>
      <c r="AL41" s="1">
        <f t="shared" si="28"/>
        <v>0</v>
      </c>
      <c r="AM41" s="1">
        <f t="shared" si="29"/>
        <v>0</v>
      </c>
      <c r="AN41" s="1">
        <f t="shared" si="30"/>
        <v>0</v>
      </c>
      <c r="AO41" s="1">
        <f t="shared" si="31"/>
        <v>0</v>
      </c>
      <c r="AP41" s="1">
        <f t="shared" si="32"/>
        <v>0</v>
      </c>
      <c r="AQ41" s="1">
        <f t="shared" si="33"/>
        <v>0</v>
      </c>
      <c r="AR41" s="1">
        <f t="shared" si="34"/>
        <v>0</v>
      </c>
      <c r="AS41" s="1">
        <f t="shared" si="35"/>
        <v>0</v>
      </c>
      <c r="AT41" s="1">
        <f t="shared" si="36"/>
        <v>0</v>
      </c>
      <c r="AU41" s="1">
        <f t="shared" si="37"/>
        <v>0</v>
      </c>
      <c r="AY41" s="2" t="s">
        <v>499</v>
      </c>
    </row>
    <row r="42" spans="1:51" ht="22.9" customHeight="1" x14ac:dyDescent="0.3">
      <c r="A42" s="14" t="s">
        <v>323</v>
      </c>
      <c r="B42" s="14" t="s">
        <v>539</v>
      </c>
      <c r="C42" s="16" t="s">
        <v>70</v>
      </c>
      <c r="D42" s="17">
        <v>84.17</v>
      </c>
      <c r="E42" s="17">
        <f>일위대가목록!G11</f>
        <v>0</v>
      </c>
      <c r="F42" s="17">
        <f t="shared" si="3"/>
        <v>0</v>
      </c>
      <c r="G42" s="17">
        <f>일위대가목록!I11</f>
        <v>12630</v>
      </c>
      <c r="H42" s="17">
        <f t="shared" si="4"/>
        <v>1063067</v>
      </c>
      <c r="I42" s="17">
        <f>일위대가목록!K11</f>
        <v>0</v>
      </c>
      <c r="J42" s="17">
        <f t="shared" si="5"/>
        <v>0</v>
      </c>
      <c r="K42" s="17">
        <f t="shared" si="6"/>
        <v>12630</v>
      </c>
      <c r="L42" s="17">
        <f t="shared" si="7"/>
        <v>1063067</v>
      </c>
      <c r="M42" s="25" t="s">
        <v>517</v>
      </c>
      <c r="O42" s="1" t="str">
        <f>""</f>
        <v/>
      </c>
      <c r="P42" s="2" t="s">
        <v>438</v>
      </c>
      <c r="Q42" s="1">
        <v>1</v>
      </c>
      <c r="R42" s="1">
        <f t="shared" si="8"/>
        <v>0</v>
      </c>
      <c r="S42" s="1">
        <f t="shared" si="9"/>
        <v>0</v>
      </c>
      <c r="T42" s="1">
        <f t="shared" si="10"/>
        <v>0</v>
      </c>
      <c r="U42" s="1">
        <f t="shared" si="11"/>
        <v>0</v>
      </c>
      <c r="V42" s="1">
        <f t="shared" si="12"/>
        <v>0</v>
      </c>
      <c r="W42" s="1">
        <f t="shared" si="13"/>
        <v>0</v>
      </c>
      <c r="X42" s="1">
        <f t="shared" si="14"/>
        <v>0</v>
      </c>
      <c r="Y42" s="1">
        <f t="shared" si="15"/>
        <v>0</v>
      </c>
      <c r="Z42" s="1">
        <f t="shared" si="16"/>
        <v>0</v>
      </c>
      <c r="AA42" s="1">
        <f t="shared" si="17"/>
        <v>0</v>
      </c>
      <c r="AB42" s="1">
        <f t="shared" si="18"/>
        <v>0</v>
      </c>
      <c r="AC42" s="1">
        <f t="shared" si="19"/>
        <v>0</v>
      </c>
      <c r="AD42" s="1">
        <f t="shared" si="20"/>
        <v>0</v>
      </c>
      <c r="AE42" s="1">
        <f t="shared" si="21"/>
        <v>0</v>
      </c>
      <c r="AF42" s="1">
        <f t="shared" si="22"/>
        <v>0</v>
      </c>
      <c r="AG42" s="1">
        <f t="shared" si="23"/>
        <v>0</v>
      </c>
      <c r="AH42" s="1">
        <f t="shared" si="24"/>
        <v>0</v>
      </c>
      <c r="AI42" s="1">
        <f t="shared" si="25"/>
        <v>0</v>
      </c>
      <c r="AJ42" s="1">
        <f t="shared" si="26"/>
        <v>0</v>
      </c>
      <c r="AK42" s="1">
        <f t="shared" si="27"/>
        <v>0</v>
      </c>
      <c r="AL42" s="1">
        <f t="shared" si="28"/>
        <v>0</v>
      </c>
      <c r="AM42" s="1">
        <f t="shared" si="29"/>
        <v>0</v>
      </c>
      <c r="AN42" s="1">
        <f t="shared" si="30"/>
        <v>0</v>
      </c>
      <c r="AO42" s="1">
        <f t="shared" si="31"/>
        <v>0</v>
      </c>
      <c r="AP42" s="1">
        <f t="shared" si="32"/>
        <v>0</v>
      </c>
      <c r="AQ42" s="1">
        <f t="shared" si="33"/>
        <v>0</v>
      </c>
      <c r="AR42" s="1">
        <f t="shared" si="34"/>
        <v>0</v>
      </c>
      <c r="AS42" s="1">
        <f t="shared" si="35"/>
        <v>0</v>
      </c>
      <c r="AT42" s="1">
        <f t="shared" si="36"/>
        <v>0</v>
      </c>
      <c r="AU42" s="1">
        <f t="shared" si="37"/>
        <v>0</v>
      </c>
      <c r="AY42" s="2" t="s">
        <v>499</v>
      </c>
    </row>
    <row r="43" spans="1:51" ht="22.9" customHeight="1" x14ac:dyDescent="0.3">
      <c r="A43" s="14" t="s">
        <v>528</v>
      </c>
      <c r="B43" s="14" t="s">
        <v>539</v>
      </c>
      <c r="C43" s="16" t="s">
        <v>70</v>
      </c>
      <c r="D43" s="17">
        <v>51.95</v>
      </c>
      <c r="E43" s="17">
        <f>일위대가목록!G12</f>
        <v>0</v>
      </c>
      <c r="F43" s="17">
        <f t="shared" si="3"/>
        <v>0</v>
      </c>
      <c r="G43" s="17">
        <f>일위대가목록!I12</f>
        <v>12630</v>
      </c>
      <c r="H43" s="17">
        <f t="shared" si="4"/>
        <v>656128</v>
      </c>
      <c r="I43" s="17">
        <f>일위대가목록!K12</f>
        <v>0</v>
      </c>
      <c r="J43" s="17">
        <f t="shared" si="5"/>
        <v>0</v>
      </c>
      <c r="K43" s="17">
        <f t="shared" si="6"/>
        <v>12630</v>
      </c>
      <c r="L43" s="17">
        <f t="shared" si="7"/>
        <v>656128</v>
      </c>
      <c r="M43" s="25" t="s">
        <v>523</v>
      </c>
      <c r="O43" s="1" t="str">
        <f>""</f>
        <v/>
      </c>
      <c r="P43" s="2" t="s">
        <v>438</v>
      </c>
      <c r="Q43" s="1">
        <v>1</v>
      </c>
      <c r="R43" s="1">
        <f t="shared" si="8"/>
        <v>0</v>
      </c>
      <c r="S43" s="1">
        <f t="shared" si="9"/>
        <v>0</v>
      </c>
      <c r="T43" s="1">
        <f t="shared" si="10"/>
        <v>0</v>
      </c>
      <c r="U43" s="1">
        <f t="shared" si="11"/>
        <v>0</v>
      </c>
      <c r="V43" s="1">
        <f t="shared" si="12"/>
        <v>0</v>
      </c>
      <c r="W43" s="1">
        <f t="shared" si="13"/>
        <v>0</v>
      </c>
      <c r="X43" s="1">
        <f t="shared" si="14"/>
        <v>0</v>
      </c>
      <c r="Y43" s="1">
        <f t="shared" si="15"/>
        <v>0</v>
      </c>
      <c r="Z43" s="1">
        <f t="shared" si="16"/>
        <v>0</v>
      </c>
      <c r="AA43" s="1">
        <f t="shared" si="17"/>
        <v>0</v>
      </c>
      <c r="AB43" s="1">
        <f t="shared" si="18"/>
        <v>0</v>
      </c>
      <c r="AC43" s="1">
        <f t="shared" si="19"/>
        <v>0</v>
      </c>
      <c r="AD43" s="1">
        <f t="shared" si="20"/>
        <v>0</v>
      </c>
      <c r="AE43" s="1">
        <f t="shared" si="21"/>
        <v>0</v>
      </c>
      <c r="AF43" s="1">
        <f t="shared" si="22"/>
        <v>0</v>
      </c>
      <c r="AG43" s="1">
        <f t="shared" si="23"/>
        <v>0</v>
      </c>
      <c r="AH43" s="1">
        <f t="shared" si="24"/>
        <v>0</v>
      </c>
      <c r="AI43" s="1">
        <f t="shared" si="25"/>
        <v>0</v>
      </c>
      <c r="AJ43" s="1">
        <f t="shared" si="26"/>
        <v>0</v>
      </c>
      <c r="AK43" s="1">
        <f t="shared" si="27"/>
        <v>0</v>
      </c>
      <c r="AL43" s="1">
        <f t="shared" si="28"/>
        <v>0</v>
      </c>
      <c r="AM43" s="1">
        <f t="shared" si="29"/>
        <v>0</v>
      </c>
      <c r="AN43" s="1">
        <f t="shared" si="30"/>
        <v>0</v>
      </c>
      <c r="AO43" s="1">
        <f t="shared" si="31"/>
        <v>0</v>
      </c>
      <c r="AP43" s="1">
        <f t="shared" si="32"/>
        <v>0</v>
      </c>
      <c r="AQ43" s="1">
        <f t="shared" si="33"/>
        <v>0</v>
      </c>
      <c r="AR43" s="1">
        <f t="shared" si="34"/>
        <v>0</v>
      </c>
      <c r="AS43" s="1">
        <f t="shared" si="35"/>
        <v>0</v>
      </c>
      <c r="AT43" s="1">
        <f t="shared" si="36"/>
        <v>0</v>
      </c>
      <c r="AU43" s="1">
        <f t="shared" si="37"/>
        <v>0</v>
      </c>
    </row>
    <row r="44" spans="1:51" ht="22.9" customHeight="1" x14ac:dyDescent="0.3">
      <c r="A44" s="14" t="s">
        <v>513</v>
      </c>
      <c r="B44" s="14" t="s">
        <v>243</v>
      </c>
      <c r="C44" s="16" t="s">
        <v>70</v>
      </c>
      <c r="D44" s="17">
        <v>51.95</v>
      </c>
      <c r="E44" s="17">
        <f>일위대가목록!G13</f>
        <v>0</v>
      </c>
      <c r="F44" s="17">
        <f t="shared" si="3"/>
        <v>0</v>
      </c>
      <c r="G44" s="17">
        <f>일위대가목록!I13</f>
        <v>5029</v>
      </c>
      <c r="H44" s="17">
        <f t="shared" si="4"/>
        <v>261256</v>
      </c>
      <c r="I44" s="17">
        <f>일위대가목록!K13</f>
        <v>100</v>
      </c>
      <c r="J44" s="17">
        <f t="shared" si="5"/>
        <v>5195</v>
      </c>
      <c r="K44" s="17">
        <f t="shared" si="6"/>
        <v>5129</v>
      </c>
      <c r="L44" s="17">
        <f t="shared" si="7"/>
        <v>266451</v>
      </c>
      <c r="M44" s="25" t="s">
        <v>521</v>
      </c>
      <c r="O44" s="1" t="str">
        <f>""</f>
        <v/>
      </c>
      <c r="P44" s="2" t="s">
        <v>438</v>
      </c>
      <c r="Q44" s="1">
        <v>1</v>
      </c>
      <c r="R44" s="1">
        <f t="shared" si="8"/>
        <v>5195</v>
      </c>
      <c r="S44" s="1">
        <f t="shared" si="9"/>
        <v>0</v>
      </c>
      <c r="T44" s="1">
        <f t="shared" si="10"/>
        <v>0</v>
      </c>
      <c r="U44" s="1">
        <f t="shared" si="11"/>
        <v>0</v>
      </c>
      <c r="V44" s="1">
        <f t="shared" si="12"/>
        <v>0</v>
      </c>
      <c r="W44" s="1">
        <f t="shared" si="13"/>
        <v>0</v>
      </c>
      <c r="X44" s="1">
        <f t="shared" si="14"/>
        <v>0</v>
      </c>
      <c r="Y44" s="1">
        <f t="shared" si="15"/>
        <v>0</v>
      </c>
      <c r="Z44" s="1">
        <f t="shared" si="16"/>
        <v>0</v>
      </c>
      <c r="AA44" s="1">
        <f t="shared" si="17"/>
        <v>0</v>
      </c>
      <c r="AB44" s="1">
        <f t="shared" si="18"/>
        <v>0</v>
      </c>
      <c r="AC44" s="1">
        <f t="shared" si="19"/>
        <v>0</v>
      </c>
      <c r="AD44" s="1">
        <f t="shared" si="20"/>
        <v>0</v>
      </c>
      <c r="AE44" s="1">
        <f t="shared" si="21"/>
        <v>0</v>
      </c>
      <c r="AF44" s="1">
        <f t="shared" si="22"/>
        <v>0</v>
      </c>
      <c r="AG44" s="1">
        <f t="shared" si="23"/>
        <v>0</v>
      </c>
      <c r="AH44" s="1">
        <f t="shared" si="24"/>
        <v>0</v>
      </c>
      <c r="AI44" s="1">
        <f t="shared" si="25"/>
        <v>0</v>
      </c>
      <c r="AJ44" s="1">
        <f t="shared" si="26"/>
        <v>0</v>
      </c>
      <c r="AK44" s="1">
        <f t="shared" si="27"/>
        <v>0</v>
      </c>
      <c r="AL44" s="1">
        <f t="shared" si="28"/>
        <v>0</v>
      </c>
      <c r="AM44" s="1">
        <f t="shared" si="29"/>
        <v>0</v>
      </c>
      <c r="AN44" s="1">
        <f t="shared" si="30"/>
        <v>0</v>
      </c>
      <c r="AO44" s="1">
        <f t="shared" si="31"/>
        <v>0</v>
      </c>
      <c r="AP44" s="1">
        <f t="shared" si="32"/>
        <v>0</v>
      </c>
      <c r="AQ44" s="1">
        <f t="shared" si="33"/>
        <v>0</v>
      </c>
      <c r="AR44" s="1">
        <f t="shared" si="34"/>
        <v>0</v>
      </c>
      <c r="AS44" s="1">
        <f t="shared" si="35"/>
        <v>0</v>
      </c>
      <c r="AT44" s="1">
        <f t="shared" si="36"/>
        <v>0</v>
      </c>
      <c r="AU44" s="1">
        <f t="shared" si="37"/>
        <v>0</v>
      </c>
      <c r="AY44" s="2" t="s">
        <v>499</v>
      </c>
    </row>
    <row r="45" spans="1:51" ht="22.9" customHeight="1" x14ac:dyDescent="0.3">
      <c r="A45" s="14" t="s">
        <v>518</v>
      </c>
      <c r="B45" s="14" t="s">
        <v>71</v>
      </c>
      <c r="C45" s="16" t="s">
        <v>70</v>
      </c>
      <c r="D45" s="17">
        <v>51.95</v>
      </c>
      <c r="E45" s="17">
        <f>일위대가목록!G14</f>
        <v>0</v>
      </c>
      <c r="F45" s="17">
        <f t="shared" si="3"/>
        <v>0</v>
      </c>
      <c r="G45" s="17">
        <f>일위대가목록!I14</f>
        <v>3480</v>
      </c>
      <c r="H45" s="17">
        <f t="shared" si="4"/>
        <v>180786</v>
      </c>
      <c r="I45" s="17">
        <f>일위대가목록!K14</f>
        <v>0</v>
      </c>
      <c r="J45" s="17">
        <f t="shared" si="5"/>
        <v>0</v>
      </c>
      <c r="K45" s="17">
        <f t="shared" si="6"/>
        <v>3480</v>
      </c>
      <c r="L45" s="17">
        <f t="shared" si="7"/>
        <v>180786</v>
      </c>
      <c r="M45" s="25" t="s">
        <v>526</v>
      </c>
      <c r="O45" s="1" t="str">
        <f>""</f>
        <v/>
      </c>
      <c r="P45" s="2" t="s">
        <v>438</v>
      </c>
      <c r="Q45" s="1">
        <v>1</v>
      </c>
      <c r="R45" s="1">
        <f t="shared" si="8"/>
        <v>0</v>
      </c>
      <c r="S45" s="1">
        <f t="shared" si="9"/>
        <v>0</v>
      </c>
      <c r="T45" s="1">
        <f t="shared" si="10"/>
        <v>0</v>
      </c>
      <c r="U45" s="1">
        <f t="shared" si="11"/>
        <v>0</v>
      </c>
      <c r="V45" s="1">
        <f t="shared" si="12"/>
        <v>0</v>
      </c>
      <c r="W45" s="1">
        <f t="shared" si="13"/>
        <v>0</v>
      </c>
      <c r="X45" s="1">
        <f t="shared" si="14"/>
        <v>0</v>
      </c>
      <c r="Y45" s="1">
        <f t="shared" si="15"/>
        <v>0</v>
      </c>
      <c r="Z45" s="1">
        <f t="shared" si="16"/>
        <v>0</v>
      </c>
      <c r="AA45" s="1">
        <f t="shared" si="17"/>
        <v>0</v>
      </c>
      <c r="AB45" s="1">
        <f t="shared" si="18"/>
        <v>0</v>
      </c>
      <c r="AC45" s="1">
        <f t="shared" si="19"/>
        <v>0</v>
      </c>
      <c r="AD45" s="1">
        <f t="shared" si="20"/>
        <v>0</v>
      </c>
      <c r="AE45" s="1">
        <f t="shared" si="21"/>
        <v>0</v>
      </c>
      <c r="AF45" s="1">
        <f t="shared" si="22"/>
        <v>0</v>
      </c>
      <c r="AG45" s="1">
        <f t="shared" si="23"/>
        <v>0</v>
      </c>
      <c r="AH45" s="1">
        <f t="shared" si="24"/>
        <v>0</v>
      </c>
      <c r="AI45" s="1">
        <f t="shared" si="25"/>
        <v>0</v>
      </c>
      <c r="AJ45" s="1">
        <f t="shared" si="26"/>
        <v>0</v>
      </c>
      <c r="AK45" s="1">
        <f t="shared" si="27"/>
        <v>0</v>
      </c>
      <c r="AL45" s="1">
        <f t="shared" si="28"/>
        <v>0</v>
      </c>
      <c r="AM45" s="1">
        <f t="shared" si="29"/>
        <v>0</v>
      </c>
      <c r="AN45" s="1">
        <f t="shared" si="30"/>
        <v>0</v>
      </c>
      <c r="AO45" s="1">
        <f t="shared" si="31"/>
        <v>0</v>
      </c>
      <c r="AP45" s="1">
        <f t="shared" si="32"/>
        <v>0</v>
      </c>
      <c r="AQ45" s="1">
        <f t="shared" si="33"/>
        <v>0</v>
      </c>
      <c r="AR45" s="1">
        <f t="shared" si="34"/>
        <v>0</v>
      </c>
      <c r="AS45" s="1">
        <f t="shared" si="35"/>
        <v>0</v>
      </c>
      <c r="AT45" s="1">
        <f t="shared" si="36"/>
        <v>0</v>
      </c>
      <c r="AU45" s="1">
        <f t="shared" si="37"/>
        <v>0</v>
      </c>
    </row>
    <row r="46" spans="1:51" ht="22.9" customHeight="1" x14ac:dyDescent="0.3">
      <c r="A46" s="14" t="s">
        <v>519</v>
      </c>
      <c r="B46" s="14" t="s">
        <v>597</v>
      </c>
      <c r="C46" s="16" t="s">
        <v>67</v>
      </c>
      <c r="D46" s="17">
        <v>4</v>
      </c>
      <c r="E46" s="17">
        <f>일위대가목록!G15</f>
        <v>0</v>
      </c>
      <c r="F46" s="17">
        <f t="shared" si="3"/>
        <v>0</v>
      </c>
      <c r="G46" s="17">
        <f>일위대가목록!I15</f>
        <v>17676</v>
      </c>
      <c r="H46" s="17">
        <f t="shared" si="4"/>
        <v>70704</v>
      </c>
      <c r="I46" s="17">
        <f>일위대가목록!K15</f>
        <v>530</v>
      </c>
      <c r="J46" s="17">
        <f t="shared" si="5"/>
        <v>2120</v>
      </c>
      <c r="K46" s="17">
        <f t="shared" si="6"/>
        <v>18206</v>
      </c>
      <c r="L46" s="17">
        <f t="shared" si="7"/>
        <v>72824</v>
      </c>
      <c r="M46" s="25" t="s">
        <v>515</v>
      </c>
      <c r="O46" s="1" t="str">
        <f>""</f>
        <v/>
      </c>
      <c r="P46" s="2" t="s">
        <v>438</v>
      </c>
      <c r="Q46" s="1">
        <v>1</v>
      </c>
      <c r="R46" s="1">
        <f t="shared" si="8"/>
        <v>2120</v>
      </c>
      <c r="S46" s="1">
        <f t="shared" si="9"/>
        <v>0</v>
      </c>
      <c r="T46" s="1">
        <f t="shared" si="10"/>
        <v>0</v>
      </c>
      <c r="U46" s="1">
        <f t="shared" si="11"/>
        <v>0</v>
      </c>
      <c r="V46" s="1">
        <f t="shared" si="12"/>
        <v>0</v>
      </c>
      <c r="W46" s="1">
        <f t="shared" si="13"/>
        <v>0</v>
      </c>
      <c r="X46" s="1">
        <f t="shared" si="14"/>
        <v>0</v>
      </c>
      <c r="Y46" s="1">
        <f t="shared" si="15"/>
        <v>0</v>
      </c>
      <c r="Z46" s="1">
        <f t="shared" si="16"/>
        <v>0</v>
      </c>
      <c r="AA46" s="1">
        <f t="shared" si="17"/>
        <v>0</v>
      </c>
      <c r="AB46" s="1">
        <f t="shared" si="18"/>
        <v>0</v>
      </c>
      <c r="AC46" s="1">
        <f t="shared" si="19"/>
        <v>0</v>
      </c>
      <c r="AD46" s="1">
        <f t="shared" si="20"/>
        <v>0</v>
      </c>
      <c r="AE46" s="1">
        <f t="shared" si="21"/>
        <v>0</v>
      </c>
      <c r="AF46" s="1">
        <f t="shared" si="22"/>
        <v>0</v>
      </c>
      <c r="AG46" s="1">
        <f t="shared" si="23"/>
        <v>0</v>
      </c>
      <c r="AH46" s="1">
        <f t="shared" si="24"/>
        <v>0</v>
      </c>
      <c r="AI46" s="1">
        <f t="shared" si="25"/>
        <v>0</v>
      </c>
      <c r="AJ46" s="1">
        <f t="shared" si="26"/>
        <v>0</v>
      </c>
      <c r="AK46" s="1">
        <f t="shared" si="27"/>
        <v>0</v>
      </c>
      <c r="AL46" s="1">
        <f t="shared" si="28"/>
        <v>0</v>
      </c>
      <c r="AM46" s="1">
        <f t="shared" si="29"/>
        <v>0</v>
      </c>
      <c r="AN46" s="1">
        <f t="shared" si="30"/>
        <v>0</v>
      </c>
      <c r="AO46" s="1">
        <f t="shared" si="31"/>
        <v>0</v>
      </c>
      <c r="AP46" s="1">
        <f t="shared" si="32"/>
        <v>0</v>
      </c>
      <c r="AQ46" s="1">
        <f t="shared" si="33"/>
        <v>0</v>
      </c>
      <c r="AR46" s="1">
        <f t="shared" si="34"/>
        <v>0</v>
      </c>
      <c r="AS46" s="1">
        <f t="shared" si="35"/>
        <v>0</v>
      </c>
      <c r="AT46" s="1">
        <f t="shared" si="36"/>
        <v>0</v>
      </c>
      <c r="AU46" s="1">
        <f t="shared" si="37"/>
        <v>0</v>
      </c>
      <c r="AY46" s="2" t="s">
        <v>499</v>
      </c>
    </row>
    <row r="47" spans="1:51" ht="22.9" customHeight="1" x14ac:dyDescent="0.3">
      <c r="A47" s="14" t="s">
        <v>267</v>
      </c>
      <c r="B47" s="14" t="s">
        <v>597</v>
      </c>
      <c r="C47" s="16" t="s">
        <v>67</v>
      </c>
      <c r="D47" s="17">
        <v>2</v>
      </c>
      <c r="E47" s="17">
        <f>일위대가목록!G16</f>
        <v>0</v>
      </c>
      <c r="F47" s="17">
        <f t="shared" si="3"/>
        <v>0</v>
      </c>
      <c r="G47" s="17">
        <f>일위대가목록!I16</f>
        <v>14103</v>
      </c>
      <c r="H47" s="17">
        <f t="shared" si="4"/>
        <v>28206</v>
      </c>
      <c r="I47" s="17">
        <f>일위대가목록!K16</f>
        <v>282</v>
      </c>
      <c r="J47" s="17">
        <f t="shared" si="5"/>
        <v>564</v>
      </c>
      <c r="K47" s="17">
        <f t="shared" si="6"/>
        <v>14385</v>
      </c>
      <c r="L47" s="17">
        <f t="shared" si="7"/>
        <v>28770</v>
      </c>
      <c r="M47" s="25" t="s">
        <v>529</v>
      </c>
      <c r="O47" s="1" t="str">
        <f>""</f>
        <v/>
      </c>
      <c r="P47" s="2" t="s">
        <v>438</v>
      </c>
      <c r="Q47" s="1">
        <v>1</v>
      </c>
      <c r="R47" s="1">
        <f t="shared" si="8"/>
        <v>564</v>
      </c>
      <c r="S47" s="1">
        <f t="shared" si="9"/>
        <v>0</v>
      </c>
      <c r="T47" s="1">
        <f t="shared" si="10"/>
        <v>0</v>
      </c>
      <c r="U47" s="1">
        <f t="shared" si="11"/>
        <v>0</v>
      </c>
      <c r="V47" s="1">
        <f t="shared" si="12"/>
        <v>0</v>
      </c>
      <c r="W47" s="1">
        <f t="shared" si="13"/>
        <v>0</v>
      </c>
      <c r="X47" s="1">
        <f t="shared" si="14"/>
        <v>0</v>
      </c>
      <c r="Y47" s="1">
        <f t="shared" si="15"/>
        <v>0</v>
      </c>
      <c r="Z47" s="1">
        <f t="shared" si="16"/>
        <v>0</v>
      </c>
      <c r="AA47" s="1">
        <f t="shared" si="17"/>
        <v>0</v>
      </c>
      <c r="AB47" s="1">
        <f t="shared" si="18"/>
        <v>0</v>
      </c>
      <c r="AC47" s="1">
        <f t="shared" si="19"/>
        <v>0</v>
      </c>
      <c r="AD47" s="1">
        <f t="shared" si="20"/>
        <v>0</v>
      </c>
      <c r="AE47" s="1">
        <f t="shared" si="21"/>
        <v>0</v>
      </c>
      <c r="AF47" s="1">
        <f t="shared" si="22"/>
        <v>0</v>
      </c>
      <c r="AG47" s="1">
        <f t="shared" si="23"/>
        <v>0</v>
      </c>
      <c r="AH47" s="1">
        <f t="shared" si="24"/>
        <v>0</v>
      </c>
      <c r="AI47" s="1">
        <f t="shared" si="25"/>
        <v>0</v>
      </c>
      <c r="AJ47" s="1">
        <f t="shared" si="26"/>
        <v>0</v>
      </c>
      <c r="AK47" s="1">
        <f t="shared" si="27"/>
        <v>0</v>
      </c>
      <c r="AL47" s="1">
        <f t="shared" si="28"/>
        <v>0</v>
      </c>
      <c r="AM47" s="1">
        <f t="shared" si="29"/>
        <v>0</v>
      </c>
      <c r="AN47" s="1">
        <f t="shared" si="30"/>
        <v>0</v>
      </c>
      <c r="AO47" s="1">
        <f t="shared" si="31"/>
        <v>0</v>
      </c>
      <c r="AP47" s="1">
        <f t="shared" si="32"/>
        <v>0</v>
      </c>
      <c r="AQ47" s="1">
        <f t="shared" si="33"/>
        <v>0</v>
      </c>
      <c r="AR47" s="1">
        <f t="shared" si="34"/>
        <v>0</v>
      </c>
      <c r="AS47" s="1">
        <f t="shared" si="35"/>
        <v>0</v>
      </c>
      <c r="AT47" s="1">
        <f t="shared" si="36"/>
        <v>0</v>
      </c>
      <c r="AU47" s="1">
        <f t="shared" si="37"/>
        <v>0</v>
      </c>
      <c r="AY47" s="2" t="s">
        <v>499</v>
      </c>
    </row>
    <row r="48" spans="1:51" ht="22.9" customHeight="1" x14ac:dyDescent="0.3">
      <c r="A48" s="14" t="s">
        <v>267</v>
      </c>
      <c r="B48" s="14" t="s">
        <v>590</v>
      </c>
      <c r="C48" s="16" t="s">
        <v>67</v>
      </c>
      <c r="D48" s="17">
        <v>4</v>
      </c>
      <c r="E48" s="17">
        <f>일위대가목록!G17</f>
        <v>0</v>
      </c>
      <c r="F48" s="17">
        <f t="shared" si="3"/>
        <v>0</v>
      </c>
      <c r="G48" s="17">
        <f>일위대가목록!I17</f>
        <v>21760</v>
      </c>
      <c r="H48" s="17">
        <f t="shared" si="4"/>
        <v>87040</v>
      </c>
      <c r="I48" s="17">
        <f>일위대가목록!K17</f>
        <v>435</v>
      </c>
      <c r="J48" s="17">
        <f t="shared" si="5"/>
        <v>1740</v>
      </c>
      <c r="K48" s="17">
        <f t="shared" si="6"/>
        <v>22195</v>
      </c>
      <c r="L48" s="17">
        <f t="shared" si="7"/>
        <v>88780</v>
      </c>
      <c r="M48" s="25" t="s">
        <v>533</v>
      </c>
      <c r="O48" s="1" t="str">
        <f>""</f>
        <v/>
      </c>
      <c r="P48" s="2" t="s">
        <v>438</v>
      </c>
      <c r="Q48" s="1">
        <v>1</v>
      </c>
      <c r="R48" s="1">
        <f t="shared" si="8"/>
        <v>1740</v>
      </c>
      <c r="S48" s="1">
        <f t="shared" si="9"/>
        <v>0</v>
      </c>
      <c r="T48" s="1">
        <f t="shared" si="10"/>
        <v>0</v>
      </c>
      <c r="U48" s="1">
        <f t="shared" si="11"/>
        <v>0</v>
      </c>
      <c r="V48" s="1">
        <f t="shared" si="12"/>
        <v>0</v>
      </c>
      <c r="W48" s="1">
        <f t="shared" si="13"/>
        <v>0</v>
      </c>
      <c r="X48" s="1">
        <f t="shared" si="14"/>
        <v>0</v>
      </c>
      <c r="Y48" s="1">
        <f t="shared" si="15"/>
        <v>0</v>
      </c>
      <c r="Z48" s="1">
        <f t="shared" si="16"/>
        <v>0</v>
      </c>
      <c r="AA48" s="1">
        <f t="shared" si="17"/>
        <v>0</v>
      </c>
      <c r="AB48" s="1">
        <f t="shared" si="18"/>
        <v>0</v>
      </c>
      <c r="AC48" s="1">
        <f t="shared" si="19"/>
        <v>0</v>
      </c>
      <c r="AD48" s="1">
        <f t="shared" si="20"/>
        <v>0</v>
      </c>
      <c r="AE48" s="1">
        <f t="shared" si="21"/>
        <v>0</v>
      </c>
      <c r="AF48" s="1">
        <f t="shared" si="22"/>
        <v>0</v>
      </c>
      <c r="AG48" s="1">
        <f t="shared" si="23"/>
        <v>0</v>
      </c>
      <c r="AH48" s="1">
        <f t="shared" si="24"/>
        <v>0</v>
      </c>
      <c r="AI48" s="1">
        <f t="shared" si="25"/>
        <v>0</v>
      </c>
      <c r="AJ48" s="1">
        <f t="shared" si="26"/>
        <v>0</v>
      </c>
      <c r="AK48" s="1">
        <f t="shared" si="27"/>
        <v>0</v>
      </c>
      <c r="AL48" s="1">
        <f t="shared" si="28"/>
        <v>0</v>
      </c>
      <c r="AM48" s="1">
        <f t="shared" si="29"/>
        <v>0</v>
      </c>
      <c r="AN48" s="1">
        <f t="shared" si="30"/>
        <v>0</v>
      </c>
      <c r="AO48" s="1">
        <f t="shared" si="31"/>
        <v>0</v>
      </c>
      <c r="AP48" s="1">
        <f t="shared" si="32"/>
        <v>0</v>
      </c>
      <c r="AQ48" s="1">
        <f t="shared" si="33"/>
        <v>0</v>
      </c>
      <c r="AR48" s="1">
        <f t="shared" si="34"/>
        <v>0</v>
      </c>
      <c r="AS48" s="1">
        <f t="shared" si="35"/>
        <v>0</v>
      </c>
      <c r="AT48" s="1">
        <f t="shared" si="36"/>
        <v>0</v>
      </c>
      <c r="AU48" s="1">
        <f t="shared" si="37"/>
        <v>0</v>
      </c>
      <c r="AY48" s="2" t="s">
        <v>499</v>
      </c>
    </row>
    <row r="49" spans="1:51" ht="22.9" customHeight="1" x14ac:dyDescent="0.3">
      <c r="A49" s="14" t="s">
        <v>510</v>
      </c>
      <c r="B49" s="14" t="s">
        <v>592</v>
      </c>
      <c r="C49" s="16" t="s">
        <v>67</v>
      </c>
      <c r="D49" s="17">
        <v>1</v>
      </c>
      <c r="E49" s="17">
        <f>일위대가목록!G18</f>
        <v>0</v>
      </c>
      <c r="F49" s="17">
        <f t="shared" si="3"/>
        <v>0</v>
      </c>
      <c r="G49" s="17">
        <f>일위대가목록!I18</f>
        <v>37932</v>
      </c>
      <c r="H49" s="17">
        <f t="shared" si="4"/>
        <v>37932</v>
      </c>
      <c r="I49" s="17">
        <f>일위대가목록!K18</f>
        <v>1137</v>
      </c>
      <c r="J49" s="17">
        <f t="shared" si="5"/>
        <v>1137</v>
      </c>
      <c r="K49" s="17">
        <f t="shared" si="6"/>
        <v>39069</v>
      </c>
      <c r="L49" s="17">
        <f t="shared" si="7"/>
        <v>39069</v>
      </c>
      <c r="M49" s="25" t="s">
        <v>522</v>
      </c>
      <c r="O49" s="1" t="str">
        <f>""</f>
        <v/>
      </c>
      <c r="P49" s="2" t="s">
        <v>438</v>
      </c>
      <c r="Q49" s="1">
        <v>1</v>
      </c>
      <c r="R49" s="1">
        <f t="shared" si="8"/>
        <v>1137</v>
      </c>
      <c r="S49" s="1">
        <f t="shared" si="9"/>
        <v>0</v>
      </c>
      <c r="T49" s="1">
        <f t="shared" si="10"/>
        <v>0</v>
      </c>
      <c r="U49" s="1">
        <f t="shared" si="11"/>
        <v>0</v>
      </c>
      <c r="V49" s="1">
        <f t="shared" si="12"/>
        <v>0</v>
      </c>
      <c r="W49" s="1">
        <f t="shared" si="13"/>
        <v>0</v>
      </c>
      <c r="X49" s="1">
        <f t="shared" si="14"/>
        <v>0</v>
      </c>
      <c r="Y49" s="1">
        <f t="shared" si="15"/>
        <v>0</v>
      </c>
      <c r="Z49" s="1">
        <f t="shared" si="16"/>
        <v>0</v>
      </c>
      <c r="AA49" s="1">
        <f t="shared" si="17"/>
        <v>0</v>
      </c>
      <c r="AB49" s="1">
        <f t="shared" si="18"/>
        <v>0</v>
      </c>
      <c r="AC49" s="1">
        <f t="shared" si="19"/>
        <v>0</v>
      </c>
      <c r="AD49" s="1">
        <f t="shared" si="20"/>
        <v>0</v>
      </c>
      <c r="AE49" s="1">
        <f t="shared" si="21"/>
        <v>0</v>
      </c>
      <c r="AF49" s="1">
        <f t="shared" si="22"/>
        <v>0</v>
      </c>
      <c r="AG49" s="1">
        <f t="shared" si="23"/>
        <v>0</v>
      </c>
      <c r="AH49" s="1">
        <f t="shared" si="24"/>
        <v>0</v>
      </c>
      <c r="AI49" s="1">
        <f t="shared" si="25"/>
        <v>0</v>
      </c>
      <c r="AJ49" s="1">
        <f t="shared" si="26"/>
        <v>0</v>
      </c>
      <c r="AK49" s="1">
        <f t="shared" si="27"/>
        <v>0</v>
      </c>
      <c r="AL49" s="1">
        <f t="shared" si="28"/>
        <v>0</v>
      </c>
      <c r="AM49" s="1">
        <f t="shared" si="29"/>
        <v>0</v>
      </c>
      <c r="AN49" s="1">
        <f t="shared" si="30"/>
        <v>0</v>
      </c>
      <c r="AO49" s="1">
        <f t="shared" si="31"/>
        <v>0</v>
      </c>
      <c r="AP49" s="1">
        <f t="shared" si="32"/>
        <v>0</v>
      </c>
      <c r="AQ49" s="1">
        <f t="shared" si="33"/>
        <v>0</v>
      </c>
      <c r="AR49" s="1">
        <f t="shared" si="34"/>
        <v>0</v>
      </c>
      <c r="AS49" s="1">
        <f t="shared" si="35"/>
        <v>0</v>
      </c>
      <c r="AT49" s="1">
        <f t="shared" si="36"/>
        <v>0</v>
      </c>
      <c r="AU49" s="1">
        <f t="shared" si="37"/>
        <v>0</v>
      </c>
      <c r="AY49" s="2" t="s">
        <v>499</v>
      </c>
    </row>
    <row r="50" spans="1:51" ht="22.9" customHeight="1" x14ac:dyDescent="0.3">
      <c r="A50" s="14" t="s">
        <v>535</v>
      </c>
      <c r="B50" s="14" t="s">
        <v>245</v>
      </c>
      <c r="C50" s="16" t="s">
        <v>67</v>
      </c>
      <c r="D50" s="17">
        <v>1</v>
      </c>
      <c r="E50" s="17">
        <f>일위대가목록!G19</f>
        <v>0</v>
      </c>
      <c r="F50" s="17">
        <f t="shared" si="3"/>
        <v>0</v>
      </c>
      <c r="G50" s="17">
        <f>일위대가목록!I19</f>
        <v>68827</v>
      </c>
      <c r="H50" s="17">
        <f t="shared" si="4"/>
        <v>68827</v>
      </c>
      <c r="I50" s="17">
        <f>일위대가목록!K19</f>
        <v>0</v>
      </c>
      <c r="J50" s="17">
        <f t="shared" si="5"/>
        <v>0</v>
      </c>
      <c r="K50" s="17">
        <f t="shared" si="6"/>
        <v>68827</v>
      </c>
      <c r="L50" s="17">
        <f t="shared" si="7"/>
        <v>68827</v>
      </c>
      <c r="M50" s="25" t="s">
        <v>537</v>
      </c>
      <c r="O50" s="1" t="str">
        <f>""</f>
        <v/>
      </c>
      <c r="P50" s="2" t="s">
        <v>438</v>
      </c>
      <c r="Q50" s="1">
        <v>1</v>
      </c>
      <c r="R50" s="1">
        <f t="shared" si="8"/>
        <v>0</v>
      </c>
      <c r="S50" s="1">
        <f t="shared" si="9"/>
        <v>0</v>
      </c>
      <c r="T50" s="1">
        <f t="shared" si="10"/>
        <v>0</v>
      </c>
      <c r="U50" s="1">
        <f t="shared" si="11"/>
        <v>0</v>
      </c>
      <c r="V50" s="1">
        <f t="shared" si="12"/>
        <v>0</v>
      </c>
      <c r="W50" s="1">
        <f t="shared" si="13"/>
        <v>0</v>
      </c>
      <c r="X50" s="1">
        <f t="shared" si="14"/>
        <v>0</v>
      </c>
      <c r="Y50" s="1">
        <f t="shared" si="15"/>
        <v>0</v>
      </c>
      <c r="Z50" s="1">
        <f t="shared" si="16"/>
        <v>0</v>
      </c>
      <c r="AA50" s="1">
        <f t="shared" si="17"/>
        <v>0</v>
      </c>
      <c r="AB50" s="1">
        <f t="shared" si="18"/>
        <v>0</v>
      </c>
      <c r="AC50" s="1">
        <f t="shared" si="19"/>
        <v>0</v>
      </c>
      <c r="AD50" s="1">
        <f t="shared" si="20"/>
        <v>0</v>
      </c>
      <c r="AE50" s="1">
        <f t="shared" si="21"/>
        <v>0</v>
      </c>
      <c r="AF50" s="1">
        <f t="shared" si="22"/>
        <v>0</v>
      </c>
      <c r="AG50" s="1">
        <f t="shared" si="23"/>
        <v>0</v>
      </c>
      <c r="AH50" s="1">
        <f t="shared" si="24"/>
        <v>0</v>
      </c>
      <c r="AI50" s="1">
        <f t="shared" si="25"/>
        <v>0</v>
      </c>
      <c r="AJ50" s="1">
        <f t="shared" si="26"/>
        <v>0</v>
      </c>
      <c r="AK50" s="1">
        <f t="shared" si="27"/>
        <v>0</v>
      </c>
      <c r="AL50" s="1">
        <f t="shared" si="28"/>
        <v>0</v>
      </c>
      <c r="AM50" s="1">
        <f t="shared" si="29"/>
        <v>0</v>
      </c>
      <c r="AN50" s="1">
        <f t="shared" si="30"/>
        <v>0</v>
      </c>
      <c r="AO50" s="1">
        <f t="shared" si="31"/>
        <v>0</v>
      </c>
      <c r="AP50" s="1">
        <f t="shared" si="32"/>
        <v>0</v>
      </c>
      <c r="AQ50" s="1">
        <f t="shared" si="33"/>
        <v>0</v>
      </c>
      <c r="AR50" s="1">
        <f t="shared" si="34"/>
        <v>0</v>
      </c>
      <c r="AS50" s="1">
        <f t="shared" si="35"/>
        <v>0</v>
      </c>
      <c r="AT50" s="1">
        <f t="shared" si="36"/>
        <v>0</v>
      </c>
      <c r="AU50" s="1">
        <f t="shared" si="37"/>
        <v>0</v>
      </c>
      <c r="AY50" s="2" t="s">
        <v>499</v>
      </c>
    </row>
    <row r="51" spans="1:51" ht="22.9" customHeight="1" x14ac:dyDescent="0.3">
      <c r="A51" s="14" t="s">
        <v>541</v>
      </c>
      <c r="B51" s="14" t="s">
        <v>593</v>
      </c>
      <c r="C51" s="16" t="s">
        <v>79</v>
      </c>
      <c r="D51" s="17">
        <v>1</v>
      </c>
      <c r="E51" s="17">
        <f>일위대가목록!G20</f>
        <v>0</v>
      </c>
      <c r="F51" s="17">
        <f t="shared" si="3"/>
        <v>0</v>
      </c>
      <c r="G51" s="17">
        <f>일위대가목록!I20</f>
        <v>37267</v>
      </c>
      <c r="H51" s="17">
        <f t="shared" si="4"/>
        <v>37267</v>
      </c>
      <c r="I51" s="17">
        <f>일위대가목록!K20</f>
        <v>0</v>
      </c>
      <c r="J51" s="17">
        <f t="shared" si="5"/>
        <v>0</v>
      </c>
      <c r="K51" s="17">
        <f t="shared" si="6"/>
        <v>37267</v>
      </c>
      <c r="L51" s="17">
        <f t="shared" si="7"/>
        <v>37267</v>
      </c>
      <c r="M51" s="25" t="s">
        <v>540</v>
      </c>
      <c r="O51" s="1" t="str">
        <f>""</f>
        <v/>
      </c>
      <c r="P51" s="2" t="s">
        <v>438</v>
      </c>
      <c r="Q51" s="1">
        <v>1</v>
      </c>
      <c r="R51" s="1">
        <f t="shared" si="8"/>
        <v>0</v>
      </c>
      <c r="S51" s="1">
        <f t="shared" si="9"/>
        <v>0</v>
      </c>
      <c r="T51" s="1">
        <f t="shared" si="10"/>
        <v>0</v>
      </c>
      <c r="U51" s="1">
        <f t="shared" si="11"/>
        <v>0</v>
      </c>
      <c r="V51" s="1">
        <f t="shared" si="12"/>
        <v>0</v>
      </c>
      <c r="W51" s="1">
        <f t="shared" si="13"/>
        <v>0</v>
      </c>
      <c r="X51" s="1">
        <f t="shared" si="14"/>
        <v>0</v>
      </c>
      <c r="Y51" s="1">
        <f t="shared" si="15"/>
        <v>0</v>
      </c>
      <c r="Z51" s="1">
        <f t="shared" si="16"/>
        <v>0</v>
      </c>
      <c r="AA51" s="1">
        <f t="shared" si="17"/>
        <v>0</v>
      </c>
      <c r="AB51" s="1">
        <f t="shared" si="18"/>
        <v>0</v>
      </c>
      <c r="AC51" s="1">
        <f t="shared" si="19"/>
        <v>0</v>
      </c>
      <c r="AD51" s="1">
        <f t="shared" si="20"/>
        <v>0</v>
      </c>
      <c r="AE51" s="1">
        <f t="shared" si="21"/>
        <v>0</v>
      </c>
      <c r="AF51" s="1">
        <f t="shared" si="22"/>
        <v>0</v>
      </c>
      <c r="AG51" s="1">
        <f t="shared" si="23"/>
        <v>0</v>
      </c>
      <c r="AH51" s="1">
        <f t="shared" si="24"/>
        <v>0</v>
      </c>
      <c r="AI51" s="1">
        <f t="shared" si="25"/>
        <v>0</v>
      </c>
      <c r="AJ51" s="1">
        <f t="shared" si="26"/>
        <v>0</v>
      </c>
      <c r="AK51" s="1">
        <f t="shared" si="27"/>
        <v>0</v>
      </c>
      <c r="AL51" s="1">
        <f t="shared" si="28"/>
        <v>0</v>
      </c>
      <c r="AM51" s="1">
        <f t="shared" si="29"/>
        <v>0</v>
      </c>
      <c r="AN51" s="1">
        <f t="shared" si="30"/>
        <v>0</v>
      </c>
      <c r="AO51" s="1">
        <f t="shared" si="31"/>
        <v>0</v>
      </c>
      <c r="AP51" s="1">
        <f t="shared" si="32"/>
        <v>0</v>
      </c>
      <c r="AQ51" s="1">
        <f t="shared" si="33"/>
        <v>0</v>
      </c>
      <c r="AR51" s="1">
        <f t="shared" si="34"/>
        <v>0</v>
      </c>
      <c r="AS51" s="1">
        <f t="shared" si="35"/>
        <v>0</v>
      </c>
      <c r="AT51" s="1">
        <f t="shared" si="36"/>
        <v>0</v>
      </c>
      <c r="AU51" s="1">
        <f t="shared" si="37"/>
        <v>0</v>
      </c>
      <c r="AY51" s="2" t="s">
        <v>499</v>
      </c>
    </row>
    <row r="52" spans="1:51" ht="22.9" customHeight="1" x14ac:dyDescent="0.3">
      <c r="A52" s="14" t="s">
        <v>518</v>
      </c>
      <c r="B52" s="14" t="s">
        <v>117</v>
      </c>
      <c r="C52" s="16" t="s">
        <v>70</v>
      </c>
      <c r="D52" s="17">
        <v>99.63</v>
      </c>
      <c r="E52" s="17">
        <f>일위대가목록!G21</f>
        <v>0</v>
      </c>
      <c r="F52" s="17">
        <f t="shared" si="3"/>
        <v>0</v>
      </c>
      <c r="G52" s="17">
        <f>일위대가목록!I21</f>
        <v>2681</v>
      </c>
      <c r="H52" s="17">
        <f t="shared" si="4"/>
        <v>267108</v>
      </c>
      <c r="I52" s="17">
        <f>일위대가목록!K21</f>
        <v>0</v>
      </c>
      <c r="J52" s="17">
        <f t="shared" si="5"/>
        <v>0</v>
      </c>
      <c r="K52" s="17">
        <f t="shared" si="6"/>
        <v>2681</v>
      </c>
      <c r="L52" s="17">
        <f t="shared" si="7"/>
        <v>267108</v>
      </c>
      <c r="M52" s="25" t="s">
        <v>514</v>
      </c>
      <c r="O52" s="1" t="str">
        <f>""</f>
        <v/>
      </c>
      <c r="P52" s="2" t="s">
        <v>438</v>
      </c>
      <c r="Q52" s="1">
        <v>1</v>
      </c>
      <c r="R52" s="1">
        <f t="shared" si="8"/>
        <v>0</v>
      </c>
      <c r="S52" s="1">
        <f t="shared" si="9"/>
        <v>0</v>
      </c>
      <c r="T52" s="1">
        <f t="shared" si="10"/>
        <v>0</v>
      </c>
      <c r="U52" s="1">
        <f t="shared" si="11"/>
        <v>0</v>
      </c>
      <c r="V52" s="1">
        <f t="shared" si="12"/>
        <v>0</v>
      </c>
      <c r="W52" s="1">
        <f t="shared" si="13"/>
        <v>0</v>
      </c>
      <c r="X52" s="1">
        <f t="shared" si="14"/>
        <v>0</v>
      </c>
      <c r="Y52" s="1">
        <f t="shared" si="15"/>
        <v>0</v>
      </c>
      <c r="Z52" s="1">
        <f t="shared" si="16"/>
        <v>0</v>
      </c>
      <c r="AA52" s="1">
        <f t="shared" si="17"/>
        <v>0</v>
      </c>
      <c r="AB52" s="1">
        <f t="shared" si="18"/>
        <v>0</v>
      </c>
      <c r="AC52" s="1">
        <f t="shared" si="19"/>
        <v>0</v>
      </c>
      <c r="AD52" s="1">
        <f t="shared" si="20"/>
        <v>0</v>
      </c>
      <c r="AE52" s="1">
        <f t="shared" si="21"/>
        <v>0</v>
      </c>
      <c r="AF52" s="1">
        <f t="shared" si="22"/>
        <v>0</v>
      </c>
      <c r="AG52" s="1">
        <f t="shared" si="23"/>
        <v>0</v>
      </c>
      <c r="AH52" s="1">
        <f t="shared" si="24"/>
        <v>0</v>
      </c>
      <c r="AI52" s="1">
        <f t="shared" si="25"/>
        <v>0</v>
      </c>
      <c r="AJ52" s="1">
        <f t="shared" si="26"/>
        <v>0</v>
      </c>
      <c r="AK52" s="1">
        <f t="shared" si="27"/>
        <v>0</v>
      </c>
      <c r="AL52" s="1">
        <f t="shared" si="28"/>
        <v>0</v>
      </c>
      <c r="AM52" s="1">
        <f t="shared" si="29"/>
        <v>0</v>
      </c>
      <c r="AN52" s="1">
        <f t="shared" si="30"/>
        <v>0</v>
      </c>
      <c r="AO52" s="1">
        <f t="shared" si="31"/>
        <v>0</v>
      </c>
      <c r="AP52" s="1">
        <f t="shared" si="32"/>
        <v>0</v>
      </c>
      <c r="AQ52" s="1">
        <f t="shared" si="33"/>
        <v>0</v>
      </c>
      <c r="AR52" s="1">
        <f t="shared" si="34"/>
        <v>0</v>
      </c>
      <c r="AS52" s="1">
        <f t="shared" si="35"/>
        <v>0</v>
      </c>
      <c r="AT52" s="1">
        <f t="shared" si="36"/>
        <v>0</v>
      </c>
      <c r="AU52" s="1">
        <f t="shared" si="37"/>
        <v>0</v>
      </c>
    </row>
    <row r="53" spans="1:51" ht="22.9" customHeight="1" x14ac:dyDescent="0.3">
      <c r="A53" s="14" t="s">
        <v>531</v>
      </c>
      <c r="B53" s="14" t="s">
        <v>326</v>
      </c>
      <c r="C53" s="16" t="s">
        <v>70</v>
      </c>
      <c r="D53" s="17">
        <v>99.63</v>
      </c>
      <c r="E53" s="17">
        <f>일위대가목록!G22</f>
        <v>0</v>
      </c>
      <c r="F53" s="17">
        <f t="shared" si="3"/>
        <v>0</v>
      </c>
      <c r="G53" s="17">
        <f>일위대가목록!I22</f>
        <v>3636</v>
      </c>
      <c r="H53" s="17">
        <f t="shared" si="4"/>
        <v>362254</v>
      </c>
      <c r="I53" s="17">
        <f>일위대가목록!K22</f>
        <v>72</v>
      </c>
      <c r="J53" s="17">
        <f t="shared" si="5"/>
        <v>7173</v>
      </c>
      <c r="K53" s="17">
        <f t="shared" si="6"/>
        <v>3708</v>
      </c>
      <c r="L53" s="17">
        <f t="shared" si="7"/>
        <v>369427</v>
      </c>
      <c r="M53" s="25" t="s">
        <v>544</v>
      </c>
      <c r="O53" s="1" t="str">
        <f>""</f>
        <v/>
      </c>
      <c r="P53" s="2" t="s">
        <v>438</v>
      </c>
      <c r="Q53" s="1">
        <v>1</v>
      </c>
      <c r="R53" s="1">
        <f t="shared" si="8"/>
        <v>7173</v>
      </c>
      <c r="S53" s="1">
        <f t="shared" si="9"/>
        <v>0</v>
      </c>
      <c r="T53" s="1">
        <f t="shared" si="10"/>
        <v>0</v>
      </c>
      <c r="U53" s="1">
        <f t="shared" si="11"/>
        <v>0</v>
      </c>
      <c r="V53" s="1">
        <f t="shared" si="12"/>
        <v>0</v>
      </c>
      <c r="W53" s="1">
        <f t="shared" si="13"/>
        <v>0</v>
      </c>
      <c r="X53" s="1">
        <f t="shared" si="14"/>
        <v>0</v>
      </c>
      <c r="Y53" s="1">
        <f t="shared" si="15"/>
        <v>0</v>
      </c>
      <c r="Z53" s="1">
        <f t="shared" si="16"/>
        <v>0</v>
      </c>
      <c r="AA53" s="1">
        <f t="shared" si="17"/>
        <v>0</v>
      </c>
      <c r="AB53" s="1">
        <f t="shared" si="18"/>
        <v>0</v>
      </c>
      <c r="AC53" s="1">
        <f t="shared" si="19"/>
        <v>0</v>
      </c>
      <c r="AD53" s="1">
        <f t="shared" si="20"/>
        <v>0</v>
      </c>
      <c r="AE53" s="1">
        <f t="shared" si="21"/>
        <v>0</v>
      </c>
      <c r="AF53" s="1">
        <f t="shared" si="22"/>
        <v>0</v>
      </c>
      <c r="AG53" s="1">
        <f t="shared" si="23"/>
        <v>0</v>
      </c>
      <c r="AH53" s="1">
        <f t="shared" si="24"/>
        <v>0</v>
      </c>
      <c r="AI53" s="1">
        <f t="shared" si="25"/>
        <v>0</v>
      </c>
      <c r="AJ53" s="1">
        <f t="shared" si="26"/>
        <v>0</v>
      </c>
      <c r="AK53" s="1">
        <f t="shared" si="27"/>
        <v>0</v>
      </c>
      <c r="AL53" s="1">
        <f t="shared" si="28"/>
        <v>0</v>
      </c>
      <c r="AM53" s="1">
        <f t="shared" si="29"/>
        <v>0</v>
      </c>
      <c r="AN53" s="1">
        <f t="shared" si="30"/>
        <v>0</v>
      </c>
      <c r="AO53" s="1">
        <f t="shared" si="31"/>
        <v>0</v>
      </c>
      <c r="AP53" s="1">
        <f t="shared" si="32"/>
        <v>0</v>
      </c>
      <c r="AQ53" s="1">
        <f t="shared" si="33"/>
        <v>0</v>
      </c>
      <c r="AR53" s="1">
        <f t="shared" si="34"/>
        <v>0</v>
      </c>
      <c r="AS53" s="1">
        <f t="shared" si="35"/>
        <v>0</v>
      </c>
      <c r="AT53" s="1">
        <f t="shared" si="36"/>
        <v>0</v>
      </c>
      <c r="AU53" s="1">
        <f t="shared" si="37"/>
        <v>0</v>
      </c>
      <c r="AY53" s="2" t="s">
        <v>499</v>
      </c>
    </row>
    <row r="54" spans="1:51" ht="22.9" customHeight="1" x14ac:dyDescent="0.3">
      <c r="A54" s="14" t="s">
        <v>530</v>
      </c>
      <c r="B54" s="14" t="s">
        <v>253</v>
      </c>
      <c r="C54" s="16" t="s">
        <v>70</v>
      </c>
      <c r="D54" s="17">
        <v>99.63</v>
      </c>
      <c r="E54" s="17">
        <f>일위대가목록!G23</f>
        <v>54</v>
      </c>
      <c r="F54" s="17">
        <f t="shared" si="3"/>
        <v>5380</v>
      </c>
      <c r="G54" s="17">
        <f>일위대가목록!I23</f>
        <v>2743</v>
      </c>
      <c r="H54" s="17">
        <f t="shared" si="4"/>
        <v>273285</v>
      </c>
      <c r="I54" s="17">
        <f>일위대가목록!K23</f>
        <v>0</v>
      </c>
      <c r="J54" s="17">
        <f t="shared" si="5"/>
        <v>0</v>
      </c>
      <c r="K54" s="17">
        <f t="shared" si="6"/>
        <v>2797</v>
      </c>
      <c r="L54" s="17">
        <f t="shared" si="7"/>
        <v>278665</v>
      </c>
      <c r="M54" s="25" t="s">
        <v>520</v>
      </c>
      <c r="O54" s="1" t="str">
        <f>""</f>
        <v/>
      </c>
      <c r="P54" s="2" t="s">
        <v>438</v>
      </c>
      <c r="Q54" s="1">
        <v>1</v>
      </c>
      <c r="R54" s="1">
        <f t="shared" si="8"/>
        <v>0</v>
      </c>
      <c r="S54" s="1">
        <f t="shared" si="9"/>
        <v>0</v>
      </c>
      <c r="T54" s="1">
        <f t="shared" si="10"/>
        <v>0</v>
      </c>
      <c r="U54" s="1">
        <f t="shared" si="11"/>
        <v>0</v>
      </c>
      <c r="V54" s="1">
        <f t="shared" si="12"/>
        <v>0</v>
      </c>
      <c r="W54" s="1">
        <f t="shared" si="13"/>
        <v>0</v>
      </c>
      <c r="X54" s="1">
        <f t="shared" si="14"/>
        <v>0</v>
      </c>
      <c r="Y54" s="1">
        <f t="shared" si="15"/>
        <v>0</v>
      </c>
      <c r="Z54" s="1">
        <f t="shared" si="16"/>
        <v>0</v>
      </c>
      <c r="AA54" s="1">
        <f t="shared" si="17"/>
        <v>0</v>
      </c>
      <c r="AB54" s="1">
        <f t="shared" si="18"/>
        <v>0</v>
      </c>
      <c r="AC54" s="1">
        <f t="shared" si="19"/>
        <v>0</v>
      </c>
      <c r="AD54" s="1">
        <f t="shared" si="20"/>
        <v>0</v>
      </c>
      <c r="AE54" s="1">
        <f t="shared" si="21"/>
        <v>0</v>
      </c>
      <c r="AF54" s="1">
        <f t="shared" si="22"/>
        <v>0</v>
      </c>
      <c r="AG54" s="1">
        <f t="shared" si="23"/>
        <v>0</v>
      </c>
      <c r="AH54" s="1">
        <f t="shared" si="24"/>
        <v>0</v>
      </c>
      <c r="AI54" s="1">
        <f t="shared" si="25"/>
        <v>0</v>
      </c>
      <c r="AJ54" s="1">
        <f t="shared" si="26"/>
        <v>0</v>
      </c>
      <c r="AK54" s="1">
        <f t="shared" si="27"/>
        <v>0</v>
      </c>
      <c r="AL54" s="1">
        <f t="shared" si="28"/>
        <v>0</v>
      </c>
      <c r="AM54" s="1">
        <f t="shared" si="29"/>
        <v>0</v>
      </c>
      <c r="AN54" s="1">
        <f t="shared" si="30"/>
        <v>0</v>
      </c>
      <c r="AO54" s="1">
        <f t="shared" si="31"/>
        <v>0</v>
      </c>
      <c r="AP54" s="1">
        <f t="shared" si="32"/>
        <v>0</v>
      </c>
      <c r="AQ54" s="1">
        <f t="shared" si="33"/>
        <v>0</v>
      </c>
      <c r="AR54" s="1">
        <f t="shared" si="34"/>
        <v>0</v>
      </c>
      <c r="AS54" s="1">
        <f t="shared" si="35"/>
        <v>0</v>
      </c>
      <c r="AT54" s="1">
        <f t="shared" si="36"/>
        <v>0</v>
      </c>
      <c r="AU54" s="1">
        <f t="shared" si="37"/>
        <v>0</v>
      </c>
      <c r="AY54" s="2" t="s">
        <v>499</v>
      </c>
    </row>
    <row r="55" spans="1:51" ht="22.9" customHeight="1" x14ac:dyDescent="0.3">
      <c r="A55" s="14" t="s">
        <v>536</v>
      </c>
      <c r="B55" s="14" t="s">
        <v>114</v>
      </c>
      <c r="C55" s="16" t="s">
        <v>70</v>
      </c>
      <c r="D55" s="17">
        <v>283.76</v>
      </c>
      <c r="E55" s="17">
        <f>일위대가목록!G24</f>
        <v>0</v>
      </c>
      <c r="F55" s="17">
        <f t="shared" si="3"/>
        <v>0</v>
      </c>
      <c r="G55" s="17">
        <f>일위대가목록!I24</f>
        <v>6882</v>
      </c>
      <c r="H55" s="17">
        <f t="shared" si="4"/>
        <v>1952836</v>
      </c>
      <c r="I55" s="17">
        <f>일위대가목록!K24</f>
        <v>0</v>
      </c>
      <c r="J55" s="17">
        <f t="shared" si="5"/>
        <v>0</v>
      </c>
      <c r="K55" s="17">
        <f t="shared" si="6"/>
        <v>6882</v>
      </c>
      <c r="L55" s="17">
        <f t="shared" si="7"/>
        <v>1952836</v>
      </c>
      <c r="M55" s="25" t="s">
        <v>532</v>
      </c>
      <c r="O55" s="1" t="str">
        <f>""</f>
        <v/>
      </c>
      <c r="P55" s="2" t="s">
        <v>438</v>
      </c>
      <c r="Q55" s="1">
        <v>1</v>
      </c>
      <c r="R55" s="1">
        <f t="shared" si="8"/>
        <v>0</v>
      </c>
      <c r="S55" s="1">
        <f t="shared" si="9"/>
        <v>0</v>
      </c>
      <c r="T55" s="1">
        <f t="shared" si="10"/>
        <v>0</v>
      </c>
      <c r="U55" s="1">
        <f t="shared" si="11"/>
        <v>0</v>
      </c>
      <c r="V55" s="1">
        <f t="shared" si="12"/>
        <v>0</v>
      </c>
      <c r="W55" s="1">
        <f t="shared" si="13"/>
        <v>0</v>
      </c>
      <c r="X55" s="1">
        <f t="shared" si="14"/>
        <v>0</v>
      </c>
      <c r="Y55" s="1">
        <f t="shared" si="15"/>
        <v>0</v>
      </c>
      <c r="Z55" s="1">
        <f t="shared" si="16"/>
        <v>0</v>
      </c>
      <c r="AA55" s="1">
        <f t="shared" si="17"/>
        <v>0</v>
      </c>
      <c r="AB55" s="1">
        <f t="shared" si="18"/>
        <v>0</v>
      </c>
      <c r="AC55" s="1">
        <f t="shared" si="19"/>
        <v>0</v>
      </c>
      <c r="AD55" s="1">
        <f t="shared" si="20"/>
        <v>0</v>
      </c>
      <c r="AE55" s="1">
        <f t="shared" si="21"/>
        <v>0</v>
      </c>
      <c r="AF55" s="1">
        <f t="shared" si="22"/>
        <v>0</v>
      </c>
      <c r="AG55" s="1">
        <f t="shared" si="23"/>
        <v>0</v>
      </c>
      <c r="AH55" s="1">
        <f t="shared" si="24"/>
        <v>0</v>
      </c>
      <c r="AI55" s="1">
        <f t="shared" si="25"/>
        <v>0</v>
      </c>
      <c r="AJ55" s="1">
        <f t="shared" si="26"/>
        <v>0</v>
      </c>
      <c r="AK55" s="1">
        <f t="shared" si="27"/>
        <v>0</v>
      </c>
      <c r="AL55" s="1">
        <f t="shared" si="28"/>
        <v>0</v>
      </c>
      <c r="AM55" s="1">
        <f t="shared" si="29"/>
        <v>0</v>
      </c>
      <c r="AN55" s="1">
        <f t="shared" si="30"/>
        <v>0</v>
      </c>
      <c r="AO55" s="1">
        <f t="shared" si="31"/>
        <v>0</v>
      </c>
      <c r="AP55" s="1">
        <f t="shared" si="32"/>
        <v>0</v>
      </c>
      <c r="AQ55" s="1">
        <f t="shared" si="33"/>
        <v>0</v>
      </c>
      <c r="AR55" s="1">
        <f t="shared" si="34"/>
        <v>0</v>
      </c>
      <c r="AS55" s="1">
        <f t="shared" si="35"/>
        <v>0</v>
      </c>
      <c r="AT55" s="1">
        <f t="shared" si="36"/>
        <v>0</v>
      </c>
      <c r="AU55" s="1">
        <f t="shared" si="37"/>
        <v>0</v>
      </c>
      <c r="AY55" s="2" t="s">
        <v>499</v>
      </c>
    </row>
    <row r="56" spans="1:51" ht="22.9" customHeight="1" x14ac:dyDescent="0.3">
      <c r="A56" s="14" t="s">
        <v>538</v>
      </c>
      <c r="B56" s="14" t="s">
        <v>114</v>
      </c>
      <c r="C56" s="16" t="s">
        <v>70</v>
      </c>
      <c r="D56" s="17">
        <v>14.86</v>
      </c>
      <c r="E56" s="17">
        <f>일위대가목록!G25</f>
        <v>0</v>
      </c>
      <c r="F56" s="17">
        <f t="shared" si="3"/>
        <v>0</v>
      </c>
      <c r="G56" s="17">
        <f>일위대가목록!I25</f>
        <v>14894</v>
      </c>
      <c r="H56" s="17">
        <f t="shared" si="4"/>
        <v>221324</v>
      </c>
      <c r="I56" s="17">
        <f>일위대가목록!K25</f>
        <v>893</v>
      </c>
      <c r="J56" s="17">
        <f t="shared" si="5"/>
        <v>13269</v>
      </c>
      <c r="K56" s="17">
        <f t="shared" si="6"/>
        <v>15787</v>
      </c>
      <c r="L56" s="17">
        <f t="shared" si="7"/>
        <v>234593</v>
      </c>
      <c r="M56" s="25" t="s">
        <v>527</v>
      </c>
      <c r="O56" s="1" t="str">
        <f>""</f>
        <v/>
      </c>
      <c r="P56" s="2" t="s">
        <v>438</v>
      </c>
      <c r="Q56" s="1">
        <v>1</v>
      </c>
      <c r="R56" s="1">
        <f t="shared" si="8"/>
        <v>13269</v>
      </c>
      <c r="S56" s="1">
        <f t="shared" si="9"/>
        <v>0</v>
      </c>
      <c r="T56" s="1">
        <f t="shared" si="10"/>
        <v>0</v>
      </c>
      <c r="U56" s="1">
        <f t="shared" si="11"/>
        <v>0</v>
      </c>
      <c r="V56" s="1">
        <f t="shared" si="12"/>
        <v>0</v>
      </c>
      <c r="W56" s="1">
        <f t="shared" si="13"/>
        <v>0</v>
      </c>
      <c r="X56" s="1">
        <f t="shared" si="14"/>
        <v>0</v>
      </c>
      <c r="Y56" s="1">
        <f t="shared" si="15"/>
        <v>0</v>
      </c>
      <c r="Z56" s="1">
        <f t="shared" si="16"/>
        <v>0</v>
      </c>
      <c r="AA56" s="1">
        <f t="shared" si="17"/>
        <v>0</v>
      </c>
      <c r="AB56" s="1">
        <f t="shared" si="18"/>
        <v>0</v>
      </c>
      <c r="AC56" s="1">
        <f t="shared" si="19"/>
        <v>0</v>
      </c>
      <c r="AD56" s="1">
        <f t="shared" si="20"/>
        <v>0</v>
      </c>
      <c r="AE56" s="1">
        <f t="shared" si="21"/>
        <v>0</v>
      </c>
      <c r="AF56" s="1">
        <f t="shared" si="22"/>
        <v>0</v>
      </c>
      <c r="AG56" s="1">
        <f t="shared" si="23"/>
        <v>0</v>
      </c>
      <c r="AH56" s="1">
        <f t="shared" si="24"/>
        <v>0</v>
      </c>
      <c r="AI56" s="1">
        <f t="shared" si="25"/>
        <v>0</v>
      </c>
      <c r="AJ56" s="1">
        <f t="shared" si="26"/>
        <v>0</v>
      </c>
      <c r="AK56" s="1">
        <f t="shared" si="27"/>
        <v>0</v>
      </c>
      <c r="AL56" s="1">
        <f t="shared" si="28"/>
        <v>0</v>
      </c>
      <c r="AM56" s="1">
        <f t="shared" si="29"/>
        <v>0</v>
      </c>
      <c r="AN56" s="1">
        <f t="shared" si="30"/>
        <v>0</v>
      </c>
      <c r="AO56" s="1">
        <f t="shared" si="31"/>
        <v>0</v>
      </c>
      <c r="AP56" s="1">
        <f t="shared" si="32"/>
        <v>0</v>
      </c>
      <c r="AQ56" s="1">
        <f t="shared" si="33"/>
        <v>0</v>
      </c>
      <c r="AR56" s="1">
        <f t="shared" si="34"/>
        <v>0</v>
      </c>
      <c r="AS56" s="1">
        <f t="shared" si="35"/>
        <v>0</v>
      </c>
      <c r="AT56" s="1">
        <f t="shared" si="36"/>
        <v>0</v>
      </c>
      <c r="AU56" s="1">
        <f t="shared" si="37"/>
        <v>0</v>
      </c>
      <c r="AY56" s="2" t="s">
        <v>542</v>
      </c>
    </row>
    <row r="57" spans="1:51" ht="22.9" customHeight="1" x14ac:dyDescent="0.3">
      <c r="A57" s="14" t="s">
        <v>538</v>
      </c>
      <c r="B57" s="14" t="s">
        <v>112</v>
      </c>
      <c r="C57" s="16" t="s">
        <v>70</v>
      </c>
      <c r="D57" s="17">
        <v>2.78</v>
      </c>
      <c r="E57" s="17">
        <f>일위대가목록!G26</f>
        <v>0</v>
      </c>
      <c r="F57" s="17">
        <f t="shared" si="3"/>
        <v>0</v>
      </c>
      <c r="G57" s="17">
        <f>일위대가목록!I26</f>
        <v>16574</v>
      </c>
      <c r="H57" s="17">
        <f t="shared" si="4"/>
        <v>46075</v>
      </c>
      <c r="I57" s="17">
        <f>일위대가목록!K26</f>
        <v>994</v>
      </c>
      <c r="J57" s="17">
        <f t="shared" si="5"/>
        <v>2763</v>
      </c>
      <c r="K57" s="17">
        <f t="shared" si="6"/>
        <v>17568</v>
      </c>
      <c r="L57" s="17">
        <f t="shared" si="7"/>
        <v>48838</v>
      </c>
      <c r="M57" s="25" t="s">
        <v>543</v>
      </c>
      <c r="O57" s="1" t="str">
        <f>""</f>
        <v/>
      </c>
      <c r="P57" s="2" t="s">
        <v>438</v>
      </c>
      <c r="Q57" s="1">
        <v>1</v>
      </c>
      <c r="R57" s="1">
        <f t="shared" si="8"/>
        <v>2763</v>
      </c>
      <c r="S57" s="1">
        <f t="shared" si="9"/>
        <v>0</v>
      </c>
      <c r="T57" s="1">
        <f t="shared" si="10"/>
        <v>0</v>
      </c>
      <c r="U57" s="1">
        <f t="shared" si="11"/>
        <v>0</v>
      </c>
      <c r="V57" s="1">
        <f t="shared" si="12"/>
        <v>0</v>
      </c>
      <c r="W57" s="1">
        <f t="shared" si="13"/>
        <v>0</v>
      </c>
      <c r="X57" s="1">
        <f t="shared" si="14"/>
        <v>0</v>
      </c>
      <c r="Y57" s="1">
        <f t="shared" si="15"/>
        <v>0</v>
      </c>
      <c r="Z57" s="1">
        <f t="shared" si="16"/>
        <v>0</v>
      </c>
      <c r="AA57" s="1">
        <f t="shared" si="17"/>
        <v>0</v>
      </c>
      <c r="AB57" s="1">
        <f t="shared" si="18"/>
        <v>0</v>
      </c>
      <c r="AC57" s="1">
        <f t="shared" si="19"/>
        <v>0</v>
      </c>
      <c r="AD57" s="1">
        <f t="shared" si="20"/>
        <v>0</v>
      </c>
      <c r="AE57" s="1">
        <f t="shared" si="21"/>
        <v>0</v>
      </c>
      <c r="AF57" s="1">
        <f t="shared" si="22"/>
        <v>0</v>
      </c>
      <c r="AG57" s="1">
        <f t="shared" si="23"/>
        <v>0</v>
      </c>
      <c r="AH57" s="1">
        <f t="shared" si="24"/>
        <v>0</v>
      </c>
      <c r="AI57" s="1">
        <f t="shared" si="25"/>
        <v>0</v>
      </c>
      <c r="AJ57" s="1">
        <f t="shared" si="26"/>
        <v>0</v>
      </c>
      <c r="AK57" s="1">
        <f t="shared" si="27"/>
        <v>0</v>
      </c>
      <c r="AL57" s="1">
        <f t="shared" si="28"/>
        <v>0</v>
      </c>
      <c r="AM57" s="1">
        <f t="shared" si="29"/>
        <v>0</v>
      </c>
      <c r="AN57" s="1">
        <f t="shared" si="30"/>
        <v>0</v>
      </c>
      <c r="AO57" s="1">
        <f t="shared" si="31"/>
        <v>0</v>
      </c>
      <c r="AP57" s="1">
        <f t="shared" si="32"/>
        <v>0</v>
      </c>
      <c r="AQ57" s="1">
        <f t="shared" si="33"/>
        <v>0</v>
      </c>
      <c r="AR57" s="1">
        <f t="shared" si="34"/>
        <v>0</v>
      </c>
      <c r="AS57" s="1">
        <f t="shared" si="35"/>
        <v>0</v>
      </c>
      <c r="AT57" s="1">
        <f t="shared" si="36"/>
        <v>0</v>
      </c>
      <c r="AU57" s="1">
        <f t="shared" si="37"/>
        <v>0</v>
      </c>
      <c r="AY57" s="2" t="s">
        <v>542</v>
      </c>
    </row>
    <row r="58" spans="1:51" ht="22.9" customHeight="1" x14ac:dyDescent="0.3">
      <c r="A58" s="14" t="s">
        <v>558</v>
      </c>
      <c r="B58" s="14" t="s">
        <v>564</v>
      </c>
      <c r="C58" s="16" t="s">
        <v>70</v>
      </c>
      <c r="D58" s="17">
        <v>74.819999999999993</v>
      </c>
      <c r="E58" s="17">
        <f>일위대가목록!G27</f>
        <v>0</v>
      </c>
      <c r="F58" s="17">
        <f t="shared" si="3"/>
        <v>0</v>
      </c>
      <c r="G58" s="17">
        <f>일위대가목록!I27</f>
        <v>20648</v>
      </c>
      <c r="H58" s="17">
        <f t="shared" si="4"/>
        <v>1544883</v>
      </c>
      <c r="I58" s="17">
        <f>일위대가목록!K27</f>
        <v>0</v>
      </c>
      <c r="J58" s="17">
        <f t="shared" si="5"/>
        <v>0</v>
      </c>
      <c r="K58" s="17">
        <f t="shared" si="6"/>
        <v>20648</v>
      </c>
      <c r="L58" s="17">
        <f t="shared" si="7"/>
        <v>1544883</v>
      </c>
      <c r="M58" s="25" t="s">
        <v>516</v>
      </c>
      <c r="O58" s="1" t="str">
        <f>""</f>
        <v/>
      </c>
      <c r="P58" s="2" t="s">
        <v>438</v>
      </c>
      <c r="Q58" s="1">
        <v>1</v>
      </c>
      <c r="R58" s="1">
        <f t="shared" si="8"/>
        <v>0</v>
      </c>
      <c r="S58" s="1">
        <f t="shared" si="9"/>
        <v>0</v>
      </c>
      <c r="T58" s="1">
        <f t="shared" si="10"/>
        <v>0</v>
      </c>
      <c r="U58" s="1">
        <f t="shared" si="11"/>
        <v>0</v>
      </c>
      <c r="V58" s="1">
        <f t="shared" si="12"/>
        <v>0</v>
      </c>
      <c r="W58" s="1">
        <f t="shared" si="13"/>
        <v>0</v>
      </c>
      <c r="X58" s="1">
        <f t="shared" si="14"/>
        <v>0</v>
      </c>
      <c r="Y58" s="1">
        <f t="shared" si="15"/>
        <v>0</v>
      </c>
      <c r="Z58" s="1">
        <f t="shared" si="16"/>
        <v>0</v>
      </c>
      <c r="AA58" s="1">
        <f t="shared" si="17"/>
        <v>0</v>
      </c>
      <c r="AB58" s="1">
        <f t="shared" si="18"/>
        <v>0</v>
      </c>
      <c r="AC58" s="1">
        <f t="shared" si="19"/>
        <v>0</v>
      </c>
      <c r="AD58" s="1">
        <f t="shared" si="20"/>
        <v>0</v>
      </c>
      <c r="AE58" s="1">
        <f t="shared" si="21"/>
        <v>0</v>
      </c>
      <c r="AF58" s="1">
        <f t="shared" si="22"/>
        <v>0</v>
      </c>
      <c r="AG58" s="1">
        <f t="shared" si="23"/>
        <v>0</v>
      </c>
      <c r="AH58" s="1">
        <f t="shared" si="24"/>
        <v>0</v>
      </c>
      <c r="AI58" s="1">
        <f t="shared" si="25"/>
        <v>0</v>
      </c>
      <c r="AJ58" s="1">
        <f t="shared" si="26"/>
        <v>0</v>
      </c>
      <c r="AK58" s="1">
        <f t="shared" si="27"/>
        <v>0</v>
      </c>
      <c r="AL58" s="1">
        <f t="shared" si="28"/>
        <v>0</v>
      </c>
      <c r="AM58" s="1">
        <f t="shared" si="29"/>
        <v>0</v>
      </c>
      <c r="AN58" s="1">
        <f t="shared" si="30"/>
        <v>0</v>
      </c>
      <c r="AO58" s="1">
        <f t="shared" si="31"/>
        <v>0</v>
      </c>
      <c r="AP58" s="1">
        <f t="shared" si="32"/>
        <v>0</v>
      </c>
      <c r="AQ58" s="1">
        <f t="shared" si="33"/>
        <v>0</v>
      </c>
      <c r="AR58" s="1">
        <f t="shared" si="34"/>
        <v>0</v>
      </c>
      <c r="AS58" s="1">
        <f t="shared" si="35"/>
        <v>0</v>
      </c>
      <c r="AT58" s="1">
        <f t="shared" si="36"/>
        <v>0</v>
      </c>
      <c r="AU58" s="1">
        <f t="shared" si="37"/>
        <v>0</v>
      </c>
    </row>
    <row r="59" spans="1:51" ht="22.9" customHeight="1" x14ac:dyDescent="0.3">
      <c r="A59" s="14" t="s">
        <v>325</v>
      </c>
      <c r="B59" s="14" t="s">
        <v>324</v>
      </c>
      <c r="C59" s="16" t="s">
        <v>70</v>
      </c>
      <c r="D59" s="17">
        <v>65.53</v>
      </c>
      <c r="E59" s="17">
        <f>일위대가목록!G28</f>
        <v>0</v>
      </c>
      <c r="F59" s="17">
        <f t="shared" si="3"/>
        <v>0</v>
      </c>
      <c r="G59" s="17">
        <f>일위대가목록!I28</f>
        <v>2229</v>
      </c>
      <c r="H59" s="17">
        <f t="shared" si="4"/>
        <v>146066</v>
      </c>
      <c r="I59" s="17">
        <f>일위대가목록!K28</f>
        <v>0</v>
      </c>
      <c r="J59" s="17">
        <f t="shared" si="5"/>
        <v>0</v>
      </c>
      <c r="K59" s="17">
        <f t="shared" si="6"/>
        <v>2229</v>
      </c>
      <c r="L59" s="17">
        <f t="shared" si="7"/>
        <v>146066</v>
      </c>
      <c r="M59" s="25" t="s">
        <v>557</v>
      </c>
      <c r="O59" s="1" t="str">
        <f>""</f>
        <v/>
      </c>
      <c r="P59" s="2" t="s">
        <v>438</v>
      </c>
      <c r="Q59" s="1">
        <v>1</v>
      </c>
      <c r="R59" s="1">
        <f t="shared" si="8"/>
        <v>0</v>
      </c>
      <c r="S59" s="1">
        <f t="shared" si="9"/>
        <v>0</v>
      </c>
      <c r="T59" s="1">
        <f t="shared" si="10"/>
        <v>0</v>
      </c>
      <c r="U59" s="1">
        <f t="shared" si="11"/>
        <v>0</v>
      </c>
      <c r="V59" s="1">
        <f t="shared" si="12"/>
        <v>0</v>
      </c>
      <c r="W59" s="1">
        <f t="shared" si="13"/>
        <v>0</v>
      </c>
      <c r="X59" s="1">
        <f t="shared" si="14"/>
        <v>0</v>
      </c>
      <c r="Y59" s="1">
        <f t="shared" si="15"/>
        <v>0</v>
      </c>
      <c r="Z59" s="1">
        <f t="shared" si="16"/>
        <v>0</v>
      </c>
      <c r="AA59" s="1">
        <f t="shared" si="17"/>
        <v>0</v>
      </c>
      <c r="AB59" s="1">
        <f t="shared" si="18"/>
        <v>0</v>
      </c>
      <c r="AC59" s="1">
        <f t="shared" si="19"/>
        <v>0</v>
      </c>
      <c r="AD59" s="1">
        <f t="shared" si="20"/>
        <v>0</v>
      </c>
      <c r="AE59" s="1">
        <f t="shared" si="21"/>
        <v>0</v>
      </c>
      <c r="AF59" s="1">
        <f t="shared" si="22"/>
        <v>0</v>
      </c>
      <c r="AG59" s="1">
        <f t="shared" si="23"/>
        <v>0</v>
      </c>
      <c r="AH59" s="1">
        <f t="shared" si="24"/>
        <v>0</v>
      </c>
      <c r="AI59" s="1">
        <f t="shared" si="25"/>
        <v>0</v>
      </c>
      <c r="AJ59" s="1">
        <f t="shared" si="26"/>
        <v>0</v>
      </c>
      <c r="AK59" s="1">
        <f t="shared" si="27"/>
        <v>0</v>
      </c>
      <c r="AL59" s="1">
        <f t="shared" si="28"/>
        <v>0</v>
      </c>
      <c r="AM59" s="1">
        <f t="shared" si="29"/>
        <v>0</v>
      </c>
      <c r="AN59" s="1">
        <f t="shared" si="30"/>
        <v>0</v>
      </c>
      <c r="AO59" s="1">
        <f t="shared" si="31"/>
        <v>0</v>
      </c>
      <c r="AP59" s="1">
        <f t="shared" si="32"/>
        <v>0</v>
      </c>
      <c r="AQ59" s="1">
        <f t="shared" si="33"/>
        <v>0</v>
      </c>
      <c r="AR59" s="1">
        <f t="shared" si="34"/>
        <v>0</v>
      </c>
      <c r="AS59" s="1">
        <f t="shared" si="35"/>
        <v>0</v>
      </c>
      <c r="AT59" s="1">
        <f t="shared" si="36"/>
        <v>0</v>
      </c>
      <c r="AU59" s="1">
        <f t="shared" si="37"/>
        <v>0</v>
      </c>
      <c r="AY59" s="2" t="s">
        <v>499</v>
      </c>
    </row>
    <row r="60" spans="1:51" ht="22.9" customHeight="1" x14ac:dyDescent="0.3">
      <c r="A60" s="14" t="s">
        <v>530</v>
      </c>
      <c r="B60" s="14" t="s">
        <v>262</v>
      </c>
      <c r="C60" s="16" t="s">
        <v>70</v>
      </c>
      <c r="D60" s="17">
        <v>72.040000000000006</v>
      </c>
      <c r="E60" s="17">
        <f>일위대가목록!G29</f>
        <v>0</v>
      </c>
      <c r="F60" s="17">
        <f t="shared" si="3"/>
        <v>0</v>
      </c>
      <c r="G60" s="17">
        <f>일위대가목록!I29</f>
        <v>721</v>
      </c>
      <c r="H60" s="17">
        <f t="shared" si="4"/>
        <v>51940</v>
      </c>
      <c r="I60" s="17">
        <f>일위대가목록!K29</f>
        <v>0</v>
      </c>
      <c r="J60" s="17">
        <f t="shared" si="5"/>
        <v>0</v>
      </c>
      <c r="K60" s="17">
        <f t="shared" si="6"/>
        <v>721</v>
      </c>
      <c r="L60" s="17">
        <f t="shared" si="7"/>
        <v>51940</v>
      </c>
      <c r="M60" s="25" t="s">
        <v>546</v>
      </c>
      <c r="O60" s="1" t="str">
        <f>""</f>
        <v/>
      </c>
      <c r="P60" s="2" t="s">
        <v>438</v>
      </c>
      <c r="Q60" s="1">
        <v>1</v>
      </c>
      <c r="R60" s="1">
        <f t="shared" si="8"/>
        <v>0</v>
      </c>
      <c r="S60" s="1">
        <f t="shared" si="9"/>
        <v>0</v>
      </c>
      <c r="T60" s="1">
        <f t="shared" si="10"/>
        <v>0</v>
      </c>
      <c r="U60" s="1">
        <f t="shared" si="11"/>
        <v>0</v>
      </c>
      <c r="V60" s="1">
        <f t="shared" si="12"/>
        <v>0</v>
      </c>
      <c r="W60" s="1">
        <f t="shared" si="13"/>
        <v>0</v>
      </c>
      <c r="X60" s="1">
        <f t="shared" si="14"/>
        <v>0</v>
      </c>
      <c r="Y60" s="1">
        <f t="shared" si="15"/>
        <v>0</v>
      </c>
      <c r="Z60" s="1">
        <f t="shared" si="16"/>
        <v>0</v>
      </c>
      <c r="AA60" s="1">
        <f t="shared" si="17"/>
        <v>0</v>
      </c>
      <c r="AB60" s="1">
        <f t="shared" si="18"/>
        <v>0</v>
      </c>
      <c r="AC60" s="1">
        <f t="shared" si="19"/>
        <v>0</v>
      </c>
      <c r="AD60" s="1">
        <f t="shared" si="20"/>
        <v>0</v>
      </c>
      <c r="AE60" s="1">
        <f t="shared" si="21"/>
        <v>0</v>
      </c>
      <c r="AF60" s="1">
        <f t="shared" si="22"/>
        <v>0</v>
      </c>
      <c r="AG60" s="1">
        <f t="shared" si="23"/>
        <v>0</v>
      </c>
      <c r="AH60" s="1">
        <f t="shared" si="24"/>
        <v>0</v>
      </c>
      <c r="AI60" s="1">
        <f t="shared" si="25"/>
        <v>0</v>
      </c>
      <c r="AJ60" s="1">
        <f t="shared" si="26"/>
        <v>0</v>
      </c>
      <c r="AK60" s="1">
        <f t="shared" si="27"/>
        <v>0</v>
      </c>
      <c r="AL60" s="1">
        <f t="shared" si="28"/>
        <v>0</v>
      </c>
      <c r="AM60" s="1">
        <f t="shared" si="29"/>
        <v>0</v>
      </c>
      <c r="AN60" s="1">
        <f t="shared" si="30"/>
        <v>0</v>
      </c>
      <c r="AO60" s="1">
        <f t="shared" si="31"/>
        <v>0</v>
      </c>
      <c r="AP60" s="1">
        <f t="shared" si="32"/>
        <v>0</v>
      </c>
      <c r="AQ60" s="1">
        <f t="shared" si="33"/>
        <v>0</v>
      </c>
      <c r="AR60" s="1">
        <f t="shared" si="34"/>
        <v>0</v>
      </c>
      <c r="AS60" s="1">
        <f t="shared" si="35"/>
        <v>0</v>
      </c>
      <c r="AT60" s="1">
        <f t="shared" si="36"/>
        <v>0</v>
      </c>
      <c r="AU60" s="1">
        <f t="shared" si="37"/>
        <v>0</v>
      </c>
      <c r="AY60" s="2" t="s">
        <v>499</v>
      </c>
    </row>
    <row r="61" spans="1:51" ht="22.9" customHeight="1" x14ac:dyDescent="0.3">
      <c r="A61" s="14" t="s">
        <v>553</v>
      </c>
      <c r="B61" s="14" t="s">
        <v>572</v>
      </c>
      <c r="C61" s="16" t="s">
        <v>75</v>
      </c>
      <c r="D61" s="17">
        <v>115.78</v>
      </c>
      <c r="E61" s="17">
        <f>일위대가목록!G30</f>
        <v>9295</v>
      </c>
      <c r="F61" s="17">
        <f t="shared" si="3"/>
        <v>1076175</v>
      </c>
      <c r="G61" s="17">
        <f>일위대가목록!I30</f>
        <v>31372</v>
      </c>
      <c r="H61" s="17">
        <f t="shared" si="4"/>
        <v>3632250</v>
      </c>
      <c r="I61" s="17">
        <f>일위대가목록!K30</f>
        <v>12003</v>
      </c>
      <c r="J61" s="17">
        <f t="shared" si="5"/>
        <v>1389707</v>
      </c>
      <c r="K61" s="17">
        <f t="shared" si="6"/>
        <v>52670</v>
      </c>
      <c r="L61" s="17">
        <f t="shared" si="7"/>
        <v>6098132</v>
      </c>
      <c r="M61" s="25" t="s">
        <v>562</v>
      </c>
      <c r="O61" s="1" t="str">
        <f>""</f>
        <v/>
      </c>
      <c r="P61" s="2" t="s">
        <v>438</v>
      </c>
      <c r="Q61" s="1">
        <v>1</v>
      </c>
      <c r="R61" s="1">
        <f t="shared" si="8"/>
        <v>1389707</v>
      </c>
      <c r="S61" s="1">
        <f t="shared" si="9"/>
        <v>0</v>
      </c>
      <c r="T61" s="1">
        <f t="shared" si="10"/>
        <v>0</v>
      </c>
      <c r="U61" s="1">
        <f t="shared" si="11"/>
        <v>0</v>
      </c>
      <c r="V61" s="1">
        <f t="shared" si="12"/>
        <v>0</v>
      </c>
      <c r="W61" s="1">
        <f t="shared" si="13"/>
        <v>0</v>
      </c>
      <c r="X61" s="1">
        <f t="shared" si="14"/>
        <v>0</v>
      </c>
      <c r="Y61" s="1">
        <f t="shared" si="15"/>
        <v>0</v>
      </c>
      <c r="Z61" s="1">
        <f t="shared" si="16"/>
        <v>0</v>
      </c>
      <c r="AA61" s="1">
        <f t="shared" si="17"/>
        <v>0</v>
      </c>
      <c r="AB61" s="1">
        <f t="shared" si="18"/>
        <v>0</v>
      </c>
      <c r="AC61" s="1">
        <f t="shared" si="19"/>
        <v>0</v>
      </c>
      <c r="AD61" s="1">
        <f t="shared" si="20"/>
        <v>0</v>
      </c>
      <c r="AE61" s="1">
        <f t="shared" si="21"/>
        <v>0</v>
      </c>
      <c r="AF61" s="1">
        <f t="shared" si="22"/>
        <v>0</v>
      </c>
      <c r="AG61" s="1">
        <f t="shared" si="23"/>
        <v>0</v>
      </c>
      <c r="AH61" s="1">
        <f t="shared" si="24"/>
        <v>0</v>
      </c>
      <c r="AI61" s="1">
        <f t="shared" si="25"/>
        <v>0</v>
      </c>
      <c r="AJ61" s="1">
        <f t="shared" si="26"/>
        <v>0</v>
      </c>
      <c r="AK61" s="1">
        <f t="shared" si="27"/>
        <v>0</v>
      </c>
      <c r="AL61" s="1">
        <f t="shared" si="28"/>
        <v>0</v>
      </c>
      <c r="AM61" s="1">
        <f t="shared" si="29"/>
        <v>0</v>
      </c>
      <c r="AN61" s="1">
        <f t="shared" si="30"/>
        <v>0</v>
      </c>
      <c r="AO61" s="1">
        <f t="shared" si="31"/>
        <v>0</v>
      </c>
      <c r="AP61" s="1">
        <f t="shared" si="32"/>
        <v>0</v>
      </c>
      <c r="AQ61" s="1">
        <f t="shared" si="33"/>
        <v>0</v>
      </c>
      <c r="AR61" s="1">
        <f t="shared" si="34"/>
        <v>0</v>
      </c>
      <c r="AS61" s="1">
        <f t="shared" si="35"/>
        <v>0</v>
      </c>
      <c r="AT61" s="1">
        <f t="shared" si="36"/>
        <v>0</v>
      </c>
      <c r="AU61" s="1">
        <f t="shared" si="37"/>
        <v>0</v>
      </c>
      <c r="AY61" s="2" t="s">
        <v>499</v>
      </c>
    </row>
    <row r="62" spans="1:51" ht="22.9" customHeight="1" x14ac:dyDescent="0.3">
      <c r="A62" s="14" t="s">
        <v>242</v>
      </c>
      <c r="B62" s="14" t="s">
        <v>563</v>
      </c>
      <c r="C62" s="16" t="s">
        <v>75</v>
      </c>
      <c r="D62" s="17">
        <v>31.71</v>
      </c>
      <c r="E62" s="17">
        <f>일위대가목록!G31</f>
        <v>12166</v>
      </c>
      <c r="F62" s="17">
        <f t="shared" si="3"/>
        <v>385783</v>
      </c>
      <c r="G62" s="17">
        <f>일위대가목록!I31</f>
        <v>41136</v>
      </c>
      <c r="H62" s="17">
        <f t="shared" si="4"/>
        <v>1304422</v>
      </c>
      <c r="I62" s="17">
        <f>일위대가목록!K31</f>
        <v>13588</v>
      </c>
      <c r="J62" s="17">
        <f t="shared" si="5"/>
        <v>430875</v>
      </c>
      <c r="K62" s="17">
        <f t="shared" si="6"/>
        <v>66890</v>
      </c>
      <c r="L62" s="17">
        <f t="shared" si="7"/>
        <v>2121080</v>
      </c>
      <c r="M62" s="25" t="s">
        <v>576</v>
      </c>
      <c r="O62" s="1" t="str">
        <f>""</f>
        <v/>
      </c>
      <c r="P62" s="2" t="s">
        <v>438</v>
      </c>
      <c r="Q62" s="1">
        <v>1</v>
      </c>
      <c r="R62" s="1">
        <f t="shared" si="8"/>
        <v>430875</v>
      </c>
      <c r="S62" s="1">
        <f t="shared" si="9"/>
        <v>0</v>
      </c>
      <c r="T62" s="1">
        <f t="shared" si="10"/>
        <v>0</v>
      </c>
      <c r="U62" s="1">
        <f t="shared" si="11"/>
        <v>0</v>
      </c>
      <c r="V62" s="1">
        <f t="shared" si="12"/>
        <v>0</v>
      </c>
      <c r="W62" s="1">
        <f t="shared" si="13"/>
        <v>0</v>
      </c>
      <c r="X62" s="1">
        <f t="shared" si="14"/>
        <v>0</v>
      </c>
      <c r="Y62" s="1">
        <f t="shared" si="15"/>
        <v>0</v>
      </c>
      <c r="Z62" s="1">
        <f t="shared" si="16"/>
        <v>0</v>
      </c>
      <c r="AA62" s="1">
        <f t="shared" si="17"/>
        <v>0</v>
      </c>
      <c r="AB62" s="1">
        <f t="shared" si="18"/>
        <v>0</v>
      </c>
      <c r="AC62" s="1">
        <f t="shared" si="19"/>
        <v>0</v>
      </c>
      <c r="AD62" s="1">
        <f t="shared" si="20"/>
        <v>0</v>
      </c>
      <c r="AE62" s="1">
        <f t="shared" si="21"/>
        <v>0</v>
      </c>
      <c r="AF62" s="1">
        <f t="shared" si="22"/>
        <v>0</v>
      </c>
      <c r="AG62" s="1">
        <f t="shared" si="23"/>
        <v>0</v>
      </c>
      <c r="AH62" s="1">
        <f t="shared" si="24"/>
        <v>0</v>
      </c>
      <c r="AI62" s="1">
        <f t="shared" si="25"/>
        <v>0</v>
      </c>
      <c r="AJ62" s="1">
        <f t="shared" si="26"/>
        <v>0</v>
      </c>
      <c r="AK62" s="1">
        <f t="shared" si="27"/>
        <v>0</v>
      </c>
      <c r="AL62" s="1">
        <f t="shared" si="28"/>
        <v>0</v>
      </c>
      <c r="AM62" s="1">
        <f t="shared" si="29"/>
        <v>0</v>
      </c>
      <c r="AN62" s="1">
        <f t="shared" si="30"/>
        <v>0</v>
      </c>
      <c r="AO62" s="1">
        <f t="shared" si="31"/>
        <v>0</v>
      </c>
      <c r="AP62" s="1">
        <f t="shared" si="32"/>
        <v>0</v>
      </c>
      <c r="AQ62" s="1">
        <f t="shared" si="33"/>
        <v>0</v>
      </c>
      <c r="AR62" s="1">
        <f t="shared" si="34"/>
        <v>0</v>
      </c>
      <c r="AS62" s="1">
        <f t="shared" si="35"/>
        <v>0</v>
      </c>
      <c r="AT62" s="1">
        <f t="shared" si="36"/>
        <v>0</v>
      </c>
      <c r="AU62" s="1">
        <f t="shared" si="37"/>
        <v>0</v>
      </c>
    </row>
    <row r="63" spans="1:51" ht="22.9" customHeight="1" x14ac:dyDescent="0.3">
      <c r="A63" s="15"/>
      <c r="B63" s="15"/>
      <c r="C63" s="22"/>
      <c r="D63" s="17"/>
      <c r="E63" s="17"/>
      <c r="F63" s="17"/>
      <c r="G63" s="17"/>
      <c r="H63" s="17"/>
      <c r="I63" s="17"/>
      <c r="J63" s="17"/>
      <c r="K63" s="17"/>
      <c r="L63" s="17"/>
      <c r="M63" s="17"/>
    </row>
    <row r="64" spans="1:51" ht="22.9" customHeight="1" x14ac:dyDescent="0.3">
      <c r="A64" s="15"/>
      <c r="B64" s="15"/>
      <c r="C64" s="22"/>
      <c r="D64" s="17"/>
      <c r="E64" s="17"/>
      <c r="F64" s="17"/>
      <c r="G64" s="17"/>
      <c r="H64" s="17"/>
      <c r="I64" s="17"/>
      <c r="J64" s="17"/>
      <c r="K64" s="17"/>
      <c r="L64" s="17"/>
      <c r="M64" s="17"/>
    </row>
    <row r="65" spans="1:51" ht="22.9" customHeight="1" x14ac:dyDescent="0.3">
      <c r="A65" s="15"/>
      <c r="B65" s="15"/>
      <c r="C65" s="22"/>
      <c r="D65" s="17"/>
      <c r="E65" s="17"/>
      <c r="F65" s="17"/>
      <c r="G65" s="17"/>
      <c r="H65" s="17"/>
      <c r="I65" s="17"/>
      <c r="J65" s="17"/>
      <c r="K65" s="17"/>
      <c r="L65" s="17"/>
      <c r="M65" s="17"/>
    </row>
    <row r="66" spans="1:51" ht="22.9" customHeight="1" x14ac:dyDescent="0.3">
      <c r="A66" s="15"/>
      <c r="B66" s="15"/>
      <c r="C66" s="22"/>
      <c r="D66" s="17"/>
      <c r="E66" s="17"/>
      <c r="F66" s="17"/>
      <c r="G66" s="17"/>
      <c r="H66" s="17"/>
      <c r="I66" s="17"/>
      <c r="J66" s="17"/>
      <c r="K66" s="17"/>
      <c r="L66" s="17"/>
      <c r="M66" s="17"/>
    </row>
    <row r="67" spans="1:51" ht="22.9" customHeight="1" x14ac:dyDescent="0.3">
      <c r="A67" s="15"/>
      <c r="B67" s="15"/>
      <c r="C67" s="22"/>
      <c r="D67" s="17"/>
      <c r="E67" s="17"/>
      <c r="F67" s="17"/>
      <c r="G67" s="17"/>
      <c r="H67" s="17"/>
      <c r="I67" s="17"/>
      <c r="J67" s="17"/>
      <c r="K67" s="17"/>
      <c r="L67" s="17"/>
      <c r="M67" s="17"/>
    </row>
    <row r="68" spans="1:51" ht="22.9" customHeight="1" x14ac:dyDescent="0.3">
      <c r="A68" s="18" t="s">
        <v>439</v>
      </c>
      <c r="B68" s="19"/>
      <c r="C68" s="20"/>
      <c r="D68" s="21"/>
      <c r="E68" s="21"/>
      <c r="F68" s="21">
        <f>ROUNDDOWN(SUMIF(Q38:Q67,"1",F38:F67),0)</f>
        <v>1523598</v>
      </c>
      <c r="G68" s="21"/>
      <c r="H68" s="21">
        <f>ROUNDDOWN(SUMIF(Q38:Q67,"1",H38:H67),0)</f>
        <v>13735378</v>
      </c>
      <c r="I68" s="21"/>
      <c r="J68" s="21">
        <f>ROUNDDOWN(SUMIF(Q38:Q67,"1",J38:J67),0)</f>
        <v>2005658</v>
      </c>
      <c r="K68" s="21"/>
      <c r="L68" s="21">
        <f>F68+H68+J68</f>
        <v>17264634</v>
      </c>
      <c r="M68" s="21"/>
      <c r="R68" s="1">
        <f t="shared" ref="R68:AY68" si="38">ROUNDDOWN(SUM(R38:R62),0)</f>
        <v>2005658</v>
      </c>
      <c r="S68" s="1">
        <f t="shared" si="38"/>
        <v>0</v>
      </c>
      <c r="T68" s="1">
        <f t="shared" si="38"/>
        <v>0</v>
      </c>
      <c r="U68" s="1">
        <f t="shared" si="38"/>
        <v>0</v>
      </c>
      <c r="V68" s="1">
        <f t="shared" si="38"/>
        <v>0</v>
      </c>
      <c r="W68" s="1">
        <f t="shared" si="38"/>
        <v>0</v>
      </c>
      <c r="X68" s="1">
        <f t="shared" si="38"/>
        <v>0</v>
      </c>
      <c r="Y68" s="1">
        <f t="shared" si="38"/>
        <v>0</v>
      </c>
      <c r="Z68" s="1">
        <f t="shared" si="38"/>
        <v>0</v>
      </c>
      <c r="AA68" s="1">
        <f t="shared" si="38"/>
        <v>0</v>
      </c>
      <c r="AB68" s="1">
        <f t="shared" si="38"/>
        <v>0</v>
      </c>
      <c r="AC68" s="1">
        <f t="shared" si="38"/>
        <v>0</v>
      </c>
      <c r="AD68" s="1">
        <f t="shared" si="38"/>
        <v>0</v>
      </c>
      <c r="AE68" s="1">
        <f t="shared" si="38"/>
        <v>0</v>
      </c>
      <c r="AF68" s="1">
        <f t="shared" si="38"/>
        <v>0</v>
      </c>
      <c r="AG68" s="1">
        <f t="shared" si="38"/>
        <v>0</v>
      </c>
      <c r="AH68" s="1">
        <f t="shared" si="38"/>
        <v>0</v>
      </c>
      <c r="AI68" s="1">
        <f t="shared" si="38"/>
        <v>0</v>
      </c>
      <c r="AJ68" s="1">
        <f t="shared" si="38"/>
        <v>0</v>
      </c>
      <c r="AK68" s="1">
        <f t="shared" si="38"/>
        <v>0</v>
      </c>
      <c r="AL68" s="1">
        <f t="shared" si="38"/>
        <v>0</v>
      </c>
      <c r="AM68" s="1">
        <f t="shared" si="38"/>
        <v>0</v>
      </c>
      <c r="AN68" s="1">
        <f t="shared" si="38"/>
        <v>0</v>
      </c>
      <c r="AO68" s="1">
        <f t="shared" si="38"/>
        <v>0</v>
      </c>
      <c r="AP68" s="1">
        <f t="shared" si="38"/>
        <v>0</v>
      </c>
      <c r="AQ68" s="1">
        <f t="shared" si="38"/>
        <v>0</v>
      </c>
      <c r="AR68" s="1">
        <f t="shared" si="38"/>
        <v>0</v>
      </c>
      <c r="AS68" s="1">
        <f t="shared" si="38"/>
        <v>0</v>
      </c>
      <c r="AT68" s="1">
        <f t="shared" si="38"/>
        <v>0</v>
      </c>
      <c r="AU68" s="1">
        <f t="shared" si="38"/>
        <v>0</v>
      </c>
      <c r="AV68" s="1">
        <f t="shared" si="38"/>
        <v>0</v>
      </c>
      <c r="AW68" s="1">
        <f t="shared" si="38"/>
        <v>0</v>
      </c>
      <c r="AX68" s="1">
        <f t="shared" si="38"/>
        <v>0</v>
      </c>
      <c r="AY68" s="1">
        <f t="shared" si="38"/>
        <v>0</v>
      </c>
    </row>
    <row r="69" spans="1:51" ht="22.9" customHeight="1" x14ac:dyDescent="0.3">
      <c r="A69" s="71" t="s">
        <v>183</v>
      </c>
      <c r="B69" s="72"/>
      <c r="C69" s="72"/>
      <c r="D69" s="72"/>
      <c r="E69" s="72"/>
      <c r="F69" s="72"/>
      <c r="G69" s="72"/>
      <c r="H69" s="72"/>
      <c r="I69" s="72"/>
      <c r="J69" s="72"/>
      <c r="K69" s="72"/>
      <c r="L69" s="72"/>
      <c r="M69" s="72"/>
    </row>
    <row r="70" spans="1:51" ht="22.9" customHeight="1" x14ac:dyDescent="0.3">
      <c r="A70" s="14" t="s">
        <v>37</v>
      </c>
      <c r="B70" s="14" t="s">
        <v>206</v>
      </c>
      <c r="C70" s="16" t="s">
        <v>9</v>
      </c>
      <c r="D70" s="17">
        <v>1733.31</v>
      </c>
      <c r="E70" s="17">
        <f>단가대비표!O21</f>
        <v>-361</v>
      </c>
      <c r="F70" s="17">
        <f>ROUNDDOWN(D70*E70,0)</f>
        <v>-625724</v>
      </c>
      <c r="G70" s="17">
        <v>0</v>
      </c>
      <c r="H70" s="17">
        <f>ROUNDDOWN(D70*G70,0)</f>
        <v>0</v>
      </c>
      <c r="I70" s="17">
        <v>0</v>
      </c>
      <c r="J70" s="17">
        <f>ROUNDDOWN(D70*I70,0)</f>
        <v>0</v>
      </c>
      <c r="K70" s="17">
        <f>E70+G70+I70</f>
        <v>-361</v>
      </c>
      <c r="L70" s="17">
        <f>F70+H70+J70</f>
        <v>-625724</v>
      </c>
      <c r="M70" s="25" t="s">
        <v>280</v>
      </c>
      <c r="O70" s="1" t="str">
        <f>"01"</f>
        <v>01</v>
      </c>
      <c r="P70" s="1" t="s">
        <v>336</v>
      </c>
      <c r="Q70" s="1">
        <v>1</v>
      </c>
      <c r="R70" s="1">
        <f>IF(P70="기계경비",J70,0)</f>
        <v>0</v>
      </c>
      <c r="S70" s="1">
        <f>IF(P70="운반비",L70,0)</f>
        <v>0</v>
      </c>
      <c r="T70" s="1">
        <f>IF(P70="작업부산물",F70,0)</f>
        <v>0</v>
      </c>
      <c r="U70" s="1">
        <f>IF(P70="관급",F70,0)</f>
        <v>0</v>
      </c>
      <c r="V70" s="1">
        <f>IF(P70="외주비",J70,0)</f>
        <v>0</v>
      </c>
      <c r="W70" s="1">
        <f>IF(P70="장비비",J70,0)</f>
        <v>0</v>
      </c>
      <c r="X70" s="1">
        <f>IF(P70="폐기물처리비",L70,0)</f>
        <v>0</v>
      </c>
      <c r="Y70" s="1">
        <f>IF(P70="가설비",J70,0)</f>
        <v>0</v>
      </c>
      <c r="Z70" s="1">
        <f>IF(P70="잡비제외분",F70,0)</f>
        <v>0</v>
      </c>
      <c r="AA70" s="1">
        <f>IF(P70="사급자재대",L70,0)</f>
        <v>0</v>
      </c>
      <c r="AB70" s="1">
        <f>IF(P70="관급자재대",L70,0)</f>
        <v>0</v>
      </c>
      <c r="AC70" s="1">
        <f>IF(P70="사용자항목1",L70,0)</f>
        <v>0</v>
      </c>
      <c r="AD70" s="1">
        <f>IF(P70="사용자항목2",L70,0)</f>
        <v>0</v>
      </c>
      <c r="AE70" s="1">
        <f>IF(P70="안전관리비",L70,0)</f>
        <v>0</v>
      </c>
      <c r="AF70" s="1">
        <f>IF(P70="품질관리비",L70,0)</f>
        <v>0</v>
      </c>
      <c r="AG70" s="1">
        <f>IF(P70="작업부산물(철거해체)",L70,0)</f>
        <v>-625724</v>
      </c>
      <c r="AH70" s="1">
        <f>IF(P70="재해예방기술지도비",L70,0)</f>
        <v>0</v>
      </c>
      <c r="AI70" s="1">
        <f>IF(P70="사용자항목7",L70,0)</f>
        <v>0</v>
      </c>
      <c r="AJ70" s="1">
        <f>IF(P70="석면분담금",L70,0)</f>
        <v>0</v>
      </c>
      <c r="AK70" s="1">
        <f>IF(P70="임금채권분담금",L70,0)</f>
        <v>0</v>
      </c>
      <c r="AL70" s="1">
        <f>IF(P70="사용자항목10",L70,0)</f>
        <v>0</v>
      </c>
      <c r="AM70" s="1">
        <f>IF(P70="사용자항목11",L70,0)</f>
        <v>0</v>
      </c>
      <c r="AN70" s="1">
        <f>IF(P70="사용자항목12",L70,0)</f>
        <v>0</v>
      </c>
      <c r="AO70" s="1">
        <f>IF(P70="사용자항목13",L70,0)</f>
        <v>0</v>
      </c>
      <c r="AP70" s="1">
        <f>IF(P70="사용자항목14",L70,0)</f>
        <v>0</v>
      </c>
      <c r="AQ70" s="1">
        <f>IF(P70="사용자항목15",L70,0)</f>
        <v>0</v>
      </c>
      <c r="AR70" s="1">
        <f>IF(P70="사용자항목16",L70,0)</f>
        <v>0</v>
      </c>
      <c r="AS70" s="1">
        <f>IF(P70="사용자항목17",L70,0)</f>
        <v>0</v>
      </c>
      <c r="AT70" s="1">
        <f>IF(P70="사용자항목18",L70,0)</f>
        <v>0</v>
      </c>
      <c r="AU70" s="1">
        <f>IF(P70="사용자항목19",L70,0)</f>
        <v>0</v>
      </c>
    </row>
    <row r="71" spans="1:51" ht="22.9" customHeight="1" x14ac:dyDescent="0.3">
      <c r="A71" s="14" t="s">
        <v>37</v>
      </c>
      <c r="B71" s="14" t="s">
        <v>161</v>
      </c>
      <c r="C71" s="16" t="s">
        <v>9</v>
      </c>
      <c r="D71" s="17">
        <v>58.63</v>
      </c>
      <c r="E71" s="17">
        <f>단가대비표!O22</f>
        <v>-4000</v>
      </c>
      <c r="F71" s="17">
        <f>ROUNDDOWN(D71*E71,0)</f>
        <v>-234520</v>
      </c>
      <c r="G71" s="17">
        <v>0</v>
      </c>
      <c r="H71" s="17">
        <f>ROUNDDOWN(D71*G71,0)</f>
        <v>0</v>
      </c>
      <c r="I71" s="17">
        <v>0</v>
      </c>
      <c r="J71" s="17">
        <f>ROUNDDOWN(D71*I71,0)</f>
        <v>0</v>
      </c>
      <c r="K71" s="17">
        <f>E71+G71+I71</f>
        <v>-4000</v>
      </c>
      <c r="L71" s="17">
        <f>F71+H71+J71</f>
        <v>-234520</v>
      </c>
      <c r="M71" s="25" t="s">
        <v>49</v>
      </c>
      <c r="O71" s="1" t="str">
        <f>"01"</f>
        <v>01</v>
      </c>
      <c r="P71" s="1" t="s">
        <v>336</v>
      </c>
      <c r="Q71" s="1">
        <v>1</v>
      </c>
      <c r="R71" s="1">
        <f>IF(P71="기계경비",J71,0)</f>
        <v>0</v>
      </c>
      <c r="S71" s="1">
        <f>IF(P71="운반비",L71,0)</f>
        <v>0</v>
      </c>
      <c r="T71" s="1">
        <f>IF(P71="작업부산물",F71,0)</f>
        <v>0</v>
      </c>
      <c r="U71" s="1">
        <f>IF(P71="관급",F71,0)</f>
        <v>0</v>
      </c>
      <c r="V71" s="1">
        <f>IF(P71="외주비",J71,0)</f>
        <v>0</v>
      </c>
      <c r="W71" s="1">
        <f>IF(P71="장비비",J71,0)</f>
        <v>0</v>
      </c>
      <c r="X71" s="1">
        <f>IF(P71="폐기물처리비",L71,0)</f>
        <v>0</v>
      </c>
      <c r="Y71" s="1">
        <f>IF(P71="가설비",J71,0)</f>
        <v>0</v>
      </c>
      <c r="Z71" s="1">
        <f>IF(P71="잡비제외분",F71,0)</f>
        <v>0</v>
      </c>
      <c r="AA71" s="1">
        <f>IF(P71="사급자재대",L71,0)</f>
        <v>0</v>
      </c>
      <c r="AB71" s="1">
        <f>IF(P71="관급자재대",L71,0)</f>
        <v>0</v>
      </c>
      <c r="AC71" s="1">
        <f>IF(P71="사용자항목1",L71,0)</f>
        <v>0</v>
      </c>
      <c r="AD71" s="1">
        <f>IF(P71="사용자항목2",L71,0)</f>
        <v>0</v>
      </c>
      <c r="AE71" s="1">
        <f>IF(P71="안전관리비",L71,0)</f>
        <v>0</v>
      </c>
      <c r="AF71" s="1">
        <f>IF(P71="품질관리비",L71,0)</f>
        <v>0</v>
      </c>
      <c r="AG71" s="1">
        <f>IF(P71="작업부산물(철거해체)",L71,0)</f>
        <v>-234520</v>
      </c>
      <c r="AH71" s="1">
        <f>IF(P71="재해예방기술지도비",L71,0)</f>
        <v>0</v>
      </c>
      <c r="AI71" s="1">
        <f>IF(P71="사용자항목7",L71,0)</f>
        <v>0</v>
      </c>
      <c r="AJ71" s="1">
        <f>IF(P71="석면분담금",L71,0)</f>
        <v>0</v>
      </c>
      <c r="AK71" s="1">
        <f>IF(P71="임금채권분담금",L71,0)</f>
        <v>0</v>
      </c>
      <c r="AL71" s="1">
        <f>IF(P71="사용자항목10",L71,0)</f>
        <v>0</v>
      </c>
      <c r="AM71" s="1">
        <f>IF(P71="사용자항목11",L71,0)</f>
        <v>0</v>
      </c>
      <c r="AN71" s="1">
        <f>IF(P71="사용자항목12",L71,0)</f>
        <v>0</v>
      </c>
      <c r="AO71" s="1">
        <f>IF(P71="사용자항목13",L71,0)</f>
        <v>0</v>
      </c>
      <c r="AP71" s="1">
        <f>IF(P71="사용자항목14",L71,0)</f>
        <v>0</v>
      </c>
      <c r="AQ71" s="1">
        <f>IF(P71="사용자항목15",L71,0)</f>
        <v>0</v>
      </c>
      <c r="AR71" s="1">
        <f>IF(P71="사용자항목16",L71,0)</f>
        <v>0</v>
      </c>
      <c r="AS71" s="1">
        <f>IF(P71="사용자항목17",L71,0)</f>
        <v>0</v>
      </c>
      <c r="AT71" s="1">
        <f>IF(P71="사용자항목18",L71,0)</f>
        <v>0</v>
      </c>
      <c r="AU71" s="1">
        <f>IF(P71="사용자항목19",L71,0)</f>
        <v>0</v>
      </c>
    </row>
    <row r="72" spans="1:51" ht="22.9" customHeight="1" x14ac:dyDescent="0.3">
      <c r="A72" s="15"/>
      <c r="B72" s="15"/>
      <c r="C72" s="22"/>
      <c r="D72" s="17"/>
      <c r="E72" s="17"/>
      <c r="F72" s="17"/>
      <c r="G72" s="17"/>
      <c r="H72" s="17"/>
      <c r="I72" s="17"/>
      <c r="J72" s="17"/>
      <c r="K72" s="17"/>
      <c r="L72" s="17"/>
      <c r="M72" s="17"/>
    </row>
    <row r="73" spans="1:51" ht="22.9" customHeight="1" x14ac:dyDescent="0.3">
      <c r="A73" s="15"/>
      <c r="B73" s="15"/>
      <c r="C73" s="22"/>
      <c r="D73" s="17"/>
      <c r="E73" s="17"/>
      <c r="F73" s="17"/>
      <c r="G73" s="17"/>
      <c r="H73" s="17"/>
      <c r="I73" s="17"/>
      <c r="J73" s="17"/>
      <c r="K73" s="17"/>
      <c r="L73" s="17"/>
      <c r="M73" s="17"/>
    </row>
    <row r="74" spans="1:51" ht="22.9" customHeight="1" x14ac:dyDescent="0.3">
      <c r="A74" s="15"/>
      <c r="B74" s="15"/>
      <c r="C74" s="22"/>
      <c r="D74" s="17"/>
      <c r="E74" s="17"/>
      <c r="F74" s="17"/>
      <c r="G74" s="17"/>
      <c r="H74" s="17"/>
      <c r="I74" s="17"/>
      <c r="J74" s="17"/>
      <c r="K74" s="17"/>
      <c r="L74" s="17"/>
      <c r="M74" s="17"/>
    </row>
    <row r="75" spans="1:51" ht="22.9" customHeight="1" x14ac:dyDescent="0.3">
      <c r="A75" s="15"/>
      <c r="B75" s="15"/>
      <c r="C75" s="22"/>
      <c r="D75" s="17"/>
      <c r="E75" s="17"/>
      <c r="F75" s="17"/>
      <c r="G75" s="17"/>
      <c r="H75" s="17"/>
      <c r="I75" s="17"/>
      <c r="J75" s="17"/>
      <c r="K75" s="17"/>
      <c r="L75" s="17"/>
      <c r="M75" s="17"/>
    </row>
    <row r="76" spans="1:51" ht="22.9" customHeight="1" x14ac:dyDescent="0.3">
      <c r="A76" s="15"/>
      <c r="B76" s="15"/>
      <c r="C76" s="22"/>
      <c r="D76" s="17"/>
      <c r="E76" s="17"/>
      <c r="F76" s="17"/>
      <c r="G76" s="17"/>
      <c r="H76" s="17"/>
      <c r="I76" s="17"/>
      <c r="J76" s="17"/>
      <c r="K76" s="17"/>
      <c r="L76" s="17"/>
      <c r="M76" s="17"/>
    </row>
    <row r="77" spans="1:51" ht="22.9" customHeight="1" x14ac:dyDescent="0.3">
      <c r="A77" s="15"/>
      <c r="B77" s="15"/>
      <c r="C77" s="22"/>
      <c r="D77" s="17"/>
      <c r="E77" s="17"/>
      <c r="F77" s="17"/>
      <c r="G77" s="17"/>
      <c r="H77" s="17"/>
      <c r="I77" s="17"/>
      <c r="J77" s="17"/>
      <c r="K77" s="17"/>
      <c r="L77" s="17"/>
      <c r="M77" s="17"/>
    </row>
    <row r="78" spans="1:51" ht="22.9" customHeight="1" x14ac:dyDescent="0.3">
      <c r="A78" s="15"/>
      <c r="B78" s="15"/>
      <c r="C78" s="22"/>
      <c r="D78" s="17"/>
      <c r="E78" s="17"/>
      <c r="F78" s="17"/>
      <c r="G78" s="17"/>
      <c r="H78" s="17"/>
      <c r="I78" s="17"/>
      <c r="J78" s="17"/>
      <c r="K78" s="17"/>
      <c r="L78" s="17"/>
      <c r="M78" s="17"/>
    </row>
    <row r="79" spans="1:51" ht="22.9" customHeight="1" x14ac:dyDescent="0.3">
      <c r="A79" s="15"/>
      <c r="B79" s="15"/>
      <c r="C79" s="22"/>
      <c r="D79" s="17"/>
      <c r="E79" s="17"/>
      <c r="F79" s="17"/>
      <c r="G79" s="17"/>
      <c r="H79" s="17"/>
      <c r="I79" s="17"/>
      <c r="J79" s="17"/>
      <c r="K79" s="17"/>
      <c r="L79" s="17"/>
      <c r="M79" s="17"/>
    </row>
    <row r="80" spans="1:51" ht="22.9" customHeight="1" x14ac:dyDescent="0.3">
      <c r="A80" s="15"/>
      <c r="B80" s="15"/>
      <c r="C80" s="22"/>
      <c r="D80" s="17"/>
      <c r="E80" s="17"/>
      <c r="F80" s="17"/>
      <c r="G80" s="17"/>
      <c r="H80" s="17"/>
      <c r="I80" s="17"/>
      <c r="J80" s="17"/>
      <c r="K80" s="17"/>
      <c r="L80" s="17"/>
      <c r="M80" s="17"/>
    </row>
    <row r="81" spans="1:51" ht="22.9" customHeight="1" x14ac:dyDescent="0.3">
      <c r="A81" s="15"/>
      <c r="B81" s="15"/>
      <c r="C81" s="22"/>
      <c r="D81" s="17"/>
      <c r="E81" s="17"/>
      <c r="F81" s="17"/>
      <c r="G81" s="17"/>
      <c r="H81" s="17"/>
      <c r="I81" s="17"/>
      <c r="J81" s="17"/>
      <c r="K81" s="17"/>
      <c r="L81" s="17"/>
      <c r="M81" s="17"/>
    </row>
    <row r="82" spans="1:51" ht="22.9" customHeight="1" x14ac:dyDescent="0.3">
      <c r="A82" s="15"/>
      <c r="B82" s="15"/>
      <c r="C82" s="22"/>
      <c r="D82" s="17"/>
      <c r="E82" s="17"/>
      <c r="F82" s="17"/>
      <c r="G82" s="17"/>
      <c r="H82" s="17"/>
      <c r="I82" s="17"/>
      <c r="J82" s="17"/>
      <c r="K82" s="17"/>
      <c r="L82" s="17"/>
      <c r="M82" s="17"/>
    </row>
    <row r="83" spans="1:51" ht="22.9" customHeight="1" x14ac:dyDescent="0.3">
      <c r="A83" s="15"/>
      <c r="B83" s="15"/>
      <c r="C83" s="22"/>
      <c r="D83" s="17"/>
      <c r="E83" s="17"/>
      <c r="F83" s="17"/>
      <c r="G83" s="17"/>
      <c r="H83" s="17"/>
      <c r="I83" s="17"/>
      <c r="J83" s="17"/>
      <c r="K83" s="17"/>
      <c r="L83" s="17"/>
      <c r="M83" s="17"/>
    </row>
    <row r="84" spans="1:51" ht="22.9" customHeight="1" x14ac:dyDescent="0.3">
      <c r="A84" s="18" t="s">
        <v>439</v>
      </c>
      <c r="B84" s="19"/>
      <c r="C84" s="20"/>
      <c r="D84" s="21"/>
      <c r="E84" s="21"/>
      <c r="F84" s="21">
        <f>ROUNDDOWN(SUMIF(Q70:Q83,"1",F70:F83),0)</f>
        <v>-860244</v>
      </c>
      <c r="G84" s="21"/>
      <c r="H84" s="21">
        <f>ROUNDDOWN(SUMIF(Q70:Q83,"1",H70:H83),0)</f>
        <v>0</v>
      </c>
      <c r="I84" s="21"/>
      <c r="J84" s="21">
        <f>ROUNDDOWN(SUMIF(Q70:Q83,"1",J70:J83),0)</f>
        <v>0</v>
      </c>
      <c r="K84" s="21"/>
      <c r="L84" s="21">
        <f>F84+H84+J84</f>
        <v>-860244</v>
      </c>
      <c r="M84" s="21"/>
      <c r="R84" s="1">
        <f t="shared" ref="R84:AY84" si="39">ROUNDDOWN(SUM(R70:R71),0)</f>
        <v>0</v>
      </c>
      <c r="S84" s="1">
        <f t="shared" si="39"/>
        <v>0</v>
      </c>
      <c r="T84" s="1">
        <f t="shared" si="39"/>
        <v>0</v>
      </c>
      <c r="U84" s="1">
        <f t="shared" si="39"/>
        <v>0</v>
      </c>
      <c r="V84" s="1">
        <f t="shared" si="39"/>
        <v>0</v>
      </c>
      <c r="W84" s="1">
        <f t="shared" si="39"/>
        <v>0</v>
      </c>
      <c r="X84" s="1">
        <f t="shared" si="39"/>
        <v>0</v>
      </c>
      <c r="Y84" s="1">
        <f t="shared" si="39"/>
        <v>0</v>
      </c>
      <c r="Z84" s="1">
        <f t="shared" si="39"/>
        <v>0</v>
      </c>
      <c r="AA84" s="1">
        <f t="shared" si="39"/>
        <v>0</v>
      </c>
      <c r="AB84" s="1">
        <f t="shared" si="39"/>
        <v>0</v>
      </c>
      <c r="AC84" s="1">
        <f t="shared" si="39"/>
        <v>0</v>
      </c>
      <c r="AD84" s="1">
        <f t="shared" si="39"/>
        <v>0</v>
      </c>
      <c r="AE84" s="1">
        <f t="shared" si="39"/>
        <v>0</v>
      </c>
      <c r="AF84" s="1">
        <f t="shared" si="39"/>
        <v>0</v>
      </c>
      <c r="AG84" s="1">
        <f t="shared" si="39"/>
        <v>-860244</v>
      </c>
      <c r="AH84" s="1">
        <f t="shared" si="39"/>
        <v>0</v>
      </c>
      <c r="AI84" s="1">
        <f t="shared" si="39"/>
        <v>0</v>
      </c>
      <c r="AJ84" s="1">
        <f t="shared" si="39"/>
        <v>0</v>
      </c>
      <c r="AK84" s="1">
        <f t="shared" si="39"/>
        <v>0</v>
      </c>
      <c r="AL84" s="1">
        <f t="shared" si="39"/>
        <v>0</v>
      </c>
      <c r="AM84" s="1">
        <f t="shared" si="39"/>
        <v>0</v>
      </c>
      <c r="AN84" s="1">
        <f t="shared" si="39"/>
        <v>0</v>
      </c>
      <c r="AO84" s="1">
        <f t="shared" si="39"/>
        <v>0</v>
      </c>
      <c r="AP84" s="1">
        <f t="shared" si="39"/>
        <v>0</v>
      </c>
      <c r="AQ84" s="1">
        <f t="shared" si="39"/>
        <v>0</v>
      </c>
      <c r="AR84" s="1">
        <f t="shared" si="39"/>
        <v>0</v>
      </c>
      <c r="AS84" s="1">
        <f t="shared" si="39"/>
        <v>0</v>
      </c>
      <c r="AT84" s="1">
        <f t="shared" si="39"/>
        <v>0</v>
      </c>
      <c r="AU84" s="1">
        <f t="shared" si="39"/>
        <v>0</v>
      </c>
      <c r="AV84" s="1">
        <f t="shared" si="39"/>
        <v>0</v>
      </c>
      <c r="AW84" s="1">
        <f t="shared" si="39"/>
        <v>0</v>
      </c>
      <c r="AX84" s="1">
        <f t="shared" si="39"/>
        <v>0</v>
      </c>
      <c r="AY84" s="1">
        <f t="shared" si="39"/>
        <v>0</v>
      </c>
    </row>
    <row r="85" spans="1:51" ht="22.9" customHeight="1" x14ac:dyDescent="0.3">
      <c r="A85" s="71" t="s">
        <v>246</v>
      </c>
      <c r="B85" s="72"/>
      <c r="C85" s="72"/>
      <c r="D85" s="72"/>
      <c r="E85" s="72"/>
      <c r="F85" s="72"/>
      <c r="G85" s="72"/>
      <c r="H85" s="72"/>
      <c r="I85" s="72"/>
      <c r="J85" s="72"/>
      <c r="K85" s="72"/>
      <c r="L85" s="72"/>
      <c r="M85" s="72"/>
    </row>
    <row r="86" spans="1:51" ht="22.9" customHeight="1" x14ac:dyDescent="0.3">
      <c r="A86" s="14" t="s">
        <v>226</v>
      </c>
      <c r="B86" s="14" t="s">
        <v>227</v>
      </c>
      <c r="C86" s="16" t="s">
        <v>29</v>
      </c>
      <c r="D86" s="17">
        <v>181.99</v>
      </c>
      <c r="E86" s="17">
        <v>0</v>
      </c>
      <c r="F86" s="17">
        <f>ROUNDDOWN(D86*E86,0)</f>
        <v>0</v>
      </c>
      <c r="G86" s="17">
        <v>0</v>
      </c>
      <c r="H86" s="17">
        <f>ROUNDDOWN(D86*G86,0)</f>
        <v>0</v>
      </c>
      <c r="I86" s="17">
        <f>단가대비표!O39</f>
        <v>3890</v>
      </c>
      <c r="J86" s="17">
        <f>ROUNDDOWN(D86*I86,0)</f>
        <v>707941</v>
      </c>
      <c r="K86" s="17">
        <f>E86+G86+I86</f>
        <v>3890</v>
      </c>
      <c r="L86" s="17">
        <f>F86+H86+J86</f>
        <v>707941</v>
      </c>
      <c r="M86" s="25" t="s">
        <v>271</v>
      </c>
      <c r="O86" s="1" t="str">
        <f>"03"</f>
        <v>03</v>
      </c>
      <c r="P86" s="2" t="s">
        <v>438</v>
      </c>
      <c r="Q86" s="1">
        <v>1</v>
      </c>
      <c r="R86" s="1">
        <f>IF(P86="기계경비",J86,0)</f>
        <v>707941</v>
      </c>
      <c r="S86" s="1">
        <f>IF(P86="운반비",L86,0)</f>
        <v>0</v>
      </c>
      <c r="T86" s="1">
        <f>IF(P86="작업부산물",F86,0)</f>
        <v>0</v>
      </c>
      <c r="U86" s="1">
        <f>IF(P86="관급",F86,0)</f>
        <v>0</v>
      </c>
      <c r="V86" s="1">
        <f>IF(P86="외주비",J86,0)</f>
        <v>0</v>
      </c>
      <c r="W86" s="1">
        <f>IF(P86="장비비",J86,0)</f>
        <v>0</v>
      </c>
      <c r="X86" s="1">
        <f>IF(P86="폐기물처리비",L86,0)</f>
        <v>0</v>
      </c>
      <c r="Y86" s="1">
        <f>IF(P86="가설비",J86,0)</f>
        <v>0</v>
      </c>
      <c r="Z86" s="1">
        <f>IF(P86="잡비제외분",F86,0)</f>
        <v>0</v>
      </c>
      <c r="AA86" s="1">
        <f>IF(P86="사급자재대",L86,0)</f>
        <v>0</v>
      </c>
      <c r="AB86" s="1">
        <f>IF(P86="관급자재대",L86,0)</f>
        <v>0</v>
      </c>
      <c r="AC86" s="1">
        <f>IF(P86="사용자항목1",L86,0)</f>
        <v>0</v>
      </c>
      <c r="AD86" s="1">
        <f>IF(P86="사용자항목2",L86,0)</f>
        <v>0</v>
      </c>
      <c r="AE86" s="1">
        <f>IF(P86="안전관리비",L86,0)</f>
        <v>0</v>
      </c>
      <c r="AF86" s="1">
        <f>IF(P86="품질관리비",L86,0)</f>
        <v>0</v>
      </c>
      <c r="AG86" s="1">
        <f>IF(P86="작업부산물(철거해체)",L86,0)</f>
        <v>0</v>
      </c>
      <c r="AH86" s="1">
        <f>IF(P86="재해예방기술지도비",L86,0)</f>
        <v>0</v>
      </c>
      <c r="AI86" s="1">
        <f>IF(P86="사용자항목7",L86,0)</f>
        <v>0</v>
      </c>
      <c r="AJ86" s="1">
        <f>IF(P86="석면분담금",L86,0)</f>
        <v>0</v>
      </c>
      <c r="AK86" s="1">
        <f>IF(P86="임금채권분담금",L86,0)</f>
        <v>0</v>
      </c>
      <c r="AL86" s="1">
        <f>IF(P86="사용자항목10",L86,0)</f>
        <v>0</v>
      </c>
      <c r="AM86" s="1">
        <f>IF(P86="사용자항목11",L86,0)</f>
        <v>0</v>
      </c>
      <c r="AN86" s="1">
        <f>IF(P86="사용자항목12",L86,0)</f>
        <v>0</v>
      </c>
      <c r="AO86" s="1">
        <f>IF(P86="사용자항목13",L86,0)</f>
        <v>0</v>
      </c>
      <c r="AP86" s="1">
        <f>IF(P86="사용자항목14",L86,0)</f>
        <v>0</v>
      </c>
      <c r="AQ86" s="1">
        <f>IF(P86="사용자항목15",L86,0)</f>
        <v>0</v>
      </c>
      <c r="AR86" s="1">
        <f>IF(P86="사용자항목16",L86,0)</f>
        <v>0</v>
      </c>
      <c r="AS86" s="1">
        <f>IF(P86="사용자항목17",L86,0)</f>
        <v>0</v>
      </c>
      <c r="AT86" s="1">
        <f>IF(P86="사용자항목18",L86,0)</f>
        <v>0</v>
      </c>
      <c r="AU86" s="1">
        <f>IF(P86="사용자항목19",L86,0)</f>
        <v>0</v>
      </c>
    </row>
    <row r="87" spans="1:51" ht="22.9" customHeight="1" x14ac:dyDescent="0.3">
      <c r="A87" s="15"/>
      <c r="B87" s="15"/>
      <c r="C87" s="22"/>
      <c r="D87" s="17"/>
      <c r="E87" s="17"/>
      <c r="F87" s="17"/>
      <c r="G87" s="17"/>
      <c r="H87" s="17"/>
      <c r="I87" s="17"/>
      <c r="J87" s="17"/>
      <c r="K87" s="17"/>
      <c r="L87" s="17"/>
      <c r="M87" s="17"/>
    </row>
    <row r="88" spans="1:51" ht="22.9" customHeight="1" x14ac:dyDescent="0.3">
      <c r="A88" s="15"/>
      <c r="B88" s="15"/>
      <c r="C88" s="22"/>
      <c r="D88" s="17"/>
      <c r="E88" s="17"/>
      <c r="F88" s="17"/>
      <c r="G88" s="17"/>
      <c r="H88" s="17"/>
      <c r="I88" s="17"/>
      <c r="J88" s="17"/>
      <c r="K88" s="17"/>
      <c r="L88" s="17"/>
      <c r="M88" s="17"/>
    </row>
    <row r="89" spans="1:51" ht="22.9" customHeight="1" x14ac:dyDescent="0.3">
      <c r="A89" s="15"/>
      <c r="B89" s="15"/>
      <c r="C89" s="22"/>
      <c r="D89" s="17"/>
      <c r="E89" s="17"/>
      <c r="F89" s="17"/>
      <c r="G89" s="17"/>
      <c r="H89" s="17"/>
      <c r="I89" s="17"/>
      <c r="J89" s="17"/>
      <c r="K89" s="17"/>
      <c r="L89" s="17"/>
      <c r="M89" s="17"/>
    </row>
    <row r="90" spans="1:51" ht="22.9" customHeight="1" x14ac:dyDescent="0.3">
      <c r="A90" s="15"/>
      <c r="B90" s="15"/>
      <c r="C90" s="22"/>
      <c r="D90" s="17"/>
      <c r="E90" s="17"/>
      <c r="F90" s="17"/>
      <c r="G90" s="17"/>
      <c r="H90" s="17"/>
      <c r="I90" s="17"/>
      <c r="J90" s="17"/>
      <c r="K90" s="17"/>
      <c r="L90" s="17"/>
      <c r="M90" s="17"/>
    </row>
    <row r="91" spans="1:51" ht="22.9" customHeight="1" x14ac:dyDescent="0.3">
      <c r="A91" s="15"/>
      <c r="B91" s="15"/>
      <c r="C91" s="22"/>
      <c r="D91" s="17"/>
      <c r="E91" s="17"/>
      <c r="F91" s="17"/>
      <c r="G91" s="17"/>
      <c r="H91" s="17"/>
      <c r="I91" s="17"/>
      <c r="J91" s="17"/>
      <c r="K91" s="17"/>
      <c r="L91" s="17"/>
      <c r="M91" s="17"/>
    </row>
    <row r="92" spans="1:51" ht="22.9" customHeight="1" x14ac:dyDescent="0.3">
      <c r="A92" s="15"/>
      <c r="B92" s="15"/>
      <c r="C92" s="22"/>
      <c r="D92" s="17"/>
      <c r="E92" s="17"/>
      <c r="F92" s="17"/>
      <c r="G92" s="17"/>
      <c r="H92" s="17"/>
      <c r="I92" s="17"/>
      <c r="J92" s="17"/>
      <c r="K92" s="17"/>
      <c r="L92" s="17"/>
      <c r="M92" s="17"/>
    </row>
    <row r="93" spans="1:51" ht="22.9" customHeight="1" x14ac:dyDescent="0.3">
      <c r="A93" s="15"/>
      <c r="B93" s="15"/>
      <c r="C93" s="22"/>
      <c r="D93" s="17"/>
      <c r="E93" s="17"/>
      <c r="F93" s="17"/>
      <c r="G93" s="17"/>
      <c r="H93" s="17"/>
      <c r="I93" s="17"/>
      <c r="J93" s="17"/>
      <c r="K93" s="17"/>
      <c r="L93" s="17"/>
      <c r="M93" s="17"/>
    </row>
    <row r="94" spans="1:51" ht="22.9" customHeight="1" x14ac:dyDescent="0.3">
      <c r="A94" s="15"/>
      <c r="B94" s="15"/>
      <c r="C94" s="22"/>
      <c r="D94" s="17"/>
      <c r="E94" s="17"/>
      <c r="F94" s="17"/>
      <c r="G94" s="17"/>
      <c r="H94" s="17"/>
      <c r="I94" s="17"/>
      <c r="J94" s="17"/>
      <c r="K94" s="17"/>
      <c r="L94" s="17"/>
      <c r="M94" s="17"/>
    </row>
    <row r="95" spans="1:51" ht="22.9" customHeight="1" x14ac:dyDescent="0.3">
      <c r="A95" s="15"/>
      <c r="B95" s="15"/>
      <c r="C95" s="22"/>
      <c r="D95" s="17"/>
      <c r="E95" s="17"/>
      <c r="F95" s="17"/>
      <c r="G95" s="17"/>
      <c r="H95" s="17"/>
      <c r="I95" s="17"/>
      <c r="J95" s="17"/>
      <c r="K95" s="17"/>
      <c r="L95" s="17"/>
      <c r="M95" s="17"/>
    </row>
    <row r="96" spans="1:51" ht="22.9" customHeight="1" x14ac:dyDescent="0.3">
      <c r="A96" s="15"/>
      <c r="B96" s="15"/>
      <c r="C96" s="22"/>
      <c r="D96" s="17"/>
      <c r="E96" s="17"/>
      <c r="F96" s="17"/>
      <c r="G96" s="17"/>
      <c r="H96" s="17"/>
      <c r="I96" s="17"/>
      <c r="J96" s="17"/>
      <c r="K96" s="17"/>
      <c r="L96" s="17"/>
      <c r="M96" s="17"/>
    </row>
    <row r="97" spans="1:51" ht="22.9" customHeight="1" x14ac:dyDescent="0.3">
      <c r="A97" s="15"/>
      <c r="B97" s="15"/>
      <c r="C97" s="22"/>
      <c r="D97" s="17"/>
      <c r="E97" s="17"/>
      <c r="F97" s="17"/>
      <c r="G97" s="17"/>
      <c r="H97" s="17"/>
      <c r="I97" s="17"/>
      <c r="J97" s="17"/>
      <c r="K97" s="17"/>
      <c r="L97" s="17"/>
      <c r="M97" s="17"/>
    </row>
    <row r="98" spans="1:51" ht="22.9" customHeight="1" x14ac:dyDescent="0.3">
      <c r="A98" s="15"/>
      <c r="B98" s="15"/>
      <c r="C98" s="22"/>
      <c r="D98" s="17"/>
      <c r="E98" s="17"/>
      <c r="F98" s="17"/>
      <c r="G98" s="17"/>
      <c r="H98" s="17"/>
      <c r="I98" s="17"/>
      <c r="J98" s="17"/>
      <c r="K98" s="17"/>
      <c r="L98" s="17"/>
      <c r="M98" s="17"/>
    </row>
    <row r="99" spans="1:51" ht="22.9" customHeight="1" x14ac:dyDescent="0.3">
      <c r="A99" s="15"/>
      <c r="B99" s="15"/>
      <c r="C99" s="22"/>
      <c r="D99" s="17"/>
      <c r="E99" s="17"/>
      <c r="F99" s="17"/>
      <c r="G99" s="17"/>
      <c r="H99" s="17"/>
      <c r="I99" s="17"/>
      <c r="J99" s="17"/>
      <c r="K99" s="17"/>
      <c r="L99" s="17"/>
      <c r="M99" s="17"/>
    </row>
    <row r="100" spans="1:51" ht="22.9" customHeight="1" x14ac:dyDescent="0.3">
      <c r="A100" s="18" t="s">
        <v>439</v>
      </c>
      <c r="B100" s="19"/>
      <c r="C100" s="20"/>
      <c r="D100" s="21"/>
      <c r="E100" s="21"/>
      <c r="F100" s="21">
        <f>ROUNDDOWN(SUMIF(Q86:Q99,"1",F86:F99),0)</f>
        <v>0</v>
      </c>
      <c r="G100" s="21"/>
      <c r="H100" s="21">
        <f>ROUNDDOWN(SUMIF(Q86:Q99,"1",H86:H99),0)</f>
        <v>0</v>
      </c>
      <c r="I100" s="21"/>
      <c r="J100" s="21">
        <f>ROUNDDOWN(SUMIF(Q86:Q99,"1",J86:J99),0)</f>
        <v>707941</v>
      </c>
      <c r="K100" s="21"/>
      <c r="L100" s="21">
        <f>F100+H100+J100</f>
        <v>707941</v>
      </c>
      <c r="M100" s="21"/>
      <c r="R100" s="1">
        <f t="shared" ref="R100:AY100" si="40">ROUNDDOWN(SUM(R86:R86),0)</f>
        <v>707941</v>
      </c>
      <c r="S100" s="1">
        <f t="shared" si="40"/>
        <v>0</v>
      </c>
      <c r="T100" s="1">
        <f t="shared" si="40"/>
        <v>0</v>
      </c>
      <c r="U100" s="1">
        <f t="shared" si="40"/>
        <v>0</v>
      </c>
      <c r="V100" s="1">
        <f t="shared" si="40"/>
        <v>0</v>
      </c>
      <c r="W100" s="1">
        <f t="shared" si="40"/>
        <v>0</v>
      </c>
      <c r="X100" s="1">
        <f t="shared" si="40"/>
        <v>0</v>
      </c>
      <c r="Y100" s="1">
        <f t="shared" si="40"/>
        <v>0</v>
      </c>
      <c r="Z100" s="1">
        <f t="shared" si="40"/>
        <v>0</v>
      </c>
      <c r="AA100" s="1">
        <f t="shared" si="40"/>
        <v>0</v>
      </c>
      <c r="AB100" s="1">
        <f t="shared" si="40"/>
        <v>0</v>
      </c>
      <c r="AC100" s="1">
        <f t="shared" si="40"/>
        <v>0</v>
      </c>
      <c r="AD100" s="1">
        <f t="shared" si="40"/>
        <v>0</v>
      </c>
      <c r="AE100" s="1">
        <f t="shared" si="40"/>
        <v>0</v>
      </c>
      <c r="AF100" s="1">
        <f t="shared" si="40"/>
        <v>0</v>
      </c>
      <c r="AG100" s="1">
        <f t="shared" si="40"/>
        <v>0</v>
      </c>
      <c r="AH100" s="1">
        <f t="shared" si="40"/>
        <v>0</v>
      </c>
      <c r="AI100" s="1">
        <f t="shared" si="40"/>
        <v>0</v>
      </c>
      <c r="AJ100" s="1">
        <f t="shared" si="40"/>
        <v>0</v>
      </c>
      <c r="AK100" s="1">
        <f t="shared" si="40"/>
        <v>0</v>
      </c>
      <c r="AL100" s="1">
        <f t="shared" si="40"/>
        <v>0</v>
      </c>
      <c r="AM100" s="1">
        <f t="shared" si="40"/>
        <v>0</v>
      </c>
      <c r="AN100" s="1">
        <f t="shared" si="40"/>
        <v>0</v>
      </c>
      <c r="AO100" s="1">
        <f t="shared" si="40"/>
        <v>0</v>
      </c>
      <c r="AP100" s="1">
        <f t="shared" si="40"/>
        <v>0</v>
      </c>
      <c r="AQ100" s="1">
        <f t="shared" si="40"/>
        <v>0</v>
      </c>
      <c r="AR100" s="1">
        <f t="shared" si="40"/>
        <v>0</v>
      </c>
      <c r="AS100" s="1">
        <f t="shared" si="40"/>
        <v>0</v>
      </c>
      <c r="AT100" s="1">
        <f t="shared" si="40"/>
        <v>0</v>
      </c>
      <c r="AU100" s="1">
        <f t="shared" si="40"/>
        <v>0</v>
      </c>
      <c r="AV100" s="1">
        <f t="shared" si="40"/>
        <v>0</v>
      </c>
      <c r="AW100" s="1">
        <f t="shared" si="40"/>
        <v>0</v>
      </c>
      <c r="AX100" s="1">
        <f t="shared" si="40"/>
        <v>0</v>
      </c>
      <c r="AY100" s="1">
        <f t="shared" si="40"/>
        <v>0</v>
      </c>
    </row>
    <row r="101" spans="1:51" ht="22.9" customHeight="1" x14ac:dyDescent="0.3">
      <c r="A101" s="71" t="s">
        <v>343</v>
      </c>
      <c r="B101" s="72"/>
      <c r="C101" s="72"/>
      <c r="D101" s="72"/>
      <c r="E101" s="72"/>
      <c r="F101" s="72"/>
      <c r="G101" s="72"/>
      <c r="H101" s="72"/>
      <c r="I101" s="72"/>
      <c r="J101" s="72"/>
      <c r="K101" s="72"/>
      <c r="L101" s="72"/>
      <c r="M101" s="72"/>
    </row>
    <row r="102" spans="1:51" ht="22.9" customHeight="1" x14ac:dyDescent="0.3">
      <c r="A102" s="14" t="s">
        <v>503</v>
      </c>
      <c r="B102" s="14" t="s">
        <v>495</v>
      </c>
      <c r="C102" s="16" t="s">
        <v>75</v>
      </c>
      <c r="D102" s="17">
        <v>1</v>
      </c>
      <c r="E102" s="17">
        <f>일위대가목록!G32</f>
        <v>0</v>
      </c>
      <c r="F102" s="17">
        <f>ROUNDDOWN(D102*E102,0)</f>
        <v>0</v>
      </c>
      <c r="G102" s="17">
        <f>일위대가목록!I32</f>
        <v>0</v>
      </c>
      <c r="H102" s="17">
        <f>ROUNDDOWN(D102*G102,0)</f>
        <v>0</v>
      </c>
      <c r="I102" s="17">
        <f>일위대가목록!K32</f>
        <v>24420</v>
      </c>
      <c r="J102" s="17">
        <f>ROUNDDOWN(D102*I102,0)</f>
        <v>24420</v>
      </c>
      <c r="K102" s="17">
        <f>E102+G102+I102</f>
        <v>24420</v>
      </c>
      <c r="L102" s="17">
        <f>F102+H102+J102</f>
        <v>24420</v>
      </c>
      <c r="M102" s="25" t="s">
        <v>547</v>
      </c>
      <c r="O102" s="1" t="str">
        <f>""</f>
        <v/>
      </c>
      <c r="P102" s="2" t="s">
        <v>438</v>
      </c>
      <c r="Q102" s="1">
        <v>1</v>
      </c>
      <c r="R102" s="1">
        <f>IF(P102="기계경비",J102,0)</f>
        <v>24420</v>
      </c>
      <c r="S102" s="1">
        <f>IF(P102="운반비",L102,0)</f>
        <v>0</v>
      </c>
      <c r="T102" s="1">
        <f>IF(P102="작업부산물",F102,0)</f>
        <v>0</v>
      </c>
      <c r="U102" s="1">
        <f>IF(P102="관급",F102,0)</f>
        <v>0</v>
      </c>
      <c r="V102" s="1">
        <f>IF(P102="외주비",J102,0)</f>
        <v>0</v>
      </c>
      <c r="W102" s="1">
        <f>IF(P102="장비비",J102,0)</f>
        <v>0</v>
      </c>
      <c r="X102" s="1">
        <f>IF(P102="폐기물처리비",L102,0)</f>
        <v>0</v>
      </c>
      <c r="Y102" s="1">
        <f>IF(P102="가설비",J102,0)</f>
        <v>0</v>
      </c>
      <c r="Z102" s="1">
        <f>IF(P102="잡비제외분",F102,0)</f>
        <v>0</v>
      </c>
      <c r="AA102" s="1">
        <f>IF(P102="사급자재대",L102,0)</f>
        <v>0</v>
      </c>
      <c r="AB102" s="1">
        <f>IF(P102="관급자재대",L102,0)</f>
        <v>0</v>
      </c>
      <c r="AC102" s="1">
        <f>IF(P102="사용자항목1",L102,0)</f>
        <v>0</v>
      </c>
      <c r="AD102" s="1">
        <f>IF(P102="사용자항목2",L102,0)</f>
        <v>0</v>
      </c>
      <c r="AE102" s="1">
        <f>IF(P102="안전관리비",L102,0)</f>
        <v>0</v>
      </c>
      <c r="AF102" s="1">
        <f>IF(P102="품질관리비",L102,0)</f>
        <v>0</v>
      </c>
      <c r="AG102" s="1">
        <f>IF(P102="작업부산물(철거해체)",L102,0)</f>
        <v>0</v>
      </c>
      <c r="AH102" s="1">
        <f>IF(P102="재해예방기술지도비",L102,0)</f>
        <v>0</v>
      </c>
      <c r="AI102" s="1">
        <f>IF(P102="사용자항목7",L102,0)</f>
        <v>0</v>
      </c>
      <c r="AJ102" s="1">
        <f>IF(P102="석면분담금",L102,0)</f>
        <v>0</v>
      </c>
      <c r="AK102" s="1">
        <f>IF(P102="임금채권분담금",L102,0)</f>
        <v>0</v>
      </c>
      <c r="AL102" s="1">
        <f>IF(P102="사용자항목10",L102,0)</f>
        <v>0</v>
      </c>
      <c r="AM102" s="1">
        <f>IF(P102="사용자항목11",L102,0)</f>
        <v>0</v>
      </c>
      <c r="AN102" s="1">
        <f>IF(P102="사용자항목12",L102,0)</f>
        <v>0</v>
      </c>
      <c r="AO102" s="1">
        <f>IF(P102="사용자항목13",L102,0)</f>
        <v>0</v>
      </c>
      <c r="AP102" s="1">
        <f>IF(P102="사용자항목14",L102,0)</f>
        <v>0</v>
      </c>
      <c r="AQ102" s="1">
        <f>IF(P102="사용자항목15",L102,0)</f>
        <v>0</v>
      </c>
      <c r="AR102" s="1">
        <f>IF(P102="사용자항목16",L102,0)</f>
        <v>0</v>
      </c>
      <c r="AS102" s="1">
        <f>IF(P102="사용자항목17",L102,0)</f>
        <v>0</v>
      </c>
      <c r="AT102" s="1">
        <f>IF(P102="사용자항목18",L102,0)</f>
        <v>0</v>
      </c>
      <c r="AU102" s="1">
        <f>IF(P102="사용자항목19",L102,0)</f>
        <v>0</v>
      </c>
      <c r="AY102" s="2" t="s">
        <v>499</v>
      </c>
    </row>
    <row r="103" spans="1:51" ht="22.9" customHeight="1" x14ac:dyDescent="0.3">
      <c r="A103" s="14" t="s">
        <v>329</v>
      </c>
      <c r="B103" s="14" t="s">
        <v>95</v>
      </c>
      <c r="C103" s="16" t="s">
        <v>75</v>
      </c>
      <c r="D103" s="17">
        <v>2</v>
      </c>
      <c r="E103" s="17">
        <f>일위대가목록!G33</f>
        <v>0</v>
      </c>
      <c r="F103" s="17">
        <f>ROUNDDOWN(D103*E103,0)</f>
        <v>0</v>
      </c>
      <c r="G103" s="17">
        <f>일위대가목록!I33</f>
        <v>0</v>
      </c>
      <c r="H103" s="17">
        <f>ROUNDDOWN(D103*G103,0)</f>
        <v>0</v>
      </c>
      <c r="I103" s="17">
        <f>일위대가목록!K33</f>
        <v>15130</v>
      </c>
      <c r="J103" s="17">
        <f>ROUNDDOWN(D103*I103,0)</f>
        <v>30260</v>
      </c>
      <c r="K103" s="17">
        <f>E103+G103+I103</f>
        <v>15130</v>
      </c>
      <c r="L103" s="17">
        <f>F103+H103+J103</f>
        <v>30260</v>
      </c>
      <c r="M103" s="25" t="s">
        <v>549</v>
      </c>
      <c r="O103" s="1" t="str">
        <f>""</f>
        <v/>
      </c>
      <c r="P103" s="2" t="s">
        <v>438</v>
      </c>
      <c r="Q103" s="1">
        <v>1</v>
      </c>
      <c r="R103" s="1">
        <f>IF(P103="기계경비",J103,0)</f>
        <v>30260</v>
      </c>
      <c r="S103" s="1">
        <f>IF(P103="운반비",L103,0)</f>
        <v>0</v>
      </c>
      <c r="T103" s="1">
        <f>IF(P103="작업부산물",F103,0)</f>
        <v>0</v>
      </c>
      <c r="U103" s="1">
        <f>IF(P103="관급",F103,0)</f>
        <v>0</v>
      </c>
      <c r="V103" s="1">
        <f>IF(P103="외주비",J103,0)</f>
        <v>0</v>
      </c>
      <c r="W103" s="1">
        <f>IF(P103="장비비",J103,0)</f>
        <v>0</v>
      </c>
      <c r="X103" s="1">
        <f>IF(P103="폐기물처리비",L103,0)</f>
        <v>0</v>
      </c>
      <c r="Y103" s="1">
        <f>IF(P103="가설비",J103,0)</f>
        <v>0</v>
      </c>
      <c r="Z103" s="1">
        <f>IF(P103="잡비제외분",F103,0)</f>
        <v>0</v>
      </c>
      <c r="AA103" s="1">
        <f>IF(P103="사급자재대",L103,0)</f>
        <v>0</v>
      </c>
      <c r="AB103" s="1">
        <f>IF(P103="관급자재대",L103,0)</f>
        <v>0</v>
      </c>
      <c r="AC103" s="1">
        <f>IF(P103="사용자항목1",L103,0)</f>
        <v>0</v>
      </c>
      <c r="AD103" s="1">
        <f>IF(P103="사용자항목2",L103,0)</f>
        <v>0</v>
      </c>
      <c r="AE103" s="1">
        <f>IF(P103="안전관리비",L103,0)</f>
        <v>0</v>
      </c>
      <c r="AF103" s="1">
        <f>IF(P103="품질관리비",L103,0)</f>
        <v>0</v>
      </c>
      <c r="AG103" s="1">
        <f>IF(P103="작업부산물(철거해체)",L103,0)</f>
        <v>0</v>
      </c>
      <c r="AH103" s="1">
        <f>IF(P103="재해예방기술지도비",L103,0)</f>
        <v>0</v>
      </c>
      <c r="AI103" s="1">
        <f>IF(P103="사용자항목7",L103,0)</f>
        <v>0</v>
      </c>
      <c r="AJ103" s="1">
        <f>IF(P103="석면분담금",L103,0)</f>
        <v>0</v>
      </c>
      <c r="AK103" s="1">
        <f>IF(P103="임금채권분담금",L103,0)</f>
        <v>0</v>
      </c>
      <c r="AL103" s="1">
        <f>IF(P103="사용자항목10",L103,0)</f>
        <v>0</v>
      </c>
      <c r="AM103" s="1">
        <f>IF(P103="사용자항목11",L103,0)</f>
        <v>0</v>
      </c>
      <c r="AN103" s="1">
        <f>IF(P103="사용자항목12",L103,0)</f>
        <v>0</v>
      </c>
      <c r="AO103" s="1">
        <f>IF(P103="사용자항목13",L103,0)</f>
        <v>0</v>
      </c>
      <c r="AP103" s="1">
        <f>IF(P103="사용자항목14",L103,0)</f>
        <v>0</v>
      </c>
      <c r="AQ103" s="1">
        <f>IF(P103="사용자항목15",L103,0)</f>
        <v>0</v>
      </c>
      <c r="AR103" s="1">
        <f>IF(P103="사용자항목16",L103,0)</f>
        <v>0</v>
      </c>
      <c r="AS103" s="1">
        <f>IF(P103="사용자항목17",L103,0)</f>
        <v>0</v>
      </c>
      <c r="AT103" s="1">
        <f>IF(P103="사용자항목18",L103,0)</f>
        <v>0</v>
      </c>
      <c r="AU103" s="1">
        <f>IF(P103="사용자항목19",L103,0)</f>
        <v>0</v>
      </c>
      <c r="AY103" s="2" t="s">
        <v>499</v>
      </c>
    </row>
    <row r="104" spans="1:51" ht="22.9" customHeight="1" x14ac:dyDescent="0.3">
      <c r="A104" s="15"/>
      <c r="B104" s="15"/>
      <c r="C104" s="22"/>
      <c r="D104" s="17"/>
      <c r="E104" s="17"/>
      <c r="F104" s="17"/>
      <c r="G104" s="17"/>
      <c r="H104" s="17"/>
      <c r="I104" s="17"/>
      <c r="J104" s="17"/>
      <c r="K104" s="17"/>
      <c r="L104" s="17"/>
      <c r="M104" s="17"/>
    </row>
    <row r="105" spans="1:51" ht="22.9" customHeight="1" x14ac:dyDescent="0.3">
      <c r="A105" s="15"/>
      <c r="B105" s="15"/>
      <c r="C105" s="22"/>
      <c r="D105" s="17"/>
      <c r="E105" s="17"/>
      <c r="F105" s="17"/>
      <c r="G105" s="17"/>
      <c r="H105" s="17"/>
      <c r="I105" s="17"/>
      <c r="J105" s="17"/>
      <c r="K105" s="17"/>
      <c r="L105" s="17"/>
      <c r="M105" s="17"/>
    </row>
    <row r="106" spans="1:51" ht="22.9" customHeight="1" x14ac:dyDescent="0.3">
      <c r="A106" s="15"/>
      <c r="B106" s="15"/>
      <c r="C106" s="22"/>
      <c r="D106" s="17"/>
      <c r="E106" s="17"/>
      <c r="F106" s="17"/>
      <c r="G106" s="17"/>
      <c r="H106" s="17"/>
      <c r="I106" s="17"/>
      <c r="J106" s="17"/>
      <c r="K106" s="17"/>
      <c r="L106" s="17"/>
      <c r="M106" s="17"/>
    </row>
    <row r="107" spans="1:51" ht="22.9" customHeight="1" x14ac:dyDescent="0.3">
      <c r="A107" s="15"/>
      <c r="B107" s="15"/>
      <c r="C107" s="22"/>
      <c r="D107" s="17"/>
      <c r="E107" s="17"/>
      <c r="F107" s="17"/>
      <c r="G107" s="17"/>
      <c r="H107" s="17"/>
      <c r="I107" s="17"/>
      <c r="J107" s="17"/>
      <c r="K107" s="17"/>
      <c r="L107" s="17"/>
      <c r="M107" s="17"/>
    </row>
    <row r="108" spans="1:51" ht="22.9" customHeight="1" x14ac:dyDescent="0.3">
      <c r="A108" s="15"/>
      <c r="B108" s="15"/>
      <c r="C108" s="22"/>
      <c r="D108" s="17"/>
      <c r="E108" s="17"/>
      <c r="F108" s="17"/>
      <c r="G108" s="17"/>
      <c r="H108" s="17"/>
      <c r="I108" s="17"/>
      <c r="J108" s="17"/>
      <c r="K108" s="17"/>
      <c r="L108" s="17"/>
      <c r="M108" s="17"/>
    </row>
    <row r="109" spans="1:51" ht="22.9" customHeight="1" x14ac:dyDescent="0.3">
      <c r="A109" s="15"/>
      <c r="B109" s="15"/>
      <c r="C109" s="22"/>
      <c r="D109" s="17"/>
      <c r="E109" s="17"/>
      <c r="F109" s="17"/>
      <c r="G109" s="17"/>
      <c r="H109" s="17"/>
      <c r="I109" s="17"/>
      <c r="J109" s="17"/>
      <c r="K109" s="17"/>
      <c r="L109" s="17"/>
      <c r="M109" s="17"/>
    </row>
    <row r="110" spans="1:51" ht="22.9" customHeight="1" x14ac:dyDescent="0.3">
      <c r="A110" s="15"/>
      <c r="B110" s="15"/>
      <c r="C110" s="22"/>
      <c r="D110" s="17"/>
      <c r="E110" s="17"/>
      <c r="F110" s="17"/>
      <c r="G110" s="17"/>
      <c r="H110" s="17"/>
      <c r="I110" s="17"/>
      <c r="J110" s="17"/>
      <c r="K110" s="17"/>
      <c r="L110" s="17"/>
      <c r="M110" s="17"/>
    </row>
    <row r="111" spans="1:51" ht="22.9" customHeight="1" x14ac:dyDescent="0.3">
      <c r="A111" s="15"/>
      <c r="B111" s="15"/>
      <c r="C111" s="22"/>
      <c r="D111" s="17"/>
      <c r="E111" s="17"/>
      <c r="F111" s="17"/>
      <c r="G111" s="17"/>
      <c r="H111" s="17"/>
      <c r="I111" s="17"/>
      <c r="J111" s="17"/>
      <c r="K111" s="17"/>
      <c r="L111" s="17"/>
      <c r="M111" s="17"/>
    </row>
    <row r="112" spans="1:51" ht="22.9" customHeight="1" x14ac:dyDescent="0.3">
      <c r="A112" s="15"/>
      <c r="B112" s="15"/>
      <c r="C112" s="22"/>
      <c r="D112" s="17"/>
      <c r="E112" s="17"/>
      <c r="F112" s="17"/>
      <c r="G112" s="17"/>
      <c r="H112" s="17"/>
      <c r="I112" s="17"/>
      <c r="J112" s="17"/>
      <c r="K112" s="17"/>
      <c r="L112" s="17"/>
      <c r="M112" s="17"/>
    </row>
    <row r="113" spans="1:51" ht="22.9" customHeight="1" x14ac:dyDescent="0.3">
      <c r="A113" s="15"/>
      <c r="B113" s="15"/>
      <c r="C113" s="22"/>
      <c r="D113" s="17"/>
      <c r="E113" s="17"/>
      <c r="F113" s="17"/>
      <c r="G113" s="17"/>
      <c r="H113" s="17"/>
      <c r="I113" s="17"/>
      <c r="J113" s="17"/>
      <c r="K113" s="17"/>
      <c r="L113" s="17"/>
      <c r="M113" s="17"/>
    </row>
    <row r="114" spans="1:51" ht="22.9" customHeight="1" x14ac:dyDescent="0.3">
      <c r="A114" s="15"/>
      <c r="B114" s="15"/>
      <c r="C114" s="22"/>
      <c r="D114" s="17"/>
      <c r="E114" s="17"/>
      <c r="F114" s="17"/>
      <c r="G114" s="17"/>
      <c r="H114" s="17"/>
      <c r="I114" s="17"/>
      <c r="J114" s="17"/>
      <c r="K114" s="17"/>
      <c r="L114" s="17"/>
      <c r="M114" s="17"/>
    </row>
    <row r="115" spans="1:51" ht="22.9" customHeight="1" x14ac:dyDescent="0.3">
      <c r="A115" s="15"/>
      <c r="B115" s="15"/>
      <c r="C115" s="22"/>
      <c r="D115" s="17"/>
      <c r="E115" s="17"/>
      <c r="F115" s="17"/>
      <c r="G115" s="17"/>
      <c r="H115" s="17"/>
      <c r="I115" s="17"/>
      <c r="J115" s="17"/>
      <c r="K115" s="17"/>
      <c r="L115" s="17"/>
      <c r="M115" s="17"/>
    </row>
    <row r="116" spans="1:51" ht="22.9" customHeight="1" x14ac:dyDescent="0.3">
      <c r="A116" s="18" t="s">
        <v>439</v>
      </c>
      <c r="B116" s="19"/>
      <c r="C116" s="20"/>
      <c r="D116" s="21"/>
      <c r="E116" s="21"/>
      <c r="F116" s="21">
        <f>ROUNDDOWN(SUMIF(Q102:Q115,"1",F102:F115),0)</f>
        <v>0</v>
      </c>
      <c r="G116" s="21"/>
      <c r="H116" s="21">
        <f>ROUNDDOWN(SUMIF(Q102:Q115,"1",H102:H115),0)</f>
        <v>0</v>
      </c>
      <c r="I116" s="21"/>
      <c r="J116" s="21">
        <f>ROUNDDOWN(SUMIF(Q102:Q115,"1",J102:J115),0)</f>
        <v>54680</v>
      </c>
      <c r="K116" s="21"/>
      <c r="L116" s="21">
        <f>F116+H116+J116</f>
        <v>54680</v>
      </c>
      <c r="M116" s="21"/>
      <c r="R116" s="1">
        <f t="shared" ref="R116:AY116" si="41">ROUNDDOWN(SUM(R102:R103),0)</f>
        <v>54680</v>
      </c>
      <c r="S116" s="1">
        <f t="shared" si="41"/>
        <v>0</v>
      </c>
      <c r="T116" s="1">
        <f t="shared" si="41"/>
        <v>0</v>
      </c>
      <c r="U116" s="1">
        <f t="shared" si="41"/>
        <v>0</v>
      </c>
      <c r="V116" s="1">
        <f t="shared" si="41"/>
        <v>0</v>
      </c>
      <c r="W116" s="1">
        <f t="shared" si="41"/>
        <v>0</v>
      </c>
      <c r="X116" s="1">
        <f t="shared" si="41"/>
        <v>0</v>
      </c>
      <c r="Y116" s="1">
        <f t="shared" si="41"/>
        <v>0</v>
      </c>
      <c r="Z116" s="1">
        <f t="shared" si="41"/>
        <v>0</v>
      </c>
      <c r="AA116" s="1">
        <f t="shared" si="41"/>
        <v>0</v>
      </c>
      <c r="AB116" s="1">
        <f t="shared" si="41"/>
        <v>0</v>
      </c>
      <c r="AC116" s="1">
        <f t="shared" si="41"/>
        <v>0</v>
      </c>
      <c r="AD116" s="1">
        <f t="shared" si="41"/>
        <v>0</v>
      </c>
      <c r="AE116" s="1">
        <f t="shared" si="41"/>
        <v>0</v>
      </c>
      <c r="AF116" s="1">
        <f t="shared" si="41"/>
        <v>0</v>
      </c>
      <c r="AG116" s="1">
        <f t="shared" si="41"/>
        <v>0</v>
      </c>
      <c r="AH116" s="1">
        <f t="shared" si="41"/>
        <v>0</v>
      </c>
      <c r="AI116" s="1">
        <f t="shared" si="41"/>
        <v>0</v>
      </c>
      <c r="AJ116" s="1">
        <f t="shared" si="41"/>
        <v>0</v>
      </c>
      <c r="AK116" s="1">
        <f t="shared" si="41"/>
        <v>0</v>
      </c>
      <c r="AL116" s="1">
        <f t="shared" si="41"/>
        <v>0</v>
      </c>
      <c r="AM116" s="1">
        <f t="shared" si="41"/>
        <v>0</v>
      </c>
      <c r="AN116" s="1">
        <f t="shared" si="41"/>
        <v>0</v>
      </c>
      <c r="AO116" s="1">
        <f t="shared" si="41"/>
        <v>0</v>
      </c>
      <c r="AP116" s="1">
        <f t="shared" si="41"/>
        <v>0</v>
      </c>
      <c r="AQ116" s="1">
        <f t="shared" si="41"/>
        <v>0</v>
      </c>
      <c r="AR116" s="1">
        <f t="shared" si="41"/>
        <v>0</v>
      </c>
      <c r="AS116" s="1">
        <f t="shared" si="41"/>
        <v>0</v>
      </c>
      <c r="AT116" s="1">
        <f t="shared" si="41"/>
        <v>0</v>
      </c>
      <c r="AU116" s="1">
        <f t="shared" si="41"/>
        <v>0</v>
      </c>
      <c r="AV116" s="1">
        <f t="shared" si="41"/>
        <v>0</v>
      </c>
      <c r="AW116" s="1">
        <f t="shared" si="41"/>
        <v>0</v>
      </c>
      <c r="AX116" s="1">
        <f t="shared" si="41"/>
        <v>0</v>
      </c>
      <c r="AY116" s="1">
        <f t="shared" si="41"/>
        <v>0</v>
      </c>
    </row>
    <row r="117" spans="1:51" ht="22.9" customHeight="1" x14ac:dyDescent="0.3">
      <c r="A117" s="71" t="s">
        <v>337</v>
      </c>
      <c r="B117" s="72"/>
      <c r="C117" s="72"/>
      <c r="D117" s="72"/>
      <c r="E117" s="72"/>
      <c r="F117" s="72"/>
      <c r="G117" s="72"/>
      <c r="H117" s="72"/>
      <c r="I117" s="72"/>
      <c r="J117" s="72"/>
      <c r="K117" s="72"/>
      <c r="L117" s="72"/>
      <c r="M117" s="72"/>
    </row>
    <row r="118" spans="1:51" ht="22.9" customHeight="1" x14ac:dyDescent="0.3">
      <c r="A118" s="14" t="s">
        <v>296</v>
      </c>
      <c r="B118" s="14" t="s">
        <v>297</v>
      </c>
      <c r="C118" s="16" t="s">
        <v>55</v>
      </c>
      <c r="D118" s="17">
        <v>1</v>
      </c>
      <c r="E118" s="17">
        <f>일위대가목록!G5</f>
        <v>49196</v>
      </c>
      <c r="F118" s="17">
        <f>ROUNDDOWN(D118*E118,0)</f>
        <v>49196</v>
      </c>
      <c r="G118" s="17">
        <f>일위대가목록!I5</f>
        <v>156891</v>
      </c>
      <c r="H118" s="17">
        <f>ROUNDDOWN(D118*G118,0)</f>
        <v>156891</v>
      </c>
      <c r="I118" s="17">
        <f>일위대가목록!K5</f>
        <v>0</v>
      </c>
      <c r="J118" s="17">
        <f>ROUNDDOWN(D118*I118,0)</f>
        <v>0</v>
      </c>
      <c r="K118" s="17">
        <f>E118+G118+I118</f>
        <v>206087</v>
      </c>
      <c r="L118" s="17">
        <f>F118+H118+J118</f>
        <v>206087</v>
      </c>
      <c r="M118" s="25" t="s">
        <v>500</v>
      </c>
      <c r="O118" s="1" t="str">
        <f>""</f>
        <v/>
      </c>
      <c r="P118" s="2" t="s">
        <v>438</v>
      </c>
      <c r="Q118" s="1">
        <v>1</v>
      </c>
      <c r="R118" s="1">
        <f>IF(P118="기계경비",J118,0)</f>
        <v>0</v>
      </c>
      <c r="S118" s="1">
        <f>IF(P118="운반비",L118,0)</f>
        <v>0</v>
      </c>
      <c r="T118" s="1">
        <f>IF(P118="작업부산물",F118,0)</f>
        <v>0</v>
      </c>
      <c r="U118" s="1">
        <f>IF(P118="관급",F118,0)</f>
        <v>0</v>
      </c>
      <c r="V118" s="1">
        <f>IF(P118="외주비",J118,0)</f>
        <v>0</v>
      </c>
      <c r="W118" s="1">
        <f>IF(P118="장비비",J118,0)</f>
        <v>0</v>
      </c>
      <c r="X118" s="1">
        <f>IF(P118="폐기물처리비",L118,0)</f>
        <v>0</v>
      </c>
      <c r="Y118" s="1">
        <f>IF(P118="가설비",J118,0)</f>
        <v>0</v>
      </c>
      <c r="Z118" s="1">
        <f>IF(P118="잡비제외분",F118,0)</f>
        <v>0</v>
      </c>
      <c r="AA118" s="1">
        <f>IF(P118="사급자재대",L118,0)</f>
        <v>0</v>
      </c>
      <c r="AB118" s="1">
        <f>IF(P118="관급자재대",L118,0)</f>
        <v>0</v>
      </c>
      <c r="AC118" s="1">
        <f>IF(P118="사용자항목1",L118,0)</f>
        <v>0</v>
      </c>
      <c r="AD118" s="1">
        <f>IF(P118="사용자항목2",L118,0)</f>
        <v>0</v>
      </c>
      <c r="AE118" s="1">
        <f>IF(P118="안전관리비",L118,0)</f>
        <v>0</v>
      </c>
      <c r="AF118" s="1">
        <f>IF(P118="품질관리비",L118,0)</f>
        <v>0</v>
      </c>
      <c r="AG118" s="1">
        <f>IF(P118="작업부산물(철거해체)",L118,0)</f>
        <v>0</v>
      </c>
      <c r="AH118" s="1">
        <f>IF(P118="재해예방기술지도비",L118,0)</f>
        <v>0</v>
      </c>
      <c r="AI118" s="1">
        <f>IF(P118="사용자항목7",L118,0)</f>
        <v>0</v>
      </c>
      <c r="AJ118" s="1">
        <f>IF(P118="석면분담금",L118,0)</f>
        <v>0</v>
      </c>
      <c r="AK118" s="1">
        <f>IF(P118="임금채권분담금",L118,0)</f>
        <v>0</v>
      </c>
      <c r="AL118" s="1">
        <f>IF(P118="사용자항목10",L118,0)</f>
        <v>0</v>
      </c>
      <c r="AM118" s="1">
        <f>IF(P118="사용자항목11",L118,0)</f>
        <v>0</v>
      </c>
      <c r="AN118" s="1">
        <f>IF(P118="사용자항목12",L118,0)</f>
        <v>0</v>
      </c>
      <c r="AO118" s="1">
        <f>IF(P118="사용자항목13",L118,0)</f>
        <v>0</v>
      </c>
      <c r="AP118" s="1">
        <f>IF(P118="사용자항목14",L118,0)</f>
        <v>0</v>
      </c>
      <c r="AQ118" s="1">
        <f>IF(P118="사용자항목15",L118,0)</f>
        <v>0</v>
      </c>
      <c r="AR118" s="1">
        <f>IF(P118="사용자항목16",L118,0)</f>
        <v>0</v>
      </c>
      <c r="AS118" s="1">
        <f>IF(P118="사용자항목17",L118,0)</f>
        <v>0</v>
      </c>
      <c r="AT118" s="1">
        <f>IF(P118="사용자항목18",L118,0)</f>
        <v>0</v>
      </c>
      <c r="AU118" s="1">
        <f>IF(P118="사용자항목19",L118,0)</f>
        <v>0</v>
      </c>
    </row>
    <row r="119" spans="1:51" ht="22.9" customHeight="1" x14ac:dyDescent="0.3">
      <c r="A119" s="15"/>
      <c r="B119" s="15"/>
      <c r="C119" s="22"/>
      <c r="D119" s="17"/>
      <c r="E119" s="17"/>
      <c r="F119" s="17"/>
      <c r="G119" s="17"/>
      <c r="H119" s="17"/>
      <c r="I119" s="17"/>
      <c r="J119" s="17"/>
      <c r="K119" s="17"/>
      <c r="L119" s="17"/>
      <c r="M119" s="17"/>
    </row>
    <row r="120" spans="1:51" ht="22.9" customHeight="1" x14ac:dyDescent="0.3">
      <c r="A120" s="15"/>
      <c r="B120" s="15"/>
      <c r="C120" s="22"/>
      <c r="D120" s="17"/>
      <c r="E120" s="17"/>
      <c r="F120" s="17"/>
      <c r="G120" s="17"/>
      <c r="H120" s="17"/>
      <c r="I120" s="17"/>
      <c r="J120" s="17"/>
      <c r="K120" s="17"/>
      <c r="L120" s="17"/>
      <c r="M120" s="17"/>
    </row>
    <row r="121" spans="1:51" ht="22.9" customHeight="1" x14ac:dyDescent="0.3">
      <c r="A121" s="15"/>
      <c r="B121" s="15"/>
      <c r="C121" s="22"/>
      <c r="D121" s="17"/>
      <c r="E121" s="17"/>
      <c r="F121" s="17"/>
      <c r="G121" s="17"/>
      <c r="H121" s="17"/>
      <c r="I121" s="17"/>
      <c r="J121" s="17"/>
      <c r="K121" s="17"/>
      <c r="L121" s="17"/>
      <c r="M121" s="17"/>
    </row>
    <row r="122" spans="1:51" ht="22.9" customHeight="1" x14ac:dyDescent="0.3">
      <c r="A122" s="15"/>
      <c r="B122" s="15"/>
      <c r="C122" s="22"/>
      <c r="D122" s="17"/>
      <c r="E122" s="17"/>
      <c r="F122" s="17"/>
      <c r="G122" s="17"/>
      <c r="H122" s="17"/>
      <c r="I122" s="17"/>
      <c r="J122" s="17"/>
      <c r="K122" s="17"/>
      <c r="L122" s="17"/>
      <c r="M122" s="17"/>
    </row>
    <row r="123" spans="1:51" ht="22.9" customHeight="1" x14ac:dyDescent="0.3">
      <c r="A123" s="15"/>
      <c r="B123" s="15"/>
      <c r="C123" s="22"/>
      <c r="D123" s="17"/>
      <c r="E123" s="17"/>
      <c r="F123" s="17"/>
      <c r="G123" s="17"/>
      <c r="H123" s="17"/>
      <c r="I123" s="17"/>
      <c r="J123" s="17"/>
      <c r="K123" s="17"/>
      <c r="L123" s="17"/>
      <c r="M123" s="17"/>
    </row>
    <row r="124" spans="1:51" ht="22.9" customHeight="1" x14ac:dyDescent="0.3">
      <c r="A124" s="15"/>
      <c r="B124" s="15"/>
      <c r="C124" s="22"/>
      <c r="D124" s="17"/>
      <c r="E124" s="17"/>
      <c r="F124" s="17"/>
      <c r="G124" s="17"/>
      <c r="H124" s="17"/>
      <c r="I124" s="17"/>
      <c r="J124" s="17"/>
      <c r="K124" s="17"/>
      <c r="L124" s="17"/>
      <c r="M124" s="17"/>
    </row>
    <row r="125" spans="1:51" ht="22.9" customHeight="1" x14ac:dyDescent="0.3">
      <c r="A125" s="15"/>
      <c r="B125" s="15"/>
      <c r="C125" s="22"/>
      <c r="D125" s="17"/>
      <c r="E125" s="17"/>
      <c r="F125" s="17"/>
      <c r="G125" s="17"/>
      <c r="H125" s="17"/>
      <c r="I125" s="17"/>
      <c r="J125" s="17"/>
      <c r="K125" s="17"/>
      <c r="L125" s="17"/>
      <c r="M125" s="17"/>
    </row>
    <row r="126" spans="1:51" ht="22.9" customHeight="1" x14ac:dyDescent="0.3">
      <c r="A126" s="15"/>
      <c r="B126" s="15"/>
      <c r="C126" s="22"/>
      <c r="D126" s="17"/>
      <c r="E126" s="17"/>
      <c r="F126" s="17"/>
      <c r="G126" s="17"/>
      <c r="H126" s="17"/>
      <c r="I126" s="17"/>
      <c r="J126" s="17"/>
      <c r="K126" s="17"/>
      <c r="L126" s="17"/>
      <c r="M126" s="17"/>
    </row>
    <row r="127" spans="1:51" ht="22.9" customHeight="1" x14ac:dyDescent="0.3">
      <c r="A127" s="15"/>
      <c r="B127" s="15"/>
      <c r="C127" s="22"/>
      <c r="D127" s="17"/>
      <c r="E127" s="17"/>
      <c r="F127" s="17"/>
      <c r="G127" s="17"/>
      <c r="H127" s="17"/>
      <c r="I127" s="17"/>
      <c r="J127" s="17"/>
      <c r="K127" s="17"/>
      <c r="L127" s="17"/>
      <c r="M127" s="17"/>
    </row>
    <row r="128" spans="1:51" ht="22.9" customHeight="1" x14ac:dyDescent="0.3">
      <c r="A128" s="15"/>
      <c r="B128" s="15"/>
      <c r="C128" s="22"/>
      <c r="D128" s="17"/>
      <c r="E128" s="17"/>
      <c r="F128" s="17"/>
      <c r="G128" s="17"/>
      <c r="H128" s="17"/>
      <c r="I128" s="17"/>
      <c r="J128" s="17"/>
      <c r="K128" s="17"/>
      <c r="L128" s="17"/>
      <c r="M128" s="17"/>
    </row>
    <row r="129" spans="1:51" ht="22.9" customHeight="1" x14ac:dyDescent="0.3">
      <c r="A129" s="15"/>
      <c r="B129" s="15"/>
      <c r="C129" s="22"/>
      <c r="D129" s="17"/>
      <c r="E129" s="17"/>
      <c r="F129" s="17"/>
      <c r="G129" s="17"/>
      <c r="H129" s="17"/>
      <c r="I129" s="17"/>
      <c r="J129" s="17"/>
      <c r="K129" s="17"/>
      <c r="L129" s="17"/>
      <c r="M129" s="17"/>
    </row>
    <row r="130" spans="1:51" ht="22.9" customHeight="1" x14ac:dyDescent="0.3">
      <c r="A130" s="15"/>
      <c r="B130" s="15"/>
      <c r="C130" s="22"/>
      <c r="D130" s="17"/>
      <c r="E130" s="17"/>
      <c r="F130" s="17"/>
      <c r="G130" s="17"/>
      <c r="H130" s="17"/>
      <c r="I130" s="17"/>
      <c r="J130" s="17"/>
      <c r="K130" s="17"/>
      <c r="L130" s="17"/>
      <c r="M130" s="17"/>
    </row>
    <row r="131" spans="1:51" ht="22.9" customHeight="1" x14ac:dyDescent="0.3">
      <c r="A131" s="15"/>
      <c r="B131" s="15"/>
      <c r="C131" s="22"/>
      <c r="D131" s="17"/>
      <c r="E131" s="17"/>
      <c r="F131" s="17"/>
      <c r="G131" s="17"/>
      <c r="H131" s="17"/>
      <c r="I131" s="17"/>
      <c r="J131" s="17"/>
      <c r="K131" s="17"/>
      <c r="L131" s="17"/>
      <c r="M131" s="17"/>
    </row>
    <row r="132" spans="1:51" ht="22.9" customHeight="1" x14ac:dyDescent="0.3">
      <c r="A132" s="18" t="s">
        <v>439</v>
      </c>
      <c r="B132" s="19"/>
      <c r="C132" s="20"/>
      <c r="D132" s="21"/>
      <c r="E132" s="21"/>
      <c r="F132" s="21">
        <f>ROUNDDOWN(SUMIF(Q118:Q131,"1",F118:F131),0)</f>
        <v>49196</v>
      </c>
      <c r="G132" s="21"/>
      <c r="H132" s="21">
        <f>ROUNDDOWN(SUMIF(Q118:Q131,"1",H118:H131),0)</f>
        <v>156891</v>
      </c>
      <c r="I132" s="21"/>
      <c r="J132" s="21">
        <f>ROUNDDOWN(SUMIF(Q118:Q131,"1",J118:J131),0)</f>
        <v>0</v>
      </c>
      <c r="K132" s="21"/>
      <c r="L132" s="21">
        <f>F132+H132+J132</f>
        <v>206087</v>
      </c>
      <c r="M132" s="21"/>
      <c r="R132" s="1">
        <f t="shared" ref="R132:AY132" si="42">ROUNDDOWN(SUM(R118:R118),0)</f>
        <v>0</v>
      </c>
      <c r="S132" s="1">
        <f t="shared" si="42"/>
        <v>0</v>
      </c>
      <c r="T132" s="1">
        <f t="shared" si="42"/>
        <v>0</v>
      </c>
      <c r="U132" s="1">
        <f t="shared" si="42"/>
        <v>0</v>
      </c>
      <c r="V132" s="1">
        <f t="shared" si="42"/>
        <v>0</v>
      </c>
      <c r="W132" s="1">
        <f t="shared" si="42"/>
        <v>0</v>
      </c>
      <c r="X132" s="1">
        <f t="shared" si="42"/>
        <v>0</v>
      </c>
      <c r="Y132" s="1">
        <f t="shared" si="42"/>
        <v>0</v>
      </c>
      <c r="Z132" s="1">
        <f t="shared" si="42"/>
        <v>0</v>
      </c>
      <c r="AA132" s="1">
        <f t="shared" si="42"/>
        <v>0</v>
      </c>
      <c r="AB132" s="1">
        <f t="shared" si="42"/>
        <v>0</v>
      </c>
      <c r="AC132" s="1">
        <f t="shared" si="42"/>
        <v>0</v>
      </c>
      <c r="AD132" s="1">
        <f t="shared" si="42"/>
        <v>0</v>
      </c>
      <c r="AE132" s="1">
        <f t="shared" si="42"/>
        <v>0</v>
      </c>
      <c r="AF132" s="1">
        <f t="shared" si="42"/>
        <v>0</v>
      </c>
      <c r="AG132" s="1">
        <f t="shared" si="42"/>
        <v>0</v>
      </c>
      <c r="AH132" s="1">
        <f t="shared" si="42"/>
        <v>0</v>
      </c>
      <c r="AI132" s="1">
        <f t="shared" si="42"/>
        <v>0</v>
      </c>
      <c r="AJ132" s="1">
        <f t="shared" si="42"/>
        <v>0</v>
      </c>
      <c r="AK132" s="1">
        <f t="shared" si="42"/>
        <v>0</v>
      </c>
      <c r="AL132" s="1">
        <f t="shared" si="42"/>
        <v>0</v>
      </c>
      <c r="AM132" s="1">
        <f t="shared" si="42"/>
        <v>0</v>
      </c>
      <c r="AN132" s="1">
        <f t="shared" si="42"/>
        <v>0</v>
      </c>
      <c r="AO132" s="1">
        <f t="shared" si="42"/>
        <v>0</v>
      </c>
      <c r="AP132" s="1">
        <f t="shared" si="42"/>
        <v>0</v>
      </c>
      <c r="AQ132" s="1">
        <f t="shared" si="42"/>
        <v>0</v>
      </c>
      <c r="AR132" s="1">
        <f t="shared" si="42"/>
        <v>0</v>
      </c>
      <c r="AS132" s="1">
        <f t="shared" si="42"/>
        <v>0</v>
      </c>
      <c r="AT132" s="1">
        <f t="shared" si="42"/>
        <v>0</v>
      </c>
      <c r="AU132" s="1">
        <f t="shared" si="42"/>
        <v>0</v>
      </c>
      <c r="AV132" s="1">
        <f t="shared" si="42"/>
        <v>0</v>
      </c>
      <c r="AW132" s="1">
        <f t="shared" si="42"/>
        <v>0</v>
      </c>
      <c r="AX132" s="1">
        <f t="shared" si="42"/>
        <v>0</v>
      </c>
      <c r="AY132" s="1">
        <f t="shared" si="42"/>
        <v>0</v>
      </c>
    </row>
    <row r="133" spans="1:51" ht="22.9" customHeight="1" x14ac:dyDescent="0.3">
      <c r="A133" s="71" t="s">
        <v>341</v>
      </c>
      <c r="B133" s="72"/>
      <c r="C133" s="72"/>
      <c r="D133" s="72"/>
      <c r="E133" s="72"/>
      <c r="F133" s="72"/>
      <c r="G133" s="72"/>
      <c r="H133" s="72"/>
      <c r="I133" s="72"/>
      <c r="J133" s="72"/>
      <c r="K133" s="72"/>
      <c r="L133" s="72"/>
      <c r="M133" s="72"/>
    </row>
    <row r="134" spans="1:51" ht="22.9" customHeight="1" x14ac:dyDescent="0.3">
      <c r="A134" s="14" t="s">
        <v>458</v>
      </c>
      <c r="B134" s="14" t="s">
        <v>157</v>
      </c>
      <c r="C134" s="16" t="s">
        <v>75</v>
      </c>
      <c r="D134" s="17">
        <v>2.66</v>
      </c>
      <c r="E134" s="17">
        <f>단가산출서목록!G5</f>
        <v>492</v>
      </c>
      <c r="F134" s="17">
        <f>ROUNDDOWN(D134*E134,0)</f>
        <v>1308</v>
      </c>
      <c r="G134" s="17">
        <f>단가산출서목록!I5</f>
        <v>2900</v>
      </c>
      <c r="H134" s="17">
        <f>ROUNDDOWN(D134*G134,0)</f>
        <v>7714</v>
      </c>
      <c r="I134" s="17">
        <f>단가산출서목록!K5</f>
        <v>681</v>
      </c>
      <c r="J134" s="17">
        <f>ROUNDDOWN(D134*I134,0)</f>
        <v>1811</v>
      </c>
      <c r="K134" s="17">
        <f t="shared" ref="K134:L136" si="43">E134+G134+I134</f>
        <v>4073</v>
      </c>
      <c r="L134" s="17">
        <f t="shared" si="43"/>
        <v>10833</v>
      </c>
      <c r="M134" s="25" t="s">
        <v>465</v>
      </c>
      <c r="O134" s="1" t="str">
        <f>""</f>
        <v/>
      </c>
      <c r="P134" s="2" t="s">
        <v>438</v>
      </c>
      <c r="Q134" s="1">
        <v>1</v>
      </c>
      <c r="R134" s="1">
        <f>IF(P134="기계경비",J134,0)</f>
        <v>1811</v>
      </c>
      <c r="S134" s="1">
        <f>IF(P134="운반비",L134,0)</f>
        <v>0</v>
      </c>
      <c r="T134" s="1">
        <f>IF(P134="작업부산물",F134,0)</f>
        <v>0</v>
      </c>
      <c r="U134" s="1">
        <f>IF(P134="관급",F134,0)</f>
        <v>0</v>
      </c>
      <c r="V134" s="1">
        <f>IF(P134="외주비",J134,0)</f>
        <v>0</v>
      </c>
      <c r="W134" s="1">
        <f>IF(P134="장비비",J134,0)</f>
        <v>0</v>
      </c>
      <c r="X134" s="1">
        <f>IF(P134="폐기물처리비",L134,0)</f>
        <v>0</v>
      </c>
      <c r="Y134" s="1">
        <f>IF(P134="가설비",J134,0)</f>
        <v>0</v>
      </c>
      <c r="Z134" s="1">
        <f>IF(P134="잡비제외분",F134,0)</f>
        <v>0</v>
      </c>
      <c r="AA134" s="1">
        <f>IF(P134="사급자재대",L134,0)</f>
        <v>0</v>
      </c>
      <c r="AB134" s="1">
        <f>IF(P134="관급자재대",L134,0)</f>
        <v>0</v>
      </c>
      <c r="AC134" s="1">
        <f>IF(P134="사용자항목1",L134,0)</f>
        <v>0</v>
      </c>
      <c r="AD134" s="1">
        <f>IF(P134="사용자항목2",L134,0)</f>
        <v>0</v>
      </c>
      <c r="AE134" s="1">
        <f>IF(P134="안전관리비",L134,0)</f>
        <v>0</v>
      </c>
      <c r="AF134" s="1">
        <f>IF(P134="품질관리비",L134,0)</f>
        <v>0</v>
      </c>
      <c r="AG134" s="1">
        <f>IF(P134="작업부산물(철거해체)",L134,0)</f>
        <v>0</v>
      </c>
      <c r="AH134" s="1">
        <f>IF(P134="재해예방기술지도비",L134,0)</f>
        <v>0</v>
      </c>
      <c r="AI134" s="1">
        <f>IF(P134="사용자항목7",L134,0)</f>
        <v>0</v>
      </c>
      <c r="AJ134" s="1">
        <f>IF(P134="석면분담금",L134,0)</f>
        <v>0</v>
      </c>
      <c r="AK134" s="1">
        <f>IF(P134="임금채권분담금",L134,0)</f>
        <v>0</v>
      </c>
      <c r="AL134" s="1">
        <f>IF(P134="사용자항목10",L134,0)</f>
        <v>0</v>
      </c>
      <c r="AM134" s="1">
        <f>IF(P134="사용자항목11",L134,0)</f>
        <v>0</v>
      </c>
      <c r="AN134" s="1">
        <f>IF(P134="사용자항목12",L134,0)</f>
        <v>0</v>
      </c>
      <c r="AO134" s="1">
        <f>IF(P134="사용자항목13",L134,0)</f>
        <v>0</v>
      </c>
      <c r="AP134" s="1">
        <f>IF(P134="사용자항목14",L134,0)</f>
        <v>0</v>
      </c>
      <c r="AQ134" s="1">
        <f>IF(P134="사용자항목15",L134,0)</f>
        <v>0</v>
      </c>
      <c r="AR134" s="1">
        <f>IF(P134="사용자항목16",L134,0)</f>
        <v>0</v>
      </c>
      <c r="AS134" s="1">
        <f>IF(P134="사용자항목17",L134,0)</f>
        <v>0</v>
      </c>
      <c r="AT134" s="1">
        <f>IF(P134="사용자항목18",L134,0)</f>
        <v>0</v>
      </c>
      <c r="AU134" s="1">
        <f>IF(P134="사용자항목19",L134,0)</f>
        <v>0</v>
      </c>
    </row>
    <row r="135" spans="1:51" ht="22.9" customHeight="1" x14ac:dyDescent="0.3">
      <c r="A135" s="14" t="s">
        <v>463</v>
      </c>
      <c r="B135" s="14" t="s">
        <v>181</v>
      </c>
      <c r="C135" s="16" t="s">
        <v>75</v>
      </c>
      <c r="D135" s="17">
        <v>4.58</v>
      </c>
      <c r="E135" s="17">
        <f>단가산출서목록!G6</f>
        <v>635</v>
      </c>
      <c r="F135" s="17">
        <f>ROUNDDOWN(D135*E135,0)</f>
        <v>2908</v>
      </c>
      <c r="G135" s="17">
        <f>단가산출서목록!I6</f>
        <v>6452</v>
      </c>
      <c r="H135" s="17">
        <f>ROUNDDOWN(D135*G135,0)</f>
        <v>29550</v>
      </c>
      <c r="I135" s="17">
        <f>단가산출서목록!K6</f>
        <v>638</v>
      </c>
      <c r="J135" s="17">
        <f>ROUNDDOWN(D135*I135,0)</f>
        <v>2922</v>
      </c>
      <c r="K135" s="17">
        <f t="shared" si="43"/>
        <v>7725</v>
      </c>
      <c r="L135" s="17">
        <f t="shared" si="43"/>
        <v>35380</v>
      </c>
      <c r="M135" s="25" t="s">
        <v>450</v>
      </c>
      <c r="O135" s="1" t="str">
        <f>""</f>
        <v/>
      </c>
      <c r="P135" s="2" t="s">
        <v>438</v>
      </c>
      <c r="Q135" s="1">
        <v>1</v>
      </c>
      <c r="R135" s="1">
        <f>IF(P135="기계경비",J135,0)</f>
        <v>2922</v>
      </c>
      <c r="S135" s="1">
        <f>IF(P135="운반비",L135,0)</f>
        <v>0</v>
      </c>
      <c r="T135" s="1">
        <f>IF(P135="작업부산물",F135,0)</f>
        <v>0</v>
      </c>
      <c r="U135" s="1">
        <f>IF(P135="관급",F135,0)</f>
        <v>0</v>
      </c>
      <c r="V135" s="1">
        <f>IF(P135="외주비",J135,0)</f>
        <v>0</v>
      </c>
      <c r="W135" s="1">
        <f>IF(P135="장비비",J135,0)</f>
        <v>0</v>
      </c>
      <c r="X135" s="1">
        <f>IF(P135="폐기물처리비",L135,0)</f>
        <v>0</v>
      </c>
      <c r="Y135" s="1">
        <f>IF(P135="가설비",J135,0)</f>
        <v>0</v>
      </c>
      <c r="Z135" s="1">
        <f>IF(P135="잡비제외분",F135,0)</f>
        <v>0</v>
      </c>
      <c r="AA135" s="1">
        <f>IF(P135="사급자재대",L135,0)</f>
        <v>0</v>
      </c>
      <c r="AB135" s="1">
        <f>IF(P135="관급자재대",L135,0)</f>
        <v>0</v>
      </c>
      <c r="AC135" s="1">
        <f>IF(P135="사용자항목1",L135,0)</f>
        <v>0</v>
      </c>
      <c r="AD135" s="1">
        <f>IF(P135="사용자항목2",L135,0)</f>
        <v>0</v>
      </c>
      <c r="AE135" s="1">
        <f>IF(P135="안전관리비",L135,0)</f>
        <v>0</v>
      </c>
      <c r="AF135" s="1">
        <f>IF(P135="품질관리비",L135,0)</f>
        <v>0</v>
      </c>
      <c r="AG135" s="1">
        <f>IF(P135="작업부산물(철거해체)",L135,0)</f>
        <v>0</v>
      </c>
      <c r="AH135" s="1">
        <f>IF(P135="재해예방기술지도비",L135,0)</f>
        <v>0</v>
      </c>
      <c r="AI135" s="1">
        <f>IF(P135="사용자항목7",L135,0)</f>
        <v>0</v>
      </c>
      <c r="AJ135" s="1">
        <f>IF(P135="석면분담금",L135,0)</f>
        <v>0</v>
      </c>
      <c r="AK135" s="1">
        <f>IF(P135="임금채권분담금",L135,0)</f>
        <v>0</v>
      </c>
      <c r="AL135" s="1">
        <f>IF(P135="사용자항목10",L135,0)</f>
        <v>0</v>
      </c>
      <c r="AM135" s="1">
        <f>IF(P135="사용자항목11",L135,0)</f>
        <v>0</v>
      </c>
      <c r="AN135" s="1">
        <f>IF(P135="사용자항목12",L135,0)</f>
        <v>0</v>
      </c>
      <c r="AO135" s="1">
        <f>IF(P135="사용자항목13",L135,0)</f>
        <v>0</v>
      </c>
      <c r="AP135" s="1">
        <f>IF(P135="사용자항목14",L135,0)</f>
        <v>0</v>
      </c>
      <c r="AQ135" s="1">
        <f>IF(P135="사용자항목15",L135,0)</f>
        <v>0</v>
      </c>
      <c r="AR135" s="1">
        <f>IF(P135="사용자항목16",L135,0)</f>
        <v>0</v>
      </c>
      <c r="AS135" s="1">
        <f>IF(P135="사용자항목17",L135,0)</f>
        <v>0</v>
      </c>
      <c r="AT135" s="1">
        <f>IF(P135="사용자항목18",L135,0)</f>
        <v>0</v>
      </c>
      <c r="AU135" s="1">
        <f>IF(P135="사용자항목19",L135,0)</f>
        <v>0</v>
      </c>
    </row>
    <row r="136" spans="1:51" ht="22.9" customHeight="1" x14ac:dyDescent="0.3">
      <c r="A136" s="14" t="s">
        <v>505</v>
      </c>
      <c r="B136" s="14" t="s">
        <v>487</v>
      </c>
      <c r="C136" s="16" t="s">
        <v>75</v>
      </c>
      <c r="D136" s="17">
        <v>1.92</v>
      </c>
      <c r="E136" s="17">
        <f>일위대가목록!G6</f>
        <v>29337</v>
      </c>
      <c r="F136" s="17">
        <f>ROUNDDOWN(D136*E136,0)</f>
        <v>56327</v>
      </c>
      <c r="G136" s="17">
        <f>일위대가목록!I6</f>
        <v>9670</v>
      </c>
      <c r="H136" s="17">
        <f>ROUNDDOWN(D136*G136,0)</f>
        <v>18566</v>
      </c>
      <c r="I136" s="17">
        <f>일위대가목록!K6</f>
        <v>1407</v>
      </c>
      <c r="J136" s="17">
        <f>ROUNDDOWN(D136*I136,0)</f>
        <v>2701</v>
      </c>
      <c r="K136" s="17">
        <f t="shared" si="43"/>
        <v>40414</v>
      </c>
      <c r="L136" s="17">
        <f t="shared" si="43"/>
        <v>77594</v>
      </c>
      <c r="M136" s="25" t="s">
        <v>509</v>
      </c>
      <c r="O136" s="1" t="str">
        <f>""</f>
        <v/>
      </c>
      <c r="P136" s="2" t="s">
        <v>438</v>
      </c>
      <c r="Q136" s="1">
        <v>1</v>
      </c>
      <c r="R136" s="1">
        <f>IF(P136="기계경비",J136,0)</f>
        <v>2701</v>
      </c>
      <c r="S136" s="1">
        <f>IF(P136="운반비",L136,0)</f>
        <v>0</v>
      </c>
      <c r="T136" s="1">
        <f>IF(P136="작업부산물",F136,0)</f>
        <v>0</v>
      </c>
      <c r="U136" s="1">
        <f>IF(P136="관급",F136,0)</f>
        <v>0</v>
      </c>
      <c r="V136" s="1">
        <f>IF(P136="외주비",J136,0)</f>
        <v>0</v>
      </c>
      <c r="W136" s="1">
        <f>IF(P136="장비비",J136,0)</f>
        <v>0</v>
      </c>
      <c r="X136" s="1">
        <f>IF(P136="폐기물처리비",L136,0)</f>
        <v>0</v>
      </c>
      <c r="Y136" s="1">
        <f>IF(P136="가설비",J136,0)</f>
        <v>0</v>
      </c>
      <c r="Z136" s="1">
        <f>IF(P136="잡비제외분",F136,0)</f>
        <v>0</v>
      </c>
      <c r="AA136" s="1">
        <f>IF(P136="사급자재대",L136,0)</f>
        <v>0</v>
      </c>
      <c r="AB136" s="1">
        <f>IF(P136="관급자재대",L136,0)</f>
        <v>0</v>
      </c>
      <c r="AC136" s="1">
        <f>IF(P136="사용자항목1",L136,0)</f>
        <v>0</v>
      </c>
      <c r="AD136" s="1">
        <f>IF(P136="사용자항목2",L136,0)</f>
        <v>0</v>
      </c>
      <c r="AE136" s="1">
        <f>IF(P136="안전관리비",L136,0)</f>
        <v>0</v>
      </c>
      <c r="AF136" s="1">
        <f>IF(P136="품질관리비",L136,0)</f>
        <v>0</v>
      </c>
      <c r="AG136" s="1">
        <f>IF(P136="작업부산물(철거해체)",L136,0)</f>
        <v>0</v>
      </c>
      <c r="AH136" s="1">
        <f>IF(P136="재해예방기술지도비",L136,0)</f>
        <v>0</v>
      </c>
      <c r="AI136" s="1">
        <f>IF(P136="사용자항목7",L136,0)</f>
        <v>0</v>
      </c>
      <c r="AJ136" s="1">
        <f>IF(P136="석면분담금",L136,0)</f>
        <v>0</v>
      </c>
      <c r="AK136" s="1">
        <f>IF(P136="임금채권분담금",L136,0)</f>
        <v>0</v>
      </c>
      <c r="AL136" s="1">
        <f>IF(P136="사용자항목10",L136,0)</f>
        <v>0</v>
      </c>
      <c r="AM136" s="1">
        <f>IF(P136="사용자항목11",L136,0)</f>
        <v>0</v>
      </c>
      <c r="AN136" s="1">
        <f>IF(P136="사용자항목12",L136,0)</f>
        <v>0</v>
      </c>
      <c r="AO136" s="1">
        <f>IF(P136="사용자항목13",L136,0)</f>
        <v>0</v>
      </c>
      <c r="AP136" s="1">
        <f>IF(P136="사용자항목14",L136,0)</f>
        <v>0</v>
      </c>
      <c r="AQ136" s="1">
        <f>IF(P136="사용자항목15",L136,0)</f>
        <v>0</v>
      </c>
      <c r="AR136" s="1">
        <f>IF(P136="사용자항목16",L136,0)</f>
        <v>0</v>
      </c>
      <c r="AS136" s="1">
        <f>IF(P136="사용자항목17",L136,0)</f>
        <v>0</v>
      </c>
      <c r="AT136" s="1">
        <f>IF(P136="사용자항목18",L136,0)</f>
        <v>0</v>
      </c>
      <c r="AU136" s="1">
        <f>IF(P136="사용자항목19",L136,0)</f>
        <v>0</v>
      </c>
    </row>
    <row r="137" spans="1:51" ht="22.9" customHeight="1" x14ac:dyDescent="0.3">
      <c r="A137" s="15"/>
      <c r="B137" s="15"/>
      <c r="C137" s="22"/>
      <c r="D137" s="17"/>
      <c r="E137" s="17"/>
      <c r="F137" s="17"/>
      <c r="G137" s="17"/>
      <c r="H137" s="17"/>
      <c r="I137" s="17"/>
      <c r="J137" s="17"/>
      <c r="K137" s="17"/>
      <c r="L137" s="17"/>
      <c r="M137" s="17"/>
    </row>
    <row r="138" spans="1:51" ht="22.9" customHeight="1" x14ac:dyDescent="0.3">
      <c r="A138" s="15"/>
      <c r="B138" s="15"/>
      <c r="C138" s="22"/>
      <c r="D138" s="17"/>
      <c r="E138" s="17"/>
      <c r="F138" s="17"/>
      <c r="G138" s="17"/>
      <c r="H138" s="17"/>
      <c r="I138" s="17"/>
      <c r="J138" s="17"/>
      <c r="K138" s="17"/>
      <c r="L138" s="17"/>
      <c r="M138" s="17"/>
    </row>
    <row r="139" spans="1:51" ht="22.9" customHeight="1" x14ac:dyDescent="0.3">
      <c r="A139" s="15"/>
      <c r="B139" s="15"/>
      <c r="C139" s="22"/>
      <c r="D139" s="17"/>
      <c r="E139" s="17"/>
      <c r="F139" s="17"/>
      <c r="G139" s="17"/>
      <c r="H139" s="17"/>
      <c r="I139" s="17"/>
      <c r="J139" s="17"/>
      <c r="K139" s="17"/>
      <c r="L139" s="17"/>
      <c r="M139" s="17"/>
    </row>
    <row r="140" spans="1:51" ht="22.9" customHeight="1" x14ac:dyDescent="0.3">
      <c r="A140" s="15"/>
      <c r="B140" s="15"/>
      <c r="C140" s="22"/>
      <c r="D140" s="17"/>
      <c r="E140" s="17"/>
      <c r="F140" s="17"/>
      <c r="G140" s="17"/>
      <c r="H140" s="17"/>
      <c r="I140" s="17"/>
      <c r="J140" s="17"/>
      <c r="K140" s="17"/>
      <c r="L140" s="17"/>
      <c r="M140" s="17"/>
    </row>
    <row r="141" spans="1:51" ht="22.9" customHeight="1" x14ac:dyDescent="0.3">
      <c r="A141" s="15"/>
      <c r="B141" s="15"/>
      <c r="C141" s="22"/>
      <c r="D141" s="17"/>
      <c r="E141" s="17"/>
      <c r="F141" s="17"/>
      <c r="G141" s="17"/>
      <c r="H141" s="17"/>
      <c r="I141" s="17"/>
      <c r="J141" s="17"/>
      <c r="K141" s="17"/>
      <c r="L141" s="17"/>
      <c r="M141" s="17"/>
    </row>
    <row r="142" spans="1:51" ht="22.9" customHeight="1" x14ac:dyDescent="0.3">
      <c r="A142" s="15"/>
      <c r="B142" s="15"/>
      <c r="C142" s="22"/>
      <c r="D142" s="17"/>
      <c r="E142" s="17"/>
      <c r="F142" s="17"/>
      <c r="G142" s="17"/>
      <c r="H142" s="17"/>
      <c r="I142" s="17"/>
      <c r="J142" s="17"/>
      <c r="K142" s="17"/>
      <c r="L142" s="17"/>
      <c r="M142" s="17"/>
    </row>
    <row r="143" spans="1:51" ht="22.9" customHeight="1" x14ac:dyDescent="0.3">
      <c r="A143" s="15"/>
      <c r="B143" s="15"/>
      <c r="C143" s="22"/>
      <c r="D143" s="17"/>
      <c r="E143" s="17"/>
      <c r="F143" s="17"/>
      <c r="G143" s="17"/>
      <c r="H143" s="17"/>
      <c r="I143" s="17"/>
      <c r="J143" s="17"/>
      <c r="K143" s="17"/>
      <c r="L143" s="17"/>
      <c r="M143" s="17"/>
    </row>
    <row r="144" spans="1:51" ht="22.9" customHeight="1" x14ac:dyDescent="0.3">
      <c r="A144" s="15"/>
      <c r="B144" s="15"/>
      <c r="C144" s="22"/>
      <c r="D144" s="17"/>
      <c r="E144" s="17"/>
      <c r="F144" s="17"/>
      <c r="G144" s="17"/>
      <c r="H144" s="17"/>
      <c r="I144" s="17"/>
      <c r="J144" s="17"/>
      <c r="K144" s="17"/>
      <c r="L144" s="17"/>
      <c r="M144" s="17"/>
    </row>
    <row r="145" spans="1:51" ht="22.9" customHeight="1" x14ac:dyDescent="0.3">
      <c r="A145" s="15"/>
      <c r="B145" s="15"/>
      <c r="C145" s="22"/>
      <c r="D145" s="17"/>
      <c r="E145" s="17"/>
      <c r="F145" s="17"/>
      <c r="G145" s="17"/>
      <c r="H145" s="17"/>
      <c r="I145" s="17"/>
      <c r="J145" s="17"/>
      <c r="K145" s="17"/>
      <c r="L145" s="17"/>
      <c r="M145" s="17"/>
    </row>
    <row r="146" spans="1:51" ht="22.9" customHeight="1" x14ac:dyDescent="0.3">
      <c r="A146" s="15"/>
      <c r="B146" s="15"/>
      <c r="C146" s="22"/>
      <c r="D146" s="17"/>
      <c r="E146" s="17"/>
      <c r="F146" s="17"/>
      <c r="G146" s="17"/>
      <c r="H146" s="17"/>
      <c r="I146" s="17"/>
      <c r="J146" s="17"/>
      <c r="K146" s="17"/>
      <c r="L146" s="17"/>
      <c r="M146" s="17"/>
    </row>
    <row r="147" spans="1:51" ht="22.9" customHeight="1" x14ac:dyDescent="0.3">
      <c r="A147" s="15"/>
      <c r="B147" s="15"/>
      <c r="C147" s="22"/>
      <c r="D147" s="17"/>
      <c r="E147" s="17"/>
      <c r="F147" s="17"/>
      <c r="G147" s="17"/>
      <c r="H147" s="17"/>
      <c r="I147" s="17"/>
      <c r="J147" s="17"/>
      <c r="K147" s="17"/>
      <c r="L147" s="17"/>
      <c r="M147" s="17"/>
    </row>
    <row r="148" spans="1:51" ht="22.9" customHeight="1" x14ac:dyDescent="0.3">
      <c r="A148" s="18" t="s">
        <v>439</v>
      </c>
      <c r="B148" s="19"/>
      <c r="C148" s="20"/>
      <c r="D148" s="21"/>
      <c r="E148" s="21"/>
      <c r="F148" s="21">
        <f>ROUNDDOWN(SUMIF(Q134:Q147,"1",F134:F147),0)</f>
        <v>60543</v>
      </c>
      <c r="G148" s="21"/>
      <c r="H148" s="21">
        <f>ROUNDDOWN(SUMIF(Q134:Q147,"1",H134:H147),0)</f>
        <v>55830</v>
      </c>
      <c r="I148" s="21"/>
      <c r="J148" s="21">
        <f>ROUNDDOWN(SUMIF(Q134:Q147,"1",J134:J147),0)</f>
        <v>7434</v>
      </c>
      <c r="K148" s="21"/>
      <c r="L148" s="21">
        <f>F148+H148+J148</f>
        <v>123807</v>
      </c>
      <c r="M148" s="21"/>
      <c r="R148" s="1">
        <f t="shared" ref="R148:AY148" si="44">ROUNDDOWN(SUM(R134:R136),0)</f>
        <v>7434</v>
      </c>
      <c r="S148" s="1">
        <f t="shared" si="44"/>
        <v>0</v>
      </c>
      <c r="T148" s="1">
        <f t="shared" si="44"/>
        <v>0</v>
      </c>
      <c r="U148" s="1">
        <f t="shared" si="44"/>
        <v>0</v>
      </c>
      <c r="V148" s="1">
        <f t="shared" si="44"/>
        <v>0</v>
      </c>
      <c r="W148" s="1">
        <f t="shared" si="44"/>
        <v>0</v>
      </c>
      <c r="X148" s="1">
        <f t="shared" si="44"/>
        <v>0</v>
      </c>
      <c r="Y148" s="1">
        <f t="shared" si="44"/>
        <v>0</v>
      </c>
      <c r="Z148" s="1">
        <f t="shared" si="44"/>
        <v>0</v>
      </c>
      <c r="AA148" s="1">
        <f t="shared" si="44"/>
        <v>0</v>
      </c>
      <c r="AB148" s="1">
        <f t="shared" si="44"/>
        <v>0</v>
      </c>
      <c r="AC148" s="1">
        <f t="shared" si="44"/>
        <v>0</v>
      </c>
      <c r="AD148" s="1">
        <f t="shared" si="44"/>
        <v>0</v>
      </c>
      <c r="AE148" s="1">
        <f t="shared" si="44"/>
        <v>0</v>
      </c>
      <c r="AF148" s="1">
        <f t="shared" si="44"/>
        <v>0</v>
      </c>
      <c r="AG148" s="1">
        <f t="shared" si="44"/>
        <v>0</v>
      </c>
      <c r="AH148" s="1">
        <f t="shared" si="44"/>
        <v>0</v>
      </c>
      <c r="AI148" s="1">
        <f t="shared" si="44"/>
        <v>0</v>
      </c>
      <c r="AJ148" s="1">
        <f t="shared" si="44"/>
        <v>0</v>
      </c>
      <c r="AK148" s="1">
        <f t="shared" si="44"/>
        <v>0</v>
      </c>
      <c r="AL148" s="1">
        <f t="shared" si="44"/>
        <v>0</v>
      </c>
      <c r="AM148" s="1">
        <f t="shared" si="44"/>
        <v>0</v>
      </c>
      <c r="AN148" s="1">
        <f t="shared" si="44"/>
        <v>0</v>
      </c>
      <c r="AO148" s="1">
        <f t="shared" si="44"/>
        <v>0</v>
      </c>
      <c r="AP148" s="1">
        <f t="shared" si="44"/>
        <v>0</v>
      </c>
      <c r="AQ148" s="1">
        <f t="shared" si="44"/>
        <v>0</v>
      </c>
      <c r="AR148" s="1">
        <f t="shared" si="44"/>
        <v>0</v>
      </c>
      <c r="AS148" s="1">
        <f t="shared" si="44"/>
        <v>0</v>
      </c>
      <c r="AT148" s="1">
        <f t="shared" si="44"/>
        <v>0</v>
      </c>
      <c r="AU148" s="1">
        <f t="shared" si="44"/>
        <v>0</v>
      </c>
      <c r="AV148" s="1">
        <f t="shared" si="44"/>
        <v>0</v>
      </c>
      <c r="AW148" s="1">
        <f t="shared" si="44"/>
        <v>0</v>
      </c>
      <c r="AX148" s="1">
        <f t="shared" si="44"/>
        <v>0</v>
      </c>
      <c r="AY148" s="1">
        <f t="shared" si="44"/>
        <v>0</v>
      </c>
    </row>
    <row r="149" spans="1:51" ht="22.9" customHeight="1" x14ac:dyDescent="0.3">
      <c r="A149" s="71" t="s">
        <v>338</v>
      </c>
      <c r="B149" s="72"/>
      <c r="C149" s="72"/>
      <c r="D149" s="72"/>
      <c r="E149" s="72"/>
      <c r="F149" s="72"/>
      <c r="G149" s="72"/>
      <c r="H149" s="72"/>
      <c r="I149" s="72"/>
      <c r="J149" s="72"/>
      <c r="K149" s="72"/>
      <c r="L149" s="72"/>
      <c r="M149" s="72"/>
    </row>
    <row r="150" spans="1:51" ht="22.9" customHeight="1" x14ac:dyDescent="0.3">
      <c r="A150" s="14" t="s">
        <v>524</v>
      </c>
      <c r="B150" s="14" t="s">
        <v>65</v>
      </c>
      <c r="C150" s="16" t="s">
        <v>75</v>
      </c>
      <c r="D150" s="17">
        <v>4.83</v>
      </c>
      <c r="E150" s="17">
        <f>일위대가목록!G9</f>
        <v>2283</v>
      </c>
      <c r="F150" s="17">
        <f t="shared" ref="F150:F174" si="45">ROUNDDOWN(D150*E150,0)</f>
        <v>11026</v>
      </c>
      <c r="G150" s="17">
        <f>일위대가목록!I9</f>
        <v>228399</v>
      </c>
      <c r="H150" s="17">
        <f t="shared" ref="H150:H174" si="46">ROUNDDOWN(D150*G150,0)</f>
        <v>1103167</v>
      </c>
      <c r="I150" s="17">
        <f>일위대가목록!K9</f>
        <v>2032</v>
      </c>
      <c r="J150" s="17">
        <f t="shared" ref="J150:J174" si="47">ROUNDDOWN(D150*I150,0)</f>
        <v>9814</v>
      </c>
      <c r="K150" s="17">
        <f t="shared" ref="K150:K174" si="48">E150+G150+I150</f>
        <v>232714</v>
      </c>
      <c r="L150" s="17">
        <f t="shared" ref="L150:L174" si="49">F150+H150+J150</f>
        <v>1124007</v>
      </c>
      <c r="M150" s="25" t="s">
        <v>488</v>
      </c>
      <c r="O150" s="1" t="str">
        <f>""</f>
        <v/>
      </c>
      <c r="P150" s="2" t="s">
        <v>438</v>
      </c>
      <c r="Q150" s="1">
        <v>1</v>
      </c>
      <c r="R150" s="1">
        <f t="shared" ref="R150:R174" si="50">IF(P150="기계경비",J150,0)</f>
        <v>9814</v>
      </c>
      <c r="S150" s="1">
        <f t="shared" ref="S150:S174" si="51">IF(P150="운반비",L150,0)</f>
        <v>0</v>
      </c>
      <c r="T150" s="1">
        <f t="shared" ref="T150:T174" si="52">IF(P150="작업부산물",F150,0)</f>
        <v>0</v>
      </c>
      <c r="U150" s="1">
        <f t="shared" ref="U150:U174" si="53">IF(P150="관급",F150,0)</f>
        <v>0</v>
      </c>
      <c r="V150" s="1">
        <f t="shared" ref="V150:V174" si="54">IF(P150="외주비",J150,0)</f>
        <v>0</v>
      </c>
      <c r="W150" s="1">
        <f t="shared" ref="W150:W174" si="55">IF(P150="장비비",J150,0)</f>
        <v>0</v>
      </c>
      <c r="X150" s="1">
        <f t="shared" ref="X150:X174" si="56">IF(P150="폐기물처리비",L150,0)</f>
        <v>0</v>
      </c>
      <c r="Y150" s="1">
        <f t="shared" ref="Y150:Y174" si="57">IF(P150="가설비",J150,0)</f>
        <v>0</v>
      </c>
      <c r="Z150" s="1">
        <f t="shared" ref="Z150:Z174" si="58">IF(P150="잡비제외분",F150,0)</f>
        <v>0</v>
      </c>
      <c r="AA150" s="1">
        <f t="shared" ref="AA150:AA174" si="59">IF(P150="사급자재대",L150,0)</f>
        <v>0</v>
      </c>
      <c r="AB150" s="1">
        <f t="shared" ref="AB150:AB174" si="60">IF(P150="관급자재대",L150,0)</f>
        <v>0</v>
      </c>
      <c r="AC150" s="1">
        <f t="shared" ref="AC150:AC174" si="61">IF(P150="사용자항목1",L150,0)</f>
        <v>0</v>
      </c>
      <c r="AD150" s="1">
        <f t="shared" ref="AD150:AD174" si="62">IF(P150="사용자항목2",L150,0)</f>
        <v>0</v>
      </c>
      <c r="AE150" s="1">
        <f t="shared" ref="AE150:AE174" si="63">IF(P150="안전관리비",L150,0)</f>
        <v>0</v>
      </c>
      <c r="AF150" s="1">
        <f t="shared" ref="AF150:AF174" si="64">IF(P150="품질관리비",L150,0)</f>
        <v>0</v>
      </c>
      <c r="AG150" s="1">
        <f t="shared" ref="AG150:AG174" si="65">IF(P150="작업부산물(철거해체)",L150,0)</f>
        <v>0</v>
      </c>
      <c r="AH150" s="1">
        <f t="shared" ref="AH150:AH174" si="66">IF(P150="재해예방기술지도비",L150,0)</f>
        <v>0</v>
      </c>
      <c r="AI150" s="1">
        <f t="shared" ref="AI150:AI174" si="67">IF(P150="사용자항목7",L150,0)</f>
        <v>0</v>
      </c>
      <c r="AJ150" s="1">
        <f t="shared" ref="AJ150:AJ174" si="68">IF(P150="석면분담금",L150,0)</f>
        <v>0</v>
      </c>
      <c r="AK150" s="1">
        <f t="shared" ref="AK150:AK174" si="69">IF(P150="임금채권분담금",L150,0)</f>
        <v>0</v>
      </c>
      <c r="AL150" s="1">
        <f t="shared" ref="AL150:AL174" si="70">IF(P150="사용자항목10",L150,0)</f>
        <v>0</v>
      </c>
      <c r="AM150" s="1">
        <f t="shared" ref="AM150:AM174" si="71">IF(P150="사용자항목11",L150,0)</f>
        <v>0</v>
      </c>
      <c r="AN150" s="1">
        <f t="shared" ref="AN150:AN174" si="72">IF(P150="사용자항목12",L150,0)</f>
        <v>0</v>
      </c>
      <c r="AO150" s="1">
        <f t="shared" ref="AO150:AO174" si="73">IF(P150="사용자항목13",L150,0)</f>
        <v>0</v>
      </c>
      <c r="AP150" s="1">
        <f t="shared" ref="AP150:AP174" si="74">IF(P150="사용자항목14",L150,0)</f>
        <v>0</v>
      </c>
      <c r="AQ150" s="1">
        <f t="shared" ref="AQ150:AQ174" si="75">IF(P150="사용자항목15",L150,0)</f>
        <v>0</v>
      </c>
      <c r="AR150" s="1">
        <f t="shared" ref="AR150:AR174" si="76">IF(P150="사용자항목16",L150,0)</f>
        <v>0</v>
      </c>
      <c r="AS150" s="1">
        <f t="shared" ref="AS150:AS174" si="77">IF(P150="사용자항목17",L150,0)</f>
        <v>0</v>
      </c>
      <c r="AT150" s="1">
        <f t="shared" ref="AT150:AT174" si="78">IF(P150="사용자항목18",L150,0)</f>
        <v>0</v>
      </c>
      <c r="AU150" s="1">
        <f t="shared" ref="AU150:AU174" si="79">IF(P150="사용자항목19",L150,0)</f>
        <v>0</v>
      </c>
      <c r="AY150" s="2" t="s">
        <v>499</v>
      </c>
    </row>
    <row r="151" spans="1:51" ht="22.9" customHeight="1" x14ac:dyDescent="0.3">
      <c r="A151" s="14" t="s">
        <v>298</v>
      </c>
      <c r="B151" s="14" t="s">
        <v>358</v>
      </c>
      <c r="C151" s="16" t="s">
        <v>67</v>
      </c>
      <c r="D151" s="17">
        <v>1</v>
      </c>
      <c r="E151" s="17">
        <f>일위대가목록!G8</f>
        <v>21697</v>
      </c>
      <c r="F151" s="17">
        <f t="shared" si="45"/>
        <v>21697</v>
      </c>
      <c r="G151" s="17">
        <f>일위대가목록!I8</f>
        <v>143310</v>
      </c>
      <c r="H151" s="17">
        <f t="shared" si="46"/>
        <v>143310</v>
      </c>
      <c r="I151" s="17">
        <f>일위대가목록!K8</f>
        <v>18381</v>
      </c>
      <c r="J151" s="17">
        <f t="shared" si="47"/>
        <v>18381</v>
      </c>
      <c r="K151" s="17">
        <f t="shared" si="48"/>
        <v>183388</v>
      </c>
      <c r="L151" s="17">
        <f t="shared" si="49"/>
        <v>183388</v>
      </c>
      <c r="M151" s="25" t="s">
        <v>504</v>
      </c>
      <c r="O151" s="1" t="str">
        <f>""</f>
        <v/>
      </c>
      <c r="P151" s="2" t="s">
        <v>438</v>
      </c>
      <c r="Q151" s="1">
        <v>1</v>
      </c>
      <c r="R151" s="1">
        <f t="shared" si="50"/>
        <v>18381</v>
      </c>
      <c r="S151" s="1">
        <f t="shared" si="51"/>
        <v>0</v>
      </c>
      <c r="T151" s="1">
        <f t="shared" si="52"/>
        <v>0</v>
      </c>
      <c r="U151" s="1">
        <f t="shared" si="53"/>
        <v>0</v>
      </c>
      <c r="V151" s="1">
        <f t="shared" si="54"/>
        <v>0</v>
      </c>
      <c r="W151" s="1">
        <f t="shared" si="55"/>
        <v>0</v>
      </c>
      <c r="X151" s="1">
        <f t="shared" si="56"/>
        <v>0</v>
      </c>
      <c r="Y151" s="1">
        <f t="shared" si="57"/>
        <v>0</v>
      </c>
      <c r="Z151" s="1">
        <f t="shared" si="58"/>
        <v>0</v>
      </c>
      <c r="AA151" s="1">
        <f t="shared" si="59"/>
        <v>0</v>
      </c>
      <c r="AB151" s="1">
        <f t="shared" si="60"/>
        <v>0</v>
      </c>
      <c r="AC151" s="1">
        <f t="shared" si="61"/>
        <v>0</v>
      </c>
      <c r="AD151" s="1">
        <f t="shared" si="62"/>
        <v>0</v>
      </c>
      <c r="AE151" s="1">
        <f t="shared" si="63"/>
        <v>0</v>
      </c>
      <c r="AF151" s="1">
        <f t="shared" si="64"/>
        <v>0</v>
      </c>
      <c r="AG151" s="1">
        <f t="shared" si="65"/>
        <v>0</v>
      </c>
      <c r="AH151" s="1">
        <f t="shared" si="66"/>
        <v>0</v>
      </c>
      <c r="AI151" s="1">
        <f t="shared" si="67"/>
        <v>0</v>
      </c>
      <c r="AJ151" s="1">
        <f t="shared" si="68"/>
        <v>0</v>
      </c>
      <c r="AK151" s="1">
        <f t="shared" si="69"/>
        <v>0</v>
      </c>
      <c r="AL151" s="1">
        <f t="shared" si="70"/>
        <v>0</v>
      </c>
      <c r="AM151" s="1">
        <f t="shared" si="71"/>
        <v>0</v>
      </c>
      <c r="AN151" s="1">
        <f t="shared" si="72"/>
        <v>0</v>
      </c>
      <c r="AO151" s="1">
        <f t="shared" si="73"/>
        <v>0</v>
      </c>
      <c r="AP151" s="1">
        <f t="shared" si="74"/>
        <v>0</v>
      </c>
      <c r="AQ151" s="1">
        <f t="shared" si="75"/>
        <v>0</v>
      </c>
      <c r="AR151" s="1">
        <f t="shared" si="76"/>
        <v>0</v>
      </c>
      <c r="AS151" s="1">
        <f t="shared" si="77"/>
        <v>0</v>
      </c>
      <c r="AT151" s="1">
        <f t="shared" si="78"/>
        <v>0</v>
      </c>
      <c r="AU151" s="1">
        <f t="shared" si="79"/>
        <v>0</v>
      </c>
      <c r="AY151" s="2" t="s">
        <v>499</v>
      </c>
    </row>
    <row r="152" spans="1:51" ht="22.9" customHeight="1" x14ac:dyDescent="0.3">
      <c r="A152" s="14" t="s">
        <v>330</v>
      </c>
      <c r="B152" s="14" t="s">
        <v>552</v>
      </c>
      <c r="C152" s="16" t="s">
        <v>77</v>
      </c>
      <c r="D152" s="17">
        <v>5</v>
      </c>
      <c r="E152" s="17">
        <f>일위대가목록!G34</f>
        <v>212</v>
      </c>
      <c r="F152" s="17">
        <f t="shared" si="45"/>
        <v>1060</v>
      </c>
      <c r="G152" s="17">
        <f>일위대가목록!I34</f>
        <v>23016</v>
      </c>
      <c r="H152" s="17">
        <f t="shared" si="46"/>
        <v>115080</v>
      </c>
      <c r="I152" s="17">
        <f>일위대가목록!K34</f>
        <v>44</v>
      </c>
      <c r="J152" s="17">
        <f t="shared" si="47"/>
        <v>220</v>
      </c>
      <c r="K152" s="17">
        <f t="shared" si="48"/>
        <v>23272</v>
      </c>
      <c r="L152" s="17">
        <f t="shared" si="49"/>
        <v>116360</v>
      </c>
      <c r="M152" s="25" t="s">
        <v>566</v>
      </c>
      <c r="O152" s="1" t="str">
        <f>""</f>
        <v/>
      </c>
      <c r="P152" s="2" t="s">
        <v>438</v>
      </c>
      <c r="Q152" s="1">
        <v>1</v>
      </c>
      <c r="R152" s="1">
        <f t="shared" si="50"/>
        <v>220</v>
      </c>
      <c r="S152" s="1">
        <f t="shared" si="51"/>
        <v>0</v>
      </c>
      <c r="T152" s="1">
        <f t="shared" si="52"/>
        <v>0</v>
      </c>
      <c r="U152" s="1">
        <f t="shared" si="53"/>
        <v>0</v>
      </c>
      <c r="V152" s="1">
        <f t="shared" si="54"/>
        <v>0</v>
      </c>
      <c r="W152" s="1">
        <f t="shared" si="55"/>
        <v>0</v>
      </c>
      <c r="X152" s="1">
        <f t="shared" si="56"/>
        <v>0</v>
      </c>
      <c r="Y152" s="1">
        <f t="shared" si="57"/>
        <v>0</v>
      </c>
      <c r="Z152" s="1">
        <f t="shared" si="58"/>
        <v>0</v>
      </c>
      <c r="AA152" s="1">
        <f t="shared" si="59"/>
        <v>0</v>
      </c>
      <c r="AB152" s="1">
        <f t="shared" si="60"/>
        <v>0</v>
      </c>
      <c r="AC152" s="1">
        <f t="shared" si="61"/>
        <v>0</v>
      </c>
      <c r="AD152" s="1">
        <f t="shared" si="62"/>
        <v>0</v>
      </c>
      <c r="AE152" s="1">
        <f t="shared" si="63"/>
        <v>0</v>
      </c>
      <c r="AF152" s="1">
        <f t="shared" si="64"/>
        <v>0</v>
      </c>
      <c r="AG152" s="1">
        <f t="shared" si="65"/>
        <v>0</v>
      </c>
      <c r="AH152" s="1">
        <f t="shared" si="66"/>
        <v>0</v>
      </c>
      <c r="AI152" s="1">
        <f t="shared" si="67"/>
        <v>0</v>
      </c>
      <c r="AJ152" s="1">
        <f t="shared" si="68"/>
        <v>0</v>
      </c>
      <c r="AK152" s="1">
        <f t="shared" si="69"/>
        <v>0</v>
      </c>
      <c r="AL152" s="1">
        <f t="shared" si="70"/>
        <v>0</v>
      </c>
      <c r="AM152" s="1">
        <f t="shared" si="71"/>
        <v>0</v>
      </c>
      <c r="AN152" s="1">
        <f t="shared" si="72"/>
        <v>0</v>
      </c>
      <c r="AO152" s="1">
        <f t="shared" si="73"/>
        <v>0</v>
      </c>
      <c r="AP152" s="1">
        <f t="shared" si="74"/>
        <v>0</v>
      </c>
      <c r="AQ152" s="1">
        <f t="shared" si="75"/>
        <v>0</v>
      </c>
      <c r="AR152" s="1">
        <f t="shared" si="76"/>
        <v>0</v>
      </c>
      <c r="AS152" s="1">
        <f t="shared" si="77"/>
        <v>0</v>
      </c>
      <c r="AT152" s="1">
        <f t="shared" si="78"/>
        <v>0</v>
      </c>
      <c r="AU152" s="1">
        <f t="shared" si="79"/>
        <v>0</v>
      </c>
    </row>
    <row r="153" spans="1:51" ht="22.9" customHeight="1" x14ac:dyDescent="0.3">
      <c r="A153" s="14" t="s">
        <v>535</v>
      </c>
      <c r="B153" s="14" t="s">
        <v>254</v>
      </c>
      <c r="C153" s="16" t="s">
        <v>67</v>
      </c>
      <c r="D153" s="17">
        <v>1</v>
      </c>
      <c r="E153" s="17">
        <f>일위대가목록!G35</f>
        <v>0</v>
      </c>
      <c r="F153" s="17">
        <f t="shared" si="45"/>
        <v>0</v>
      </c>
      <c r="G153" s="17">
        <f>일위대가목록!I35</f>
        <v>52439</v>
      </c>
      <c r="H153" s="17">
        <f t="shared" si="46"/>
        <v>52439</v>
      </c>
      <c r="I153" s="17">
        <f>일위대가목록!K35</f>
        <v>0</v>
      </c>
      <c r="J153" s="17">
        <f t="shared" si="47"/>
        <v>0</v>
      </c>
      <c r="K153" s="17">
        <f t="shared" si="48"/>
        <v>52439</v>
      </c>
      <c r="L153" s="17">
        <f t="shared" si="49"/>
        <v>52439</v>
      </c>
      <c r="M153" s="25" t="s">
        <v>556</v>
      </c>
      <c r="O153" s="1" t="str">
        <f>""</f>
        <v/>
      </c>
      <c r="P153" s="2" t="s">
        <v>438</v>
      </c>
      <c r="Q153" s="1">
        <v>1</v>
      </c>
      <c r="R153" s="1">
        <f t="shared" si="50"/>
        <v>0</v>
      </c>
      <c r="S153" s="1">
        <f t="shared" si="51"/>
        <v>0</v>
      </c>
      <c r="T153" s="1">
        <f t="shared" si="52"/>
        <v>0</v>
      </c>
      <c r="U153" s="1">
        <f t="shared" si="53"/>
        <v>0</v>
      </c>
      <c r="V153" s="1">
        <f t="shared" si="54"/>
        <v>0</v>
      </c>
      <c r="W153" s="1">
        <f t="shared" si="55"/>
        <v>0</v>
      </c>
      <c r="X153" s="1">
        <f t="shared" si="56"/>
        <v>0</v>
      </c>
      <c r="Y153" s="1">
        <f t="shared" si="57"/>
        <v>0</v>
      </c>
      <c r="Z153" s="1">
        <f t="shared" si="58"/>
        <v>0</v>
      </c>
      <c r="AA153" s="1">
        <f t="shared" si="59"/>
        <v>0</v>
      </c>
      <c r="AB153" s="1">
        <f t="shared" si="60"/>
        <v>0</v>
      </c>
      <c r="AC153" s="1">
        <f t="shared" si="61"/>
        <v>0</v>
      </c>
      <c r="AD153" s="1">
        <f t="shared" si="62"/>
        <v>0</v>
      </c>
      <c r="AE153" s="1">
        <f t="shared" si="63"/>
        <v>0</v>
      </c>
      <c r="AF153" s="1">
        <f t="shared" si="64"/>
        <v>0</v>
      </c>
      <c r="AG153" s="1">
        <f t="shared" si="65"/>
        <v>0</v>
      </c>
      <c r="AH153" s="1">
        <f t="shared" si="66"/>
        <v>0</v>
      </c>
      <c r="AI153" s="1">
        <f t="shared" si="67"/>
        <v>0</v>
      </c>
      <c r="AJ153" s="1">
        <f t="shared" si="68"/>
        <v>0</v>
      </c>
      <c r="AK153" s="1">
        <f t="shared" si="69"/>
        <v>0</v>
      </c>
      <c r="AL153" s="1">
        <f t="shared" si="70"/>
        <v>0</v>
      </c>
      <c r="AM153" s="1">
        <f t="shared" si="71"/>
        <v>0</v>
      </c>
      <c r="AN153" s="1">
        <f t="shared" si="72"/>
        <v>0</v>
      </c>
      <c r="AO153" s="1">
        <f t="shared" si="73"/>
        <v>0</v>
      </c>
      <c r="AP153" s="1">
        <f t="shared" si="74"/>
        <v>0</v>
      </c>
      <c r="AQ153" s="1">
        <f t="shared" si="75"/>
        <v>0</v>
      </c>
      <c r="AR153" s="1">
        <f t="shared" si="76"/>
        <v>0</v>
      </c>
      <c r="AS153" s="1">
        <f t="shared" si="77"/>
        <v>0</v>
      </c>
      <c r="AT153" s="1">
        <f t="shared" si="78"/>
        <v>0</v>
      </c>
      <c r="AU153" s="1">
        <f t="shared" si="79"/>
        <v>0</v>
      </c>
      <c r="AY153" s="2" t="s">
        <v>499</v>
      </c>
    </row>
    <row r="154" spans="1:51" ht="22.9" customHeight="1" x14ac:dyDescent="0.3">
      <c r="A154" s="14" t="s">
        <v>541</v>
      </c>
      <c r="B154" s="14" t="s">
        <v>593</v>
      </c>
      <c r="C154" s="16" t="s">
        <v>79</v>
      </c>
      <c r="D154" s="17">
        <v>1</v>
      </c>
      <c r="E154" s="17">
        <f>일위대가목록!G20</f>
        <v>0</v>
      </c>
      <c r="F154" s="17">
        <f t="shared" si="45"/>
        <v>0</v>
      </c>
      <c r="G154" s="17">
        <f>일위대가목록!I20</f>
        <v>37267</v>
      </c>
      <c r="H154" s="17">
        <f t="shared" si="46"/>
        <v>37267</v>
      </c>
      <c r="I154" s="17">
        <f>일위대가목록!K20</f>
        <v>0</v>
      </c>
      <c r="J154" s="17">
        <f t="shared" si="47"/>
        <v>0</v>
      </c>
      <c r="K154" s="17">
        <f t="shared" si="48"/>
        <v>37267</v>
      </c>
      <c r="L154" s="17">
        <f t="shared" si="49"/>
        <v>37267</v>
      </c>
      <c r="M154" s="25" t="s">
        <v>540</v>
      </c>
      <c r="O154" s="1" t="str">
        <f>""</f>
        <v/>
      </c>
      <c r="P154" s="2" t="s">
        <v>438</v>
      </c>
      <c r="Q154" s="1">
        <v>1</v>
      </c>
      <c r="R154" s="1">
        <f t="shared" si="50"/>
        <v>0</v>
      </c>
      <c r="S154" s="1">
        <f t="shared" si="51"/>
        <v>0</v>
      </c>
      <c r="T154" s="1">
        <f t="shared" si="52"/>
        <v>0</v>
      </c>
      <c r="U154" s="1">
        <f t="shared" si="53"/>
        <v>0</v>
      </c>
      <c r="V154" s="1">
        <f t="shared" si="54"/>
        <v>0</v>
      </c>
      <c r="W154" s="1">
        <f t="shared" si="55"/>
        <v>0</v>
      </c>
      <c r="X154" s="1">
        <f t="shared" si="56"/>
        <v>0</v>
      </c>
      <c r="Y154" s="1">
        <f t="shared" si="57"/>
        <v>0</v>
      </c>
      <c r="Z154" s="1">
        <f t="shared" si="58"/>
        <v>0</v>
      </c>
      <c r="AA154" s="1">
        <f t="shared" si="59"/>
        <v>0</v>
      </c>
      <c r="AB154" s="1">
        <f t="shared" si="60"/>
        <v>0</v>
      </c>
      <c r="AC154" s="1">
        <f t="shared" si="61"/>
        <v>0</v>
      </c>
      <c r="AD154" s="1">
        <f t="shared" si="62"/>
        <v>0</v>
      </c>
      <c r="AE154" s="1">
        <f t="shared" si="63"/>
        <v>0</v>
      </c>
      <c r="AF154" s="1">
        <f t="shared" si="64"/>
        <v>0</v>
      </c>
      <c r="AG154" s="1">
        <f t="shared" si="65"/>
        <v>0</v>
      </c>
      <c r="AH154" s="1">
        <f t="shared" si="66"/>
        <v>0</v>
      </c>
      <c r="AI154" s="1">
        <f t="shared" si="67"/>
        <v>0</v>
      </c>
      <c r="AJ154" s="1">
        <f t="shared" si="68"/>
        <v>0</v>
      </c>
      <c r="AK154" s="1">
        <f t="shared" si="69"/>
        <v>0</v>
      </c>
      <c r="AL154" s="1">
        <f t="shared" si="70"/>
        <v>0</v>
      </c>
      <c r="AM154" s="1">
        <f t="shared" si="71"/>
        <v>0</v>
      </c>
      <c r="AN154" s="1">
        <f t="shared" si="72"/>
        <v>0</v>
      </c>
      <c r="AO154" s="1">
        <f t="shared" si="73"/>
        <v>0</v>
      </c>
      <c r="AP154" s="1">
        <f t="shared" si="74"/>
        <v>0</v>
      </c>
      <c r="AQ154" s="1">
        <f t="shared" si="75"/>
        <v>0</v>
      </c>
      <c r="AR154" s="1">
        <f t="shared" si="76"/>
        <v>0</v>
      </c>
      <c r="AS154" s="1">
        <f t="shared" si="77"/>
        <v>0</v>
      </c>
      <c r="AT154" s="1">
        <f t="shared" si="78"/>
        <v>0</v>
      </c>
      <c r="AU154" s="1">
        <f t="shared" si="79"/>
        <v>0</v>
      </c>
      <c r="AY154" s="2" t="s">
        <v>499</v>
      </c>
    </row>
    <row r="155" spans="1:51" ht="22.9" customHeight="1" x14ac:dyDescent="0.3">
      <c r="A155" s="14" t="s">
        <v>574</v>
      </c>
      <c r="B155" s="14" t="s">
        <v>167</v>
      </c>
      <c r="C155" s="16" t="s">
        <v>79</v>
      </c>
      <c r="D155" s="17">
        <v>1</v>
      </c>
      <c r="E155" s="17">
        <f>일위대가목록!G36</f>
        <v>285</v>
      </c>
      <c r="F155" s="17">
        <f t="shared" si="45"/>
        <v>285</v>
      </c>
      <c r="G155" s="17">
        <f>일위대가목록!I36</f>
        <v>14276</v>
      </c>
      <c r="H155" s="17">
        <f t="shared" si="46"/>
        <v>14276</v>
      </c>
      <c r="I155" s="17">
        <f>일위대가목록!K36</f>
        <v>0</v>
      </c>
      <c r="J155" s="17">
        <f t="shared" si="47"/>
        <v>0</v>
      </c>
      <c r="K155" s="17">
        <f t="shared" si="48"/>
        <v>14561</v>
      </c>
      <c r="L155" s="17">
        <f t="shared" si="49"/>
        <v>14561</v>
      </c>
      <c r="M155" s="25" t="s">
        <v>559</v>
      </c>
      <c r="O155" s="1" t="str">
        <f>""</f>
        <v/>
      </c>
      <c r="P155" s="2" t="s">
        <v>438</v>
      </c>
      <c r="Q155" s="1">
        <v>1</v>
      </c>
      <c r="R155" s="1">
        <f t="shared" si="50"/>
        <v>0</v>
      </c>
      <c r="S155" s="1">
        <f t="shared" si="51"/>
        <v>0</v>
      </c>
      <c r="T155" s="1">
        <f t="shared" si="52"/>
        <v>0</v>
      </c>
      <c r="U155" s="1">
        <f t="shared" si="53"/>
        <v>0</v>
      </c>
      <c r="V155" s="1">
        <f t="shared" si="54"/>
        <v>0</v>
      </c>
      <c r="W155" s="1">
        <f t="shared" si="55"/>
        <v>0</v>
      </c>
      <c r="X155" s="1">
        <f t="shared" si="56"/>
        <v>0</v>
      </c>
      <c r="Y155" s="1">
        <f t="shared" si="57"/>
        <v>0</v>
      </c>
      <c r="Z155" s="1">
        <f t="shared" si="58"/>
        <v>0</v>
      </c>
      <c r="AA155" s="1">
        <f t="shared" si="59"/>
        <v>0</v>
      </c>
      <c r="AB155" s="1">
        <f t="shared" si="60"/>
        <v>0</v>
      </c>
      <c r="AC155" s="1">
        <f t="shared" si="61"/>
        <v>0</v>
      </c>
      <c r="AD155" s="1">
        <f t="shared" si="62"/>
        <v>0</v>
      </c>
      <c r="AE155" s="1">
        <f t="shared" si="63"/>
        <v>0</v>
      </c>
      <c r="AF155" s="1">
        <f t="shared" si="64"/>
        <v>0</v>
      </c>
      <c r="AG155" s="1">
        <f t="shared" si="65"/>
        <v>0</v>
      </c>
      <c r="AH155" s="1">
        <f t="shared" si="66"/>
        <v>0</v>
      </c>
      <c r="AI155" s="1">
        <f t="shared" si="67"/>
        <v>0</v>
      </c>
      <c r="AJ155" s="1">
        <f t="shared" si="68"/>
        <v>0</v>
      </c>
      <c r="AK155" s="1">
        <f t="shared" si="69"/>
        <v>0</v>
      </c>
      <c r="AL155" s="1">
        <f t="shared" si="70"/>
        <v>0</v>
      </c>
      <c r="AM155" s="1">
        <f t="shared" si="71"/>
        <v>0</v>
      </c>
      <c r="AN155" s="1">
        <f t="shared" si="72"/>
        <v>0</v>
      </c>
      <c r="AO155" s="1">
        <f t="shared" si="73"/>
        <v>0</v>
      </c>
      <c r="AP155" s="1">
        <f t="shared" si="74"/>
        <v>0</v>
      </c>
      <c r="AQ155" s="1">
        <f t="shared" si="75"/>
        <v>0</v>
      </c>
      <c r="AR155" s="1">
        <f t="shared" si="76"/>
        <v>0</v>
      </c>
      <c r="AS155" s="1">
        <f t="shared" si="77"/>
        <v>0</v>
      </c>
      <c r="AT155" s="1">
        <f t="shared" si="78"/>
        <v>0</v>
      </c>
      <c r="AU155" s="1">
        <f t="shared" si="79"/>
        <v>0</v>
      </c>
      <c r="AY155" s="2" t="s">
        <v>499</v>
      </c>
    </row>
    <row r="156" spans="1:51" ht="22.9" customHeight="1" x14ac:dyDescent="0.3">
      <c r="A156" s="14" t="s">
        <v>331</v>
      </c>
      <c r="B156" s="15"/>
      <c r="C156" s="16" t="s">
        <v>70</v>
      </c>
      <c r="D156" s="17">
        <v>88.15</v>
      </c>
      <c r="E156" s="17">
        <f>일위대가목록!G37</f>
        <v>0</v>
      </c>
      <c r="F156" s="17">
        <f t="shared" si="45"/>
        <v>0</v>
      </c>
      <c r="G156" s="17">
        <f>일위대가목록!I37</f>
        <v>4840</v>
      </c>
      <c r="H156" s="17">
        <f t="shared" si="46"/>
        <v>426646</v>
      </c>
      <c r="I156" s="17">
        <f>일위대가목록!K37</f>
        <v>0</v>
      </c>
      <c r="J156" s="17">
        <f t="shared" si="47"/>
        <v>0</v>
      </c>
      <c r="K156" s="17">
        <f t="shared" si="48"/>
        <v>4840</v>
      </c>
      <c r="L156" s="17">
        <f t="shared" si="49"/>
        <v>426646</v>
      </c>
      <c r="M156" s="25" t="s">
        <v>575</v>
      </c>
      <c r="O156" s="1" t="str">
        <f>""</f>
        <v/>
      </c>
      <c r="P156" s="2" t="s">
        <v>438</v>
      </c>
      <c r="Q156" s="1">
        <v>1</v>
      </c>
      <c r="R156" s="1">
        <f t="shared" si="50"/>
        <v>0</v>
      </c>
      <c r="S156" s="1">
        <f t="shared" si="51"/>
        <v>0</v>
      </c>
      <c r="T156" s="1">
        <f t="shared" si="52"/>
        <v>0</v>
      </c>
      <c r="U156" s="1">
        <f t="shared" si="53"/>
        <v>0</v>
      </c>
      <c r="V156" s="1">
        <f t="shared" si="54"/>
        <v>0</v>
      </c>
      <c r="W156" s="1">
        <f t="shared" si="55"/>
        <v>0</v>
      </c>
      <c r="X156" s="1">
        <f t="shared" si="56"/>
        <v>0</v>
      </c>
      <c r="Y156" s="1">
        <f t="shared" si="57"/>
        <v>0</v>
      </c>
      <c r="Z156" s="1">
        <f t="shared" si="58"/>
        <v>0</v>
      </c>
      <c r="AA156" s="1">
        <f t="shared" si="59"/>
        <v>0</v>
      </c>
      <c r="AB156" s="1">
        <f t="shared" si="60"/>
        <v>0</v>
      </c>
      <c r="AC156" s="1">
        <f t="shared" si="61"/>
        <v>0</v>
      </c>
      <c r="AD156" s="1">
        <f t="shared" si="62"/>
        <v>0</v>
      </c>
      <c r="AE156" s="1">
        <f t="shared" si="63"/>
        <v>0</v>
      </c>
      <c r="AF156" s="1">
        <f t="shared" si="64"/>
        <v>0</v>
      </c>
      <c r="AG156" s="1">
        <f t="shared" si="65"/>
        <v>0</v>
      </c>
      <c r="AH156" s="1">
        <f t="shared" si="66"/>
        <v>0</v>
      </c>
      <c r="AI156" s="1">
        <f t="shared" si="67"/>
        <v>0</v>
      </c>
      <c r="AJ156" s="1">
        <f t="shared" si="68"/>
        <v>0</v>
      </c>
      <c r="AK156" s="1">
        <f t="shared" si="69"/>
        <v>0</v>
      </c>
      <c r="AL156" s="1">
        <f t="shared" si="70"/>
        <v>0</v>
      </c>
      <c r="AM156" s="1">
        <f t="shared" si="71"/>
        <v>0</v>
      </c>
      <c r="AN156" s="1">
        <f t="shared" si="72"/>
        <v>0</v>
      </c>
      <c r="AO156" s="1">
        <f t="shared" si="73"/>
        <v>0</v>
      </c>
      <c r="AP156" s="1">
        <f t="shared" si="74"/>
        <v>0</v>
      </c>
      <c r="AQ156" s="1">
        <f t="shared" si="75"/>
        <v>0</v>
      </c>
      <c r="AR156" s="1">
        <f t="shared" si="76"/>
        <v>0</v>
      </c>
      <c r="AS156" s="1">
        <f t="shared" si="77"/>
        <v>0</v>
      </c>
      <c r="AT156" s="1">
        <f t="shared" si="78"/>
        <v>0</v>
      </c>
      <c r="AU156" s="1">
        <f t="shared" si="79"/>
        <v>0</v>
      </c>
      <c r="AY156" s="2" t="s">
        <v>499</v>
      </c>
    </row>
    <row r="157" spans="1:51" ht="22.9" customHeight="1" x14ac:dyDescent="0.3">
      <c r="A157" s="14" t="s">
        <v>323</v>
      </c>
      <c r="B157" s="14" t="s">
        <v>539</v>
      </c>
      <c r="C157" s="16" t="s">
        <v>70</v>
      </c>
      <c r="D157" s="17">
        <v>58.76</v>
      </c>
      <c r="E157" s="17">
        <f>일위대가목록!G11</f>
        <v>0</v>
      </c>
      <c r="F157" s="17">
        <f t="shared" si="45"/>
        <v>0</v>
      </c>
      <c r="G157" s="17">
        <f>일위대가목록!I11</f>
        <v>12630</v>
      </c>
      <c r="H157" s="17">
        <f t="shared" si="46"/>
        <v>742138</v>
      </c>
      <c r="I157" s="17">
        <f>일위대가목록!K11</f>
        <v>0</v>
      </c>
      <c r="J157" s="17">
        <f t="shared" si="47"/>
        <v>0</v>
      </c>
      <c r="K157" s="17">
        <f t="shared" si="48"/>
        <v>12630</v>
      </c>
      <c r="L157" s="17">
        <f t="shared" si="49"/>
        <v>742138</v>
      </c>
      <c r="M157" s="25" t="s">
        <v>517</v>
      </c>
      <c r="O157" s="1" t="str">
        <f>""</f>
        <v/>
      </c>
      <c r="P157" s="2" t="s">
        <v>438</v>
      </c>
      <c r="Q157" s="1">
        <v>1</v>
      </c>
      <c r="R157" s="1">
        <f t="shared" si="50"/>
        <v>0</v>
      </c>
      <c r="S157" s="1">
        <f t="shared" si="51"/>
        <v>0</v>
      </c>
      <c r="T157" s="1">
        <f t="shared" si="52"/>
        <v>0</v>
      </c>
      <c r="U157" s="1">
        <f t="shared" si="53"/>
        <v>0</v>
      </c>
      <c r="V157" s="1">
        <f t="shared" si="54"/>
        <v>0</v>
      </c>
      <c r="W157" s="1">
        <f t="shared" si="55"/>
        <v>0</v>
      </c>
      <c r="X157" s="1">
        <f t="shared" si="56"/>
        <v>0</v>
      </c>
      <c r="Y157" s="1">
        <f t="shared" si="57"/>
        <v>0</v>
      </c>
      <c r="Z157" s="1">
        <f t="shared" si="58"/>
        <v>0</v>
      </c>
      <c r="AA157" s="1">
        <f t="shared" si="59"/>
        <v>0</v>
      </c>
      <c r="AB157" s="1">
        <f t="shared" si="60"/>
        <v>0</v>
      </c>
      <c r="AC157" s="1">
        <f t="shared" si="61"/>
        <v>0</v>
      </c>
      <c r="AD157" s="1">
        <f t="shared" si="62"/>
        <v>0</v>
      </c>
      <c r="AE157" s="1">
        <f t="shared" si="63"/>
        <v>0</v>
      </c>
      <c r="AF157" s="1">
        <f t="shared" si="64"/>
        <v>0</v>
      </c>
      <c r="AG157" s="1">
        <f t="shared" si="65"/>
        <v>0</v>
      </c>
      <c r="AH157" s="1">
        <f t="shared" si="66"/>
        <v>0</v>
      </c>
      <c r="AI157" s="1">
        <f t="shared" si="67"/>
        <v>0</v>
      </c>
      <c r="AJ157" s="1">
        <f t="shared" si="68"/>
        <v>0</v>
      </c>
      <c r="AK157" s="1">
        <f t="shared" si="69"/>
        <v>0</v>
      </c>
      <c r="AL157" s="1">
        <f t="shared" si="70"/>
        <v>0</v>
      </c>
      <c r="AM157" s="1">
        <f t="shared" si="71"/>
        <v>0</v>
      </c>
      <c r="AN157" s="1">
        <f t="shared" si="72"/>
        <v>0</v>
      </c>
      <c r="AO157" s="1">
        <f t="shared" si="73"/>
        <v>0</v>
      </c>
      <c r="AP157" s="1">
        <f t="shared" si="74"/>
        <v>0</v>
      </c>
      <c r="AQ157" s="1">
        <f t="shared" si="75"/>
        <v>0</v>
      </c>
      <c r="AR157" s="1">
        <f t="shared" si="76"/>
        <v>0</v>
      </c>
      <c r="AS157" s="1">
        <f t="shared" si="77"/>
        <v>0</v>
      </c>
      <c r="AT157" s="1">
        <f t="shared" si="78"/>
        <v>0</v>
      </c>
      <c r="AU157" s="1">
        <f t="shared" si="79"/>
        <v>0</v>
      </c>
      <c r="AY157" s="2" t="s">
        <v>499</v>
      </c>
    </row>
    <row r="158" spans="1:51" ht="22.9" customHeight="1" x14ac:dyDescent="0.3">
      <c r="A158" s="14" t="s">
        <v>528</v>
      </c>
      <c r="B158" s="14" t="s">
        <v>539</v>
      </c>
      <c r="C158" s="16" t="s">
        <v>70</v>
      </c>
      <c r="D158" s="17">
        <v>51.15</v>
      </c>
      <c r="E158" s="17">
        <f>일위대가목록!G12</f>
        <v>0</v>
      </c>
      <c r="F158" s="17">
        <f t="shared" si="45"/>
        <v>0</v>
      </c>
      <c r="G158" s="17">
        <f>일위대가목록!I12</f>
        <v>12630</v>
      </c>
      <c r="H158" s="17">
        <f t="shared" si="46"/>
        <v>646024</v>
      </c>
      <c r="I158" s="17">
        <f>일위대가목록!K12</f>
        <v>0</v>
      </c>
      <c r="J158" s="17">
        <f t="shared" si="47"/>
        <v>0</v>
      </c>
      <c r="K158" s="17">
        <f t="shared" si="48"/>
        <v>12630</v>
      </c>
      <c r="L158" s="17">
        <f t="shared" si="49"/>
        <v>646024</v>
      </c>
      <c r="M158" s="25" t="s">
        <v>523</v>
      </c>
      <c r="O158" s="1" t="str">
        <f>""</f>
        <v/>
      </c>
      <c r="P158" s="2" t="s">
        <v>438</v>
      </c>
      <c r="Q158" s="1">
        <v>1</v>
      </c>
      <c r="R158" s="1">
        <f t="shared" si="50"/>
        <v>0</v>
      </c>
      <c r="S158" s="1">
        <f t="shared" si="51"/>
        <v>0</v>
      </c>
      <c r="T158" s="1">
        <f t="shared" si="52"/>
        <v>0</v>
      </c>
      <c r="U158" s="1">
        <f t="shared" si="53"/>
        <v>0</v>
      </c>
      <c r="V158" s="1">
        <f t="shared" si="54"/>
        <v>0</v>
      </c>
      <c r="W158" s="1">
        <f t="shared" si="55"/>
        <v>0</v>
      </c>
      <c r="X158" s="1">
        <f t="shared" si="56"/>
        <v>0</v>
      </c>
      <c r="Y158" s="1">
        <f t="shared" si="57"/>
        <v>0</v>
      </c>
      <c r="Z158" s="1">
        <f t="shared" si="58"/>
        <v>0</v>
      </c>
      <c r="AA158" s="1">
        <f t="shared" si="59"/>
        <v>0</v>
      </c>
      <c r="AB158" s="1">
        <f t="shared" si="60"/>
        <v>0</v>
      </c>
      <c r="AC158" s="1">
        <f t="shared" si="61"/>
        <v>0</v>
      </c>
      <c r="AD158" s="1">
        <f t="shared" si="62"/>
        <v>0</v>
      </c>
      <c r="AE158" s="1">
        <f t="shared" si="63"/>
        <v>0</v>
      </c>
      <c r="AF158" s="1">
        <f t="shared" si="64"/>
        <v>0</v>
      </c>
      <c r="AG158" s="1">
        <f t="shared" si="65"/>
        <v>0</v>
      </c>
      <c r="AH158" s="1">
        <f t="shared" si="66"/>
        <v>0</v>
      </c>
      <c r="AI158" s="1">
        <f t="shared" si="67"/>
        <v>0</v>
      </c>
      <c r="AJ158" s="1">
        <f t="shared" si="68"/>
        <v>0</v>
      </c>
      <c r="AK158" s="1">
        <f t="shared" si="69"/>
        <v>0</v>
      </c>
      <c r="AL158" s="1">
        <f t="shared" si="70"/>
        <v>0</v>
      </c>
      <c r="AM158" s="1">
        <f t="shared" si="71"/>
        <v>0</v>
      </c>
      <c r="AN158" s="1">
        <f t="shared" si="72"/>
        <v>0</v>
      </c>
      <c r="AO158" s="1">
        <f t="shared" si="73"/>
        <v>0</v>
      </c>
      <c r="AP158" s="1">
        <f t="shared" si="74"/>
        <v>0</v>
      </c>
      <c r="AQ158" s="1">
        <f t="shared" si="75"/>
        <v>0</v>
      </c>
      <c r="AR158" s="1">
        <f t="shared" si="76"/>
        <v>0</v>
      </c>
      <c r="AS158" s="1">
        <f t="shared" si="77"/>
        <v>0</v>
      </c>
      <c r="AT158" s="1">
        <f t="shared" si="78"/>
        <v>0</v>
      </c>
      <c r="AU158" s="1">
        <f t="shared" si="79"/>
        <v>0</v>
      </c>
    </row>
    <row r="159" spans="1:51" ht="22.9" customHeight="1" x14ac:dyDescent="0.3">
      <c r="A159" s="14" t="s">
        <v>513</v>
      </c>
      <c r="B159" s="14" t="s">
        <v>243</v>
      </c>
      <c r="C159" s="16" t="s">
        <v>70</v>
      </c>
      <c r="D159" s="17">
        <v>51.15</v>
      </c>
      <c r="E159" s="17">
        <f>일위대가목록!G13</f>
        <v>0</v>
      </c>
      <c r="F159" s="17">
        <f t="shared" si="45"/>
        <v>0</v>
      </c>
      <c r="G159" s="17">
        <f>일위대가목록!I13</f>
        <v>5029</v>
      </c>
      <c r="H159" s="17">
        <f t="shared" si="46"/>
        <v>257233</v>
      </c>
      <c r="I159" s="17">
        <f>일위대가목록!K13</f>
        <v>100</v>
      </c>
      <c r="J159" s="17">
        <f t="shared" si="47"/>
        <v>5115</v>
      </c>
      <c r="K159" s="17">
        <f t="shared" si="48"/>
        <v>5129</v>
      </c>
      <c r="L159" s="17">
        <f t="shared" si="49"/>
        <v>262348</v>
      </c>
      <c r="M159" s="25" t="s">
        <v>521</v>
      </c>
      <c r="O159" s="1" t="str">
        <f>""</f>
        <v/>
      </c>
      <c r="P159" s="2" t="s">
        <v>438</v>
      </c>
      <c r="Q159" s="1">
        <v>1</v>
      </c>
      <c r="R159" s="1">
        <f t="shared" si="50"/>
        <v>5115</v>
      </c>
      <c r="S159" s="1">
        <f t="shared" si="51"/>
        <v>0</v>
      </c>
      <c r="T159" s="1">
        <f t="shared" si="52"/>
        <v>0</v>
      </c>
      <c r="U159" s="1">
        <f t="shared" si="53"/>
        <v>0</v>
      </c>
      <c r="V159" s="1">
        <f t="shared" si="54"/>
        <v>0</v>
      </c>
      <c r="W159" s="1">
        <f t="shared" si="55"/>
        <v>0</v>
      </c>
      <c r="X159" s="1">
        <f t="shared" si="56"/>
        <v>0</v>
      </c>
      <c r="Y159" s="1">
        <f t="shared" si="57"/>
        <v>0</v>
      </c>
      <c r="Z159" s="1">
        <f t="shared" si="58"/>
        <v>0</v>
      </c>
      <c r="AA159" s="1">
        <f t="shared" si="59"/>
        <v>0</v>
      </c>
      <c r="AB159" s="1">
        <f t="shared" si="60"/>
        <v>0</v>
      </c>
      <c r="AC159" s="1">
        <f t="shared" si="61"/>
        <v>0</v>
      </c>
      <c r="AD159" s="1">
        <f t="shared" si="62"/>
        <v>0</v>
      </c>
      <c r="AE159" s="1">
        <f t="shared" si="63"/>
        <v>0</v>
      </c>
      <c r="AF159" s="1">
        <f t="shared" si="64"/>
        <v>0</v>
      </c>
      <c r="AG159" s="1">
        <f t="shared" si="65"/>
        <v>0</v>
      </c>
      <c r="AH159" s="1">
        <f t="shared" si="66"/>
        <v>0</v>
      </c>
      <c r="AI159" s="1">
        <f t="shared" si="67"/>
        <v>0</v>
      </c>
      <c r="AJ159" s="1">
        <f t="shared" si="68"/>
        <v>0</v>
      </c>
      <c r="AK159" s="1">
        <f t="shared" si="69"/>
        <v>0</v>
      </c>
      <c r="AL159" s="1">
        <f t="shared" si="70"/>
        <v>0</v>
      </c>
      <c r="AM159" s="1">
        <f t="shared" si="71"/>
        <v>0</v>
      </c>
      <c r="AN159" s="1">
        <f t="shared" si="72"/>
        <v>0</v>
      </c>
      <c r="AO159" s="1">
        <f t="shared" si="73"/>
        <v>0</v>
      </c>
      <c r="AP159" s="1">
        <f t="shared" si="74"/>
        <v>0</v>
      </c>
      <c r="AQ159" s="1">
        <f t="shared" si="75"/>
        <v>0</v>
      </c>
      <c r="AR159" s="1">
        <f t="shared" si="76"/>
        <v>0</v>
      </c>
      <c r="AS159" s="1">
        <f t="shared" si="77"/>
        <v>0</v>
      </c>
      <c r="AT159" s="1">
        <f t="shared" si="78"/>
        <v>0</v>
      </c>
      <c r="AU159" s="1">
        <f t="shared" si="79"/>
        <v>0</v>
      </c>
      <c r="AY159" s="2" t="s">
        <v>499</v>
      </c>
    </row>
    <row r="160" spans="1:51" ht="22.9" customHeight="1" x14ac:dyDescent="0.3">
      <c r="A160" s="14" t="s">
        <v>518</v>
      </c>
      <c r="B160" s="14" t="s">
        <v>71</v>
      </c>
      <c r="C160" s="16" t="s">
        <v>70</v>
      </c>
      <c r="D160" s="17">
        <v>51.15</v>
      </c>
      <c r="E160" s="17">
        <f>일위대가목록!G14</f>
        <v>0</v>
      </c>
      <c r="F160" s="17">
        <f t="shared" si="45"/>
        <v>0</v>
      </c>
      <c r="G160" s="17">
        <f>일위대가목록!I14</f>
        <v>3480</v>
      </c>
      <c r="H160" s="17">
        <f t="shared" si="46"/>
        <v>178002</v>
      </c>
      <c r="I160" s="17">
        <f>일위대가목록!K14</f>
        <v>0</v>
      </c>
      <c r="J160" s="17">
        <f t="shared" si="47"/>
        <v>0</v>
      </c>
      <c r="K160" s="17">
        <f t="shared" si="48"/>
        <v>3480</v>
      </c>
      <c r="L160" s="17">
        <f t="shared" si="49"/>
        <v>178002</v>
      </c>
      <c r="M160" s="25" t="s">
        <v>526</v>
      </c>
      <c r="O160" s="1" t="str">
        <f>""</f>
        <v/>
      </c>
      <c r="P160" s="2" t="s">
        <v>438</v>
      </c>
      <c r="Q160" s="1">
        <v>1</v>
      </c>
      <c r="R160" s="1">
        <f t="shared" si="50"/>
        <v>0</v>
      </c>
      <c r="S160" s="1">
        <f t="shared" si="51"/>
        <v>0</v>
      </c>
      <c r="T160" s="1">
        <f t="shared" si="52"/>
        <v>0</v>
      </c>
      <c r="U160" s="1">
        <f t="shared" si="53"/>
        <v>0</v>
      </c>
      <c r="V160" s="1">
        <f t="shared" si="54"/>
        <v>0</v>
      </c>
      <c r="W160" s="1">
        <f t="shared" si="55"/>
        <v>0</v>
      </c>
      <c r="X160" s="1">
        <f t="shared" si="56"/>
        <v>0</v>
      </c>
      <c r="Y160" s="1">
        <f t="shared" si="57"/>
        <v>0</v>
      </c>
      <c r="Z160" s="1">
        <f t="shared" si="58"/>
        <v>0</v>
      </c>
      <c r="AA160" s="1">
        <f t="shared" si="59"/>
        <v>0</v>
      </c>
      <c r="AB160" s="1">
        <f t="shared" si="60"/>
        <v>0</v>
      </c>
      <c r="AC160" s="1">
        <f t="shared" si="61"/>
        <v>0</v>
      </c>
      <c r="AD160" s="1">
        <f t="shared" si="62"/>
        <v>0</v>
      </c>
      <c r="AE160" s="1">
        <f t="shared" si="63"/>
        <v>0</v>
      </c>
      <c r="AF160" s="1">
        <f t="shared" si="64"/>
        <v>0</v>
      </c>
      <c r="AG160" s="1">
        <f t="shared" si="65"/>
        <v>0</v>
      </c>
      <c r="AH160" s="1">
        <f t="shared" si="66"/>
        <v>0</v>
      </c>
      <c r="AI160" s="1">
        <f t="shared" si="67"/>
        <v>0</v>
      </c>
      <c r="AJ160" s="1">
        <f t="shared" si="68"/>
        <v>0</v>
      </c>
      <c r="AK160" s="1">
        <f t="shared" si="69"/>
        <v>0</v>
      </c>
      <c r="AL160" s="1">
        <f t="shared" si="70"/>
        <v>0</v>
      </c>
      <c r="AM160" s="1">
        <f t="shared" si="71"/>
        <v>0</v>
      </c>
      <c r="AN160" s="1">
        <f t="shared" si="72"/>
        <v>0</v>
      </c>
      <c r="AO160" s="1">
        <f t="shared" si="73"/>
        <v>0</v>
      </c>
      <c r="AP160" s="1">
        <f t="shared" si="74"/>
        <v>0</v>
      </c>
      <c r="AQ160" s="1">
        <f t="shared" si="75"/>
        <v>0</v>
      </c>
      <c r="AR160" s="1">
        <f t="shared" si="76"/>
        <v>0</v>
      </c>
      <c r="AS160" s="1">
        <f t="shared" si="77"/>
        <v>0</v>
      </c>
      <c r="AT160" s="1">
        <f t="shared" si="78"/>
        <v>0</v>
      </c>
      <c r="AU160" s="1">
        <f t="shared" si="79"/>
        <v>0</v>
      </c>
    </row>
    <row r="161" spans="1:51" ht="22.9" customHeight="1" x14ac:dyDescent="0.3">
      <c r="A161" s="14" t="s">
        <v>518</v>
      </c>
      <c r="B161" s="14" t="s">
        <v>117</v>
      </c>
      <c r="C161" s="16" t="s">
        <v>70</v>
      </c>
      <c r="D161" s="17">
        <v>83.28</v>
      </c>
      <c r="E161" s="17">
        <f>일위대가목록!G21</f>
        <v>0</v>
      </c>
      <c r="F161" s="17">
        <f t="shared" si="45"/>
        <v>0</v>
      </c>
      <c r="G161" s="17">
        <f>일위대가목록!I21</f>
        <v>2681</v>
      </c>
      <c r="H161" s="17">
        <f t="shared" si="46"/>
        <v>223273</v>
      </c>
      <c r="I161" s="17">
        <f>일위대가목록!K21</f>
        <v>0</v>
      </c>
      <c r="J161" s="17">
        <f t="shared" si="47"/>
        <v>0</v>
      </c>
      <c r="K161" s="17">
        <f t="shared" si="48"/>
        <v>2681</v>
      </c>
      <c r="L161" s="17">
        <f t="shared" si="49"/>
        <v>223273</v>
      </c>
      <c r="M161" s="25" t="s">
        <v>514</v>
      </c>
      <c r="O161" s="1" t="str">
        <f>""</f>
        <v/>
      </c>
      <c r="P161" s="2" t="s">
        <v>438</v>
      </c>
      <c r="Q161" s="1">
        <v>1</v>
      </c>
      <c r="R161" s="1">
        <f t="shared" si="50"/>
        <v>0</v>
      </c>
      <c r="S161" s="1">
        <f t="shared" si="51"/>
        <v>0</v>
      </c>
      <c r="T161" s="1">
        <f t="shared" si="52"/>
        <v>0</v>
      </c>
      <c r="U161" s="1">
        <f t="shared" si="53"/>
        <v>0</v>
      </c>
      <c r="V161" s="1">
        <f t="shared" si="54"/>
        <v>0</v>
      </c>
      <c r="W161" s="1">
        <f t="shared" si="55"/>
        <v>0</v>
      </c>
      <c r="X161" s="1">
        <f t="shared" si="56"/>
        <v>0</v>
      </c>
      <c r="Y161" s="1">
        <f t="shared" si="57"/>
        <v>0</v>
      </c>
      <c r="Z161" s="1">
        <f t="shared" si="58"/>
        <v>0</v>
      </c>
      <c r="AA161" s="1">
        <f t="shared" si="59"/>
        <v>0</v>
      </c>
      <c r="AB161" s="1">
        <f t="shared" si="60"/>
        <v>0</v>
      </c>
      <c r="AC161" s="1">
        <f t="shared" si="61"/>
        <v>0</v>
      </c>
      <c r="AD161" s="1">
        <f t="shared" si="62"/>
        <v>0</v>
      </c>
      <c r="AE161" s="1">
        <f t="shared" si="63"/>
        <v>0</v>
      </c>
      <c r="AF161" s="1">
        <f t="shared" si="64"/>
        <v>0</v>
      </c>
      <c r="AG161" s="1">
        <f t="shared" si="65"/>
        <v>0</v>
      </c>
      <c r="AH161" s="1">
        <f t="shared" si="66"/>
        <v>0</v>
      </c>
      <c r="AI161" s="1">
        <f t="shared" si="67"/>
        <v>0</v>
      </c>
      <c r="AJ161" s="1">
        <f t="shared" si="68"/>
        <v>0</v>
      </c>
      <c r="AK161" s="1">
        <f t="shared" si="69"/>
        <v>0</v>
      </c>
      <c r="AL161" s="1">
        <f t="shared" si="70"/>
        <v>0</v>
      </c>
      <c r="AM161" s="1">
        <f t="shared" si="71"/>
        <v>0</v>
      </c>
      <c r="AN161" s="1">
        <f t="shared" si="72"/>
        <v>0</v>
      </c>
      <c r="AO161" s="1">
        <f t="shared" si="73"/>
        <v>0</v>
      </c>
      <c r="AP161" s="1">
        <f t="shared" si="74"/>
        <v>0</v>
      </c>
      <c r="AQ161" s="1">
        <f t="shared" si="75"/>
        <v>0</v>
      </c>
      <c r="AR161" s="1">
        <f t="shared" si="76"/>
        <v>0</v>
      </c>
      <c r="AS161" s="1">
        <f t="shared" si="77"/>
        <v>0</v>
      </c>
      <c r="AT161" s="1">
        <f t="shared" si="78"/>
        <v>0</v>
      </c>
      <c r="AU161" s="1">
        <f t="shared" si="79"/>
        <v>0</v>
      </c>
    </row>
    <row r="162" spans="1:51" ht="22.9" customHeight="1" x14ac:dyDescent="0.3">
      <c r="A162" s="14" t="s">
        <v>531</v>
      </c>
      <c r="B162" s="14" t="s">
        <v>326</v>
      </c>
      <c r="C162" s="16" t="s">
        <v>70</v>
      </c>
      <c r="D162" s="17">
        <v>83.28</v>
      </c>
      <c r="E162" s="17">
        <f>일위대가목록!G22</f>
        <v>0</v>
      </c>
      <c r="F162" s="17">
        <f t="shared" si="45"/>
        <v>0</v>
      </c>
      <c r="G162" s="17">
        <f>일위대가목록!I22</f>
        <v>3636</v>
      </c>
      <c r="H162" s="17">
        <f t="shared" si="46"/>
        <v>302806</v>
      </c>
      <c r="I162" s="17">
        <f>일위대가목록!K22</f>
        <v>72</v>
      </c>
      <c r="J162" s="17">
        <f t="shared" si="47"/>
        <v>5996</v>
      </c>
      <c r="K162" s="17">
        <f t="shared" si="48"/>
        <v>3708</v>
      </c>
      <c r="L162" s="17">
        <f t="shared" si="49"/>
        <v>308802</v>
      </c>
      <c r="M162" s="25" t="s">
        <v>544</v>
      </c>
      <c r="O162" s="1" t="str">
        <f>""</f>
        <v/>
      </c>
      <c r="P162" s="2" t="s">
        <v>438</v>
      </c>
      <c r="Q162" s="1">
        <v>1</v>
      </c>
      <c r="R162" s="1">
        <f t="shared" si="50"/>
        <v>5996</v>
      </c>
      <c r="S162" s="1">
        <f t="shared" si="51"/>
        <v>0</v>
      </c>
      <c r="T162" s="1">
        <f t="shared" si="52"/>
        <v>0</v>
      </c>
      <c r="U162" s="1">
        <f t="shared" si="53"/>
        <v>0</v>
      </c>
      <c r="V162" s="1">
        <f t="shared" si="54"/>
        <v>0</v>
      </c>
      <c r="W162" s="1">
        <f t="shared" si="55"/>
        <v>0</v>
      </c>
      <c r="X162" s="1">
        <f t="shared" si="56"/>
        <v>0</v>
      </c>
      <c r="Y162" s="1">
        <f t="shared" si="57"/>
        <v>0</v>
      </c>
      <c r="Z162" s="1">
        <f t="shared" si="58"/>
        <v>0</v>
      </c>
      <c r="AA162" s="1">
        <f t="shared" si="59"/>
        <v>0</v>
      </c>
      <c r="AB162" s="1">
        <f t="shared" si="60"/>
        <v>0</v>
      </c>
      <c r="AC162" s="1">
        <f t="shared" si="61"/>
        <v>0</v>
      </c>
      <c r="AD162" s="1">
        <f t="shared" si="62"/>
        <v>0</v>
      </c>
      <c r="AE162" s="1">
        <f t="shared" si="63"/>
        <v>0</v>
      </c>
      <c r="AF162" s="1">
        <f t="shared" si="64"/>
        <v>0</v>
      </c>
      <c r="AG162" s="1">
        <f t="shared" si="65"/>
        <v>0</v>
      </c>
      <c r="AH162" s="1">
        <f t="shared" si="66"/>
        <v>0</v>
      </c>
      <c r="AI162" s="1">
        <f t="shared" si="67"/>
        <v>0</v>
      </c>
      <c r="AJ162" s="1">
        <f t="shared" si="68"/>
        <v>0</v>
      </c>
      <c r="AK162" s="1">
        <f t="shared" si="69"/>
        <v>0</v>
      </c>
      <c r="AL162" s="1">
        <f t="shared" si="70"/>
        <v>0</v>
      </c>
      <c r="AM162" s="1">
        <f t="shared" si="71"/>
        <v>0</v>
      </c>
      <c r="AN162" s="1">
        <f t="shared" si="72"/>
        <v>0</v>
      </c>
      <c r="AO162" s="1">
        <f t="shared" si="73"/>
        <v>0</v>
      </c>
      <c r="AP162" s="1">
        <f t="shared" si="74"/>
        <v>0</v>
      </c>
      <c r="AQ162" s="1">
        <f t="shared" si="75"/>
        <v>0</v>
      </c>
      <c r="AR162" s="1">
        <f t="shared" si="76"/>
        <v>0</v>
      </c>
      <c r="AS162" s="1">
        <f t="shared" si="77"/>
        <v>0</v>
      </c>
      <c r="AT162" s="1">
        <f t="shared" si="78"/>
        <v>0</v>
      </c>
      <c r="AU162" s="1">
        <f t="shared" si="79"/>
        <v>0</v>
      </c>
      <c r="AY162" s="2" t="s">
        <v>499</v>
      </c>
    </row>
    <row r="163" spans="1:51" ht="22.9" customHeight="1" x14ac:dyDescent="0.3">
      <c r="A163" s="14" t="s">
        <v>530</v>
      </c>
      <c r="B163" s="14" t="s">
        <v>253</v>
      </c>
      <c r="C163" s="16" t="s">
        <v>70</v>
      </c>
      <c r="D163" s="17">
        <v>83.28</v>
      </c>
      <c r="E163" s="17">
        <f>일위대가목록!G23</f>
        <v>54</v>
      </c>
      <c r="F163" s="17">
        <f t="shared" si="45"/>
        <v>4497</v>
      </c>
      <c r="G163" s="17">
        <f>일위대가목록!I23</f>
        <v>2743</v>
      </c>
      <c r="H163" s="17">
        <f t="shared" si="46"/>
        <v>228437</v>
      </c>
      <c r="I163" s="17">
        <f>일위대가목록!K23</f>
        <v>0</v>
      </c>
      <c r="J163" s="17">
        <f t="shared" si="47"/>
        <v>0</v>
      </c>
      <c r="K163" s="17">
        <f t="shared" si="48"/>
        <v>2797</v>
      </c>
      <c r="L163" s="17">
        <f t="shared" si="49"/>
        <v>232934</v>
      </c>
      <c r="M163" s="25" t="s">
        <v>520</v>
      </c>
      <c r="O163" s="1" t="str">
        <f>""</f>
        <v/>
      </c>
      <c r="P163" s="2" t="s">
        <v>438</v>
      </c>
      <c r="Q163" s="1">
        <v>1</v>
      </c>
      <c r="R163" s="1">
        <f t="shared" si="50"/>
        <v>0</v>
      </c>
      <c r="S163" s="1">
        <f t="shared" si="51"/>
        <v>0</v>
      </c>
      <c r="T163" s="1">
        <f t="shared" si="52"/>
        <v>0</v>
      </c>
      <c r="U163" s="1">
        <f t="shared" si="53"/>
        <v>0</v>
      </c>
      <c r="V163" s="1">
        <f t="shared" si="54"/>
        <v>0</v>
      </c>
      <c r="W163" s="1">
        <f t="shared" si="55"/>
        <v>0</v>
      </c>
      <c r="X163" s="1">
        <f t="shared" si="56"/>
        <v>0</v>
      </c>
      <c r="Y163" s="1">
        <f t="shared" si="57"/>
        <v>0</v>
      </c>
      <c r="Z163" s="1">
        <f t="shared" si="58"/>
        <v>0</v>
      </c>
      <c r="AA163" s="1">
        <f t="shared" si="59"/>
        <v>0</v>
      </c>
      <c r="AB163" s="1">
        <f t="shared" si="60"/>
        <v>0</v>
      </c>
      <c r="AC163" s="1">
        <f t="shared" si="61"/>
        <v>0</v>
      </c>
      <c r="AD163" s="1">
        <f t="shared" si="62"/>
        <v>0</v>
      </c>
      <c r="AE163" s="1">
        <f t="shared" si="63"/>
        <v>0</v>
      </c>
      <c r="AF163" s="1">
        <f t="shared" si="64"/>
        <v>0</v>
      </c>
      <c r="AG163" s="1">
        <f t="shared" si="65"/>
        <v>0</v>
      </c>
      <c r="AH163" s="1">
        <f t="shared" si="66"/>
        <v>0</v>
      </c>
      <c r="AI163" s="1">
        <f t="shared" si="67"/>
        <v>0</v>
      </c>
      <c r="AJ163" s="1">
        <f t="shared" si="68"/>
        <v>0</v>
      </c>
      <c r="AK163" s="1">
        <f t="shared" si="69"/>
        <v>0</v>
      </c>
      <c r="AL163" s="1">
        <f t="shared" si="70"/>
        <v>0</v>
      </c>
      <c r="AM163" s="1">
        <f t="shared" si="71"/>
        <v>0</v>
      </c>
      <c r="AN163" s="1">
        <f t="shared" si="72"/>
        <v>0</v>
      </c>
      <c r="AO163" s="1">
        <f t="shared" si="73"/>
        <v>0</v>
      </c>
      <c r="AP163" s="1">
        <f t="shared" si="74"/>
        <v>0</v>
      </c>
      <c r="AQ163" s="1">
        <f t="shared" si="75"/>
        <v>0</v>
      </c>
      <c r="AR163" s="1">
        <f t="shared" si="76"/>
        <v>0</v>
      </c>
      <c r="AS163" s="1">
        <f t="shared" si="77"/>
        <v>0</v>
      </c>
      <c r="AT163" s="1">
        <f t="shared" si="78"/>
        <v>0</v>
      </c>
      <c r="AU163" s="1">
        <f t="shared" si="79"/>
        <v>0</v>
      </c>
      <c r="AY163" s="2" t="s">
        <v>499</v>
      </c>
    </row>
    <row r="164" spans="1:51" ht="22.9" customHeight="1" x14ac:dyDescent="0.3">
      <c r="A164" s="14" t="s">
        <v>538</v>
      </c>
      <c r="B164" s="14" t="s">
        <v>114</v>
      </c>
      <c r="C164" s="16" t="s">
        <v>70</v>
      </c>
      <c r="D164" s="17">
        <v>19.61</v>
      </c>
      <c r="E164" s="17">
        <f>일위대가목록!G25</f>
        <v>0</v>
      </c>
      <c r="F164" s="17">
        <f t="shared" si="45"/>
        <v>0</v>
      </c>
      <c r="G164" s="17">
        <f>일위대가목록!I25</f>
        <v>14894</v>
      </c>
      <c r="H164" s="17">
        <f t="shared" si="46"/>
        <v>292071</v>
      </c>
      <c r="I164" s="17">
        <f>일위대가목록!K25</f>
        <v>893</v>
      </c>
      <c r="J164" s="17">
        <f t="shared" si="47"/>
        <v>17511</v>
      </c>
      <c r="K164" s="17">
        <f t="shared" si="48"/>
        <v>15787</v>
      </c>
      <c r="L164" s="17">
        <f t="shared" si="49"/>
        <v>309582</v>
      </c>
      <c r="M164" s="25" t="s">
        <v>527</v>
      </c>
      <c r="O164" s="1" t="str">
        <f>""</f>
        <v/>
      </c>
      <c r="P164" s="2" t="s">
        <v>438</v>
      </c>
      <c r="Q164" s="1">
        <v>1</v>
      </c>
      <c r="R164" s="1">
        <f t="shared" si="50"/>
        <v>17511</v>
      </c>
      <c r="S164" s="1">
        <f t="shared" si="51"/>
        <v>0</v>
      </c>
      <c r="T164" s="1">
        <f t="shared" si="52"/>
        <v>0</v>
      </c>
      <c r="U164" s="1">
        <f t="shared" si="53"/>
        <v>0</v>
      </c>
      <c r="V164" s="1">
        <f t="shared" si="54"/>
        <v>0</v>
      </c>
      <c r="W164" s="1">
        <f t="shared" si="55"/>
        <v>0</v>
      </c>
      <c r="X164" s="1">
        <f t="shared" si="56"/>
        <v>0</v>
      </c>
      <c r="Y164" s="1">
        <f t="shared" si="57"/>
        <v>0</v>
      </c>
      <c r="Z164" s="1">
        <f t="shared" si="58"/>
        <v>0</v>
      </c>
      <c r="AA164" s="1">
        <f t="shared" si="59"/>
        <v>0</v>
      </c>
      <c r="AB164" s="1">
        <f t="shared" si="60"/>
        <v>0</v>
      </c>
      <c r="AC164" s="1">
        <f t="shared" si="61"/>
        <v>0</v>
      </c>
      <c r="AD164" s="1">
        <f t="shared" si="62"/>
        <v>0</v>
      </c>
      <c r="AE164" s="1">
        <f t="shared" si="63"/>
        <v>0</v>
      </c>
      <c r="AF164" s="1">
        <f t="shared" si="64"/>
        <v>0</v>
      </c>
      <c r="AG164" s="1">
        <f t="shared" si="65"/>
        <v>0</v>
      </c>
      <c r="AH164" s="1">
        <f t="shared" si="66"/>
        <v>0</v>
      </c>
      <c r="AI164" s="1">
        <f t="shared" si="67"/>
        <v>0</v>
      </c>
      <c r="AJ164" s="1">
        <f t="shared" si="68"/>
        <v>0</v>
      </c>
      <c r="AK164" s="1">
        <f t="shared" si="69"/>
        <v>0</v>
      </c>
      <c r="AL164" s="1">
        <f t="shared" si="70"/>
        <v>0</v>
      </c>
      <c r="AM164" s="1">
        <f t="shared" si="71"/>
        <v>0</v>
      </c>
      <c r="AN164" s="1">
        <f t="shared" si="72"/>
        <v>0</v>
      </c>
      <c r="AO164" s="1">
        <f t="shared" si="73"/>
        <v>0</v>
      </c>
      <c r="AP164" s="1">
        <f t="shared" si="74"/>
        <v>0</v>
      </c>
      <c r="AQ164" s="1">
        <f t="shared" si="75"/>
        <v>0</v>
      </c>
      <c r="AR164" s="1">
        <f t="shared" si="76"/>
        <v>0</v>
      </c>
      <c r="AS164" s="1">
        <f t="shared" si="77"/>
        <v>0</v>
      </c>
      <c r="AT164" s="1">
        <f t="shared" si="78"/>
        <v>0</v>
      </c>
      <c r="AU164" s="1">
        <f t="shared" si="79"/>
        <v>0</v>
      </c>
      <c r="AY164" s="2" t="s">
        <v>542</v>
      </c>
    </row>
    <row r="165" spans="1:51" ht="22.9" customHeight="1" x14ac:dyDescent="0.3">
      <c r="A165" s="14" t="s">
        <v>538</v>
      </c>
      <c r="B165" s="14" t="s">
        <v>112</v>
      </c>
      <c r="C165" s="16" t="s">
        <v>70</v>
      </c>
      <c r="D165" s="17">
        <v>4.32</v>
      </c>
      <c r="E165" s="17">
        <f>일위대가목록!G26</f>
        <v>0</v>
      </c>
      <c r="F165" s="17">
        <f t="shared" si="45"/>
        <v>0</v>
      </c>
      <c r="G165" s="17">
        <f>일위대가목록!I26</f>
        <v>16574</v>
      </c>
      <c r="H165" s="17">
        <f t="shared" si="46"/>
        <v>71599</v>
      </c>
      <c r="I165" s="17">
        <f>일위대가목록!K26</f>
        <v>994</v>
      </c>
      <c r="J165" s="17">
        <f t="shared" si="47"/>
        <v>4294</v>
      </c>
      <c r="K165" s="17">
        <f t="shared" si="48"/>
        <v>17568</v>
      </c>
      <c r="L165" s="17">
        <f t="shared" si="49"/>
        <v>75893</v>
      </c>
      <c r="M165" s="25" t="s">
        <v>543</v>
      </c>
      <c r="O165" s="1" t="str">
        <f>""</f>
        <v/>
      </c>
      <c r="P165" s="2" t="s">
        <v>438</v>
      </c>
      <c r="Q165" s="1">
        <v>1</v>
      </c>
      <c r="R165" s="1">
        <f t="shared" si="50"/>
        <v>4294</v>
      </c>
      <c r="S165" s="1">
        <f t="shared" si="51"/>
        <v>0</v>
      </c>
      <c r="T165" s="1">
        <f t="shared" si="52"/>
        <v>0</v>
      </c>
      <c r="U165" s="1">
        <f t="shared" si="53"/>
        <v>0</v>
      </c>
      <c r="V165" s="1">
        <f t="shared" si="54"/>
        <v>0</v>
      </c>
      <c r="W165" s="1">
        <f t="shared" si="55"/>
        <v>0</v>
      </c>
      <c r="X165" s="1">
        <f t="shared" si="56"/>
        <v>0</v>
      </c>
      <c r="Y165" s="1">
        <f t="shared" si="57"/>
        <v>0</v>
      </c>
      <c r="Z165" s="1">
        <f t="shared" si="58"/>
        <v>0</v>
      </c>
      <c r="AA165" s="1">
        <f t="shared" si="59"/>
        <v>0</v>
      </c>
      <c r="AB165" s="1">
        <f t="shared" si="60"/>
        <v>0</v>
      </c>
      <c r="AC165" s="1">
        <f t="shared" si="61"/>
        <v>0</v>
      </c>
      <c r="AD165" s="1">
        <f t="shared" si="62"/>
        <v>0</v>
      </c>
      <c r="AE165" s="1">
        <f t="shared" si="63"/>
        <v>0</v>
      </c>
      <c r="AF165" s="1">
        <f t="shared" si="64"/>
        <v>0</v>
      </c>
      <c r="AG165" s="1">
        <f t="shared" si="65"/>
        <v>0</v>
      </c>
      <c r="AH165" s="1">
        <f t="shared" si="66"/>
        <v>0</v>
      </c>
      <c r="AI165" s="1">
        <f t="shared" si="67"/>
        <v>0</v>
      </c>
      <c r="AJ165" s="1">
        <f t="shared" si="68"/>
        <v>0</v>
      </c>
      <c r="AK165" s="1">
        <f t="shared" si="69"/>
        <v>0</v>
      </c>
      <c r="AL165" s="1">
        <f t="shared" si="70"/>
        <v>0</v>
      </c>
      <c r="AM165" s="1">
        <f t="shared" si="71"/>
        <v>0</v>
      </c>
      <c r="AN165" s="1">
        <f t="shared" si="72"/>
        <v>0</v>
      </c>
      <c r="AO165" s="1">
        <f t="shared" si="73"/>
        <v>0</v>
      </c>
      <c r="AP165" s="1">
        <f t="shared" si="74"/>
        <v>0</v>
      </c>
      <c r="AQ165" s="1">
        <f t="shared" si="75"/>
        <v>0</v>
      </c>
      <c r="AR165" s="1">
        <f t="shared" si="76"/>
        <v>0</v>
      </c>
      <c r="AS165" s="1">
        <f t="shared" si="77"/>
        <v>0</v>
      </c>
      <c r="AT165" s="1">
        <f t="shared" si="78"/>
        <v>0</v>
      </c>
      <c r="AU165" s="1">
        <f t="shared" si="79"/>
        <v>0</v>
      </c>
      <c r="AY165" s="2" t="s">
        <v>542</v>
      </c>
    </row>
    <row r="166" spans="1:51" ht="22.9" customHeight="1" x14ac:dyDescent="0.3">
      <c r="A166" s="14" t="s">
        <v>558</v>
      </c>
      <c r="B166" s="14" t="s">
        <v>564</v>
      </c>
      <c r="C166" s="16" t="s">
        <v>70</v>
      </c>
      <c r="D166" s="17">
        <v>48.21</v>
      </c>
      <c r="E166" s="17">
        <f>일위대가목록!G27</f>
        <v>0</v>
      </c>
      <c r="F166" s="17">
        <f t="shared" si="45"/>
        <v>0</v>
      </c>
      <c r="G166" s="17">
        <f>일위대가목록!I27</f>
        <v>20648</v>
      </c>
      <c r="H166" s="17">
        <f t="shared" si="46"/>
        <v>995440</v>
      </c>
      <c r="I166" s="17">
        <f>일위대가목록!K27</f>
        <v>0</v>
      </c>
      <c r="J166" s="17">
        <f t="shared" si="47"/>
        <v>0</v>
      </c>
      <c r="K166" s="17">
        <f t="shared" si="48"/>
        <v>20648</v>
      </c>
      <c r="L166" s="17">
        <f t="shared" si="49"/>
        <v>995440</v>
      </c>
      <c r="M166" s="25" t="s">
        <v>516</v>
      </c>
      <c r="O166" s="1" t="str">
        <f>""</f>
        <v/>
      </c>
      <c r="P166" s="2" t="s">
        <v>438</v>
      </c>
      <c r="Q166" s="1">
        <v>1</v>
      </c>
      <c r="R166" s="1">
        <f t="shared" si="50"/>
        <v>0</v>
      </c>
      <c r="S166" s="1">
        <f t="shared" si="51"/>
        <v>0</v>
      </c>
      <c r="T166" s="1">
        <f t="shared" si="52"/>
        <v>0</v>
      </c>
      <c r="U166" s="1">
        <f t="shared" si="53"/>
        <v>0</v>
      </c>
      <c r="V166" s="1">
        <f t="shared" si="54"/>
        <v>0</v>
      </c>
      <c r="W166" s="1">
        <f t="shared" si="55"/>
        <v>0</v>
      </c>
      <c r="X166" s="1">
        <f t="shared" si="56"/>
        <v>0</v>
      </c>
      <c r="Y166" s="1">
        <f t="shared" si="57"/>
        <v>0</v>
      </c>
      <c r="Z166" s="1">
        <f t="shared" si="58"/>
        <v>0</v>
      </c>
      <c r="AA166" s="1">
        <f t="shared" si="59"/>
        <v>0</v>
      </c>
      <c r="AB166" s="1">
        <f t="shared" si="60"/>
        <v>0</v>
      </c>
      <c r="AC166" s="1">
        <f t="shared" si="61"/>
        <v>0</v>
      </c>
      <c r="AD166" s="1">
        <f t="shared" si="62"/>
        <v>0</v>
      </c>
      <c r="AE166" s="1">
        <f t="shared" si="63"/>
        <v>0</v>
      </c>
      <c r="AF166" s="1">
        <f t="shared" si="64"/>
        <v>0</v>
      </c>
      <c r="AG166" s="1">
        <f t="shared" si="65"/>
        <v>0</v>
      </c>
      <c r="AH166" s="1">
        <f t="shared" si="66"/>
        <v>0</v>
      </c>
      <c r="AI166" s="1">
        <f t="shared" si="67"/>
        <v>0</v>
      </c>
      <c r="AJ166" s="1">
        <f t="shared" si="68"/>
        <v>0</v>
      </c>
      <c r="AK166" s="1">
        <f t="shared" si="69"/>
        <v>0</v>
      </c>
      <c r="AL166" s="1">
        <f t="shared" si="70"/>
        <v>0</v>
      </c>
      <c r="AM166" s="1">
        <f t="shared" si="71"/>
        <v>0</v>
      </c>
      <c r="AN166" s="1">
        <f t="shared" si="72"/>
        <v>0</v>
      </c>
      <c r="AO166" s="1">
        <f t="shared" si="73"/>
        <v>0</v>
      </c>
      <c r="AP166" s="1">
        <f t="shared" si="74"/>
        <v>0</v>
      </c>
      <c r="AQ166" s="1">
        <f t="shared" si="75"/>
        <v>0</v>
      </c>
      <c r="AR166" s="1">
        <f t="shared" si="76"/>
        <v>0</v>
      </c>
      <c r="AS166" s="1">
        <f t="shared" si="77"/>
        <v>0</v>
      </c>
      <c r="AT166" s="1">
        <f t="shared" si="78"/>
        <v>0</v>
      </c>
      <c r="AU166" s="1">
        <f t="shared" si="79"/>
        <v>0</v>
      </c>
    </row>
    <row r="167" spans="1:51" ht="22.9" customHeight="1" x14ac:dyDescent="0.3">
      <c r="A167" s="14" t="s">
        <v>536</v>
      </c>
      <c r="B167" s="14" t="s">
        <v>114</v>
      </c>
      <c r="C167" s="16" t="s">
        <v>70</v>
      </c>
      <c r="D167" s="17">
        <v>152.1</v>
      </c>
      <c r="E167" s="17">
        <f>일위대가목록!G24</f>
        <v>0</v>
      </c>
      <c r="F167" s="17">
        <f t="shared" si="45"/>
        <v>0</v>
      </c>
      <c r="G167" s="17">
        <f>일위대가목록!I24</f>
        <v>6882</v>
      </c>
      <c r="H167" s="17">
        <f t="shared" si="46"/>
        <v>1046752</v>
      </c>
      <c r="I167" s="17">
        <f>일위대가목록!K24</f>
        <v>0</v>
      </c>
      <c r="J167" s="17">
        <f t="shared" si="47"/>
        <v>0</v>
      </c>
      <c r="K167" s="17">
        <f t="shared" si="48"/>
        <v>6882</v>
      </c>
      <c r="L167" s="17">
        <f t="shared" si="49"/>
        <v>1046752</v>
      </c>
      <c r="M167" s="25" t="s">
        <v>532</v>
      </c>
      <c r="O167" s="1" t="str">
        <f>""</f>
        <v/>
      </c>
      <c r="P167" s="2" t="s">
        <v>438</v>
      </c>
      <c r="Q167" s="1">
        <v>1</v>
      </c>
      <c r="R167" s="1">
        <f t="shared" si="50"/>
        <v>0</v>
      </c>
      <c r="S167" s="1">
        <f t="shared" si="51"/>
        <v>0</v>
      </c>
      <c r="T167" s="1">
        <f t="shared" si="52"/>
        <v>0</v>
      </c>
      <c r="U167" s="1">
        <f t="shared" si="53"/>
        <v>0</v>
      </c>
      <c r="V167" s="1">
        <f t="shared" si="54"/>
        <v>0</v>
      </c>
      <c r="W167" s="1">
        <f t="shared" si="55"/>
        <v>0</v>
      </c>
      <c r="X167" s="1">
        <f t="shared" si="56"/>
        <v>0</v>
      </c>
      <c r="Y167" s="1">
        <f t="shared" si="57"/>
        <v>0</v>
      </c>
      <c r="Z167" s="1">
        <f t="shared" si="58"/>
        <v>0</v>
      </c>
      <c r="AA167" s="1">
        <f t="shared" si="59"/>
        <v>0</v>
      </c>
      <c r="AB167" s="1">
        <f t="shared" si="60"/>
        <v>0</v>
      </c>
      <c r="AC167" s="1">
        <f t="shared" si="61"/>
        <v>0</v>
      </c>
      <c r="AD167" s="1">
        <f t="shared" si="62"/>
        <v>0</v>
      </c>
      <c r="AE167" s="1">
        <f t="shared" si="63"/>
        <v>0</v>
      </c>
      <c r="AF167" s="1">
        <f t="shared" si="64"/>
        <v>0</v>
      </c>
      <c r="AG167" s="1">
        <f t="shared" si="65"/>
        <v>0</v>
      </c>
      <c r="AH167" s="1">
        <f t="shared" si="66"/>
        <v>0</v>
      </c>
      <c r="AI167" s="1">
        <f t="shared" si="67"/>
        <v>0</v>
      </c>
      <c r="AJ167" s="1">
        <f t="shared" si="68"/>
        <v>0</v>
      </c>
      <c r="AK167" s="1">
        <f t="shared" si="69"/>
        <v>0</v>
      </c>
      <c r="AL167" s="1">
        <f t="shared" si="70"/>
        <v>0</v>
      </c>
      <c r="AM167" s="1">
        <f t="shared" si="71"/>
        <v>0</v>
      </c>
      <c r="AN167" s="1">
        <f t="shared" si="72"/>
        <v>0</v>
      </c>
      <c r="AO167" s="1">
        <f t="shared" si="73"/>
        <v>0</v>
      </c>
      <c r="AP167" s="1">
        <f t="shared" si="74"/>
        <v>0</v>
      </c>
      <c r="AQ167" s="1">
        <f t="shared" si="75"/>
        <v>0</v>
      </c>
      <c r="AR167" s="1">
        <f t="shared" si="76"/>
        <v>0</v>
      </c>
      <c r="AS167" s="1">
        <f t="shared" si="77"/>
        <v>0</v>
      </c>
      <c r="AT167" s="1">
        <f t="shared" si="78"/>
        <v>0</v>
      </c>
      <c r="AU167" s="1">
        <f t="shared" si="79"/>
        <v>0</v>
      </c>
      <c r="AY167" s="2" t="s">
        <v>499</v>
      </c>
    </row>
    <row r="168" spans="1:51" ht="22.9" customHeight="1" x14ac:dyDescent="0.3">
      <c r="A168" s="14" t="s">
        <v>325</v>
      </c>
      <c r="B168" s="14" t="s">
        <v>324</v>
      </c>
      <c r="C168" s="16" t="s">
        <v>70</v>
      </c>
      <c r="D168" s="17">
        <v>43.89</v>
      </c>
      <c r="E168" s="17">
        <f>일위대가목록!G28</f>
        <v>0</v>
      </c>
      <c r="F168" s="17">
        <f t="shared" si="45"/>
        <v>0</v>
      </c>
      <c r="G168" s="17">
        <f>일위대가목록!I28</f>
        <v>2229</v>
      </c>
      <c r="H168" s="17">
        <f t="shared" si="46"/>
        <v>97830</v>
      </c>
      <c r="I168" s="17">
        <f>일위대가목록!K28</f>
        <v>0</v>
      </c>
      <c r="J168" s="17">
        <f t="shared" si="47"/>
        <v>0</v>
      </c>
      <c r="K168" s="17">
        <f t="shared" si="48"/>
        <v>2229</v>
      </c>
      <c r="L168" s="17">
        <f t="shared" si="49"/>
        <v>97830</v>
      </c>
      <c r="M168" s="25" t="s">
        <v>557</v>
      </c>
      <c r="O168" s="1" t="str">
        <f>""</f>
        <v/>
      </c>
      <c r="P168" s="2" t="s">
        <v>438</v>
      </c>
      <c r="Q168" s="1">
        <v>1</v>
      </c>
      <c r="R168" s="1">
        <f t="shared" si="50"/>
        <v>0</v>
      </c>
      <c r="S168" s="1">
        <f t="shared" si="51"/>
        <v>0</v>
      </c>
      <c r="T168" s="1">
        <f t="shared" si="52"/>
        <v>0</v>
      </c>
      <c r="U168" s="1">
        <f t="shared" si="53"/>
        <v>0</v>
      </c>
      <c r="V168" s="1">
        <f t="shared" si="54"/>
        <v>0</v>
      </c>
      <c r="W168" s="1">
        <f t="shared" si="55"/>
        <v>0</v>
      </c>
      <c r="X168" s="1">
        <f t="shared" si="56"/>
        <v>0</v>
      </c>
      <c r="Y168" s="1">
        <f t="shared" si="57"/>
        <v>0</v>
      </c>
      <c r="Z168" s="1">
        <f t="shared" si="58"/>
        <v>0</v>
      </c>
      <c r="AA168" s="1">
        <f t="shared" si="59"/>
        <v>0</v>
      </c>
      <c r="AB168" s="1">
        <f t="shared" si="60"/>
        <v>0</v>
      </c>
      <c r="AC168" s="1">
        <f t="shared" si="61"/>
        <v>0</v>
      </c>
      <c r="AD168" s="1">
        <f t="shared" si="62"/>
        <v>0</v>
      </c>
      <c r="AE168" s="1">
        <f t="shared" si="63"/>
        <v>0</v>
      </c>
      <c r="AF168" s="1">
        <f t="shared" si="64"/>
        <v>0</v>
      </c>
      <c r="AG168" s="1">
        <f t="shared" si="65"/>
        <v>0</v>
      </c>
      <c r="AH168" s="1">
        <f t="shared" si="66"/>
        <v>0</v>
      </c>
      <c r="AI168" s="1">
        <f t="shared" si="67"/>
        <v>0</v>
      </c>
      <c r="AJ168" s="1">
        <f t="shared" si="68"/>
        <v>0</v>
      </c>
      <c r="AK168" s="1">
        <f t="shared" si="69"/>
        <v>0</v>
      </c>
      <c r="AL168" s="1">
        <f t="shared" si="70"/>
        <v>0</v>
      </c>
      <c r="AM168" s="1">
        <f t="shared" si="71"/>
        <v>0</v>
      </c>
      <c r="AN168" s="1">
        <f t="shared" si="72"/>
        <v>0</v>
      </c>
      <c r="AO168" s="1">
        <f t="shared" si="73"/>
        <v>0</v>
      </c>
      <c r="AP168" s="1">
        <f t="shared" si="74"/>
        <v>0</v>
      </c>
      <c r="AQ168" s="1">
        <f t="shared" si="75"/>
        <v>0</v>
      </c>
      <c r="AR168" s="1">
        <f t="shared" si="76"/>
        <v>0</v>
      </c>
      <c r="AS168" s="1">
        <f t="shared" si="77"/>
        <v>0</v>
      </c>
      <c r="AT168" s="1">
        <f t="shared" si="78"/>
        <v>0</v>
      </c>
      <c r="AU168" s="1">
        <f t="shared" si="79"/>
        <v>0</v>
      </c>
      <c r="AY168" s="2" t="s">
        <v>499</v>
      </c>
    </row>
    <row r="169" spans="1:51" ht="22.9" customHeight="1" x14ac:dyDescent="0.3">
      <c r="A169" s="14" t="s">
        <v>530</v>
      </c>
      <c r="B169" s="14" t="s">
        <v>262</v>
      </c>
      <c r="C169" s="16" t="s">
        <v>70</v>
      </c>
      <c r="D169" s="17">
        <v>51.15</v>
      </c>
      <c r="E169" s="17">
        <f>일위대가목록!G29</f>
        <v>0</v>
      </c>
      <c r="F169" s="17">
        <f t="shared" si="45"/>
        <v>0</v>
      </c>
      <c r="G169" s="17">
        <f>일위대가목록!I29</f>
        <v>721</v>
      </c>
      <c r="H169" s="17">
        <f t="shared" si="46"/>
        <v>36879</v>
      </c>
      <c r="I169" s="17">
        <f>일위대가목록!K29</f>
        <v>0</v>
      </c>
      <c r="J169" s="17">
        <f t="shared" si="47"/>
        <v>0</v>
      </c>
      <c r="K169" s="17">
        <f t="shared" si="48"/>
        <v>721</v>
      </c>
      <c r="L169" s="17">
        <f t="shared" si="49"/>
        <v>36879</v>
      </c>
      <c r="M169" s="25" t="s">
        <v>546</v>
      </c>
      <c r="O169" s="1" t="str">
        <f>""</f>
        <v/>
      </c>
      <c r="P169" s="2" t="s">
        <v>438</v>
      </c>
      <c r="Q169" s="1">
        <v>1</v>
      </c>
      <c r="R169" s="1">
        <f t="shared" si="50"/>
        <v>0</v>
      </c>
      <c r="S169" s="1">
        <f t="shared" si="51"/>
        <v>0</v>
      </c>
      <c r="T169" s="1">
        <f t="shared" si="52"/>
        <v>0</v>
      </c>
      <c r="U169" s="1">
        <f t="shared" si="53"/>
        <v>0</v>
      </c>
      <c r="V169" s="1">
        <f t="shared" si="54"/>
        <v>0</v>
      </c>
      <c r="W169" s="1">
        <f t="shared" si="55"/>
        <v>0</v>
      </c>
      <c r="X169" s="1">
        <f t="shared" si="56"/>
        <v>0</v>
      </c>
      <c r="Y169" s="1">
        <f t="shared" si="57"/>
        <v>0</v>
      </c>
      <c r="Z169" s="1">
        <f t="shared" si="58"/>
        <v>0</v>
      </c>
      <c r="AA169" s="1">
        <f t="shared" si="59"/>
        <v>0</v>
      </c>
      <c r="AB169" s="1">
        <f t="shared" si="60"/>
        <v>0</v>
      </c>
      <c r="AC169" s="1">
        <f t="shared" si="61"/>
        <v>0</v>
      </c>
      <c r="AD169" s="1">
        <f t="shared" si="62"/>
        <v>0</v>
      </c>
      <c r="AE169" s="1">
        <f t="shared" si="63"/>
        <v>0</v>
      </c>
      <c r="AF169" s="1">
        <f t="shared" si="64"/>
        <v>0</v>
      </c>
      <c r="AG169" s="1">
        <f t="shared" si="65"/>
        <v>0</v>
      </c>
      <c r="AH169" s="1">
        <f t="shared" si="66"/>
        <v>0</v>
      </c>
      <c r="AI169" s="1">
        <f t="shared" si="67"/>
        <v>0</v>
      </c>
      <c r="AJ169" s="1">
        <f t="shared" si="68"/>
        <v>0</v>
      </c>
      <c r="AK169" s="1">
        <f t="shared" si="69"/>
        <v>0</v>
      </c>
      <c r="AL169" s="1">
        <f t="shared" si="70"/>
        <v>0</v>
      </c>
      <c r="AM169" s="1">
        <f t="shared" si="71"/>
        <v>0</v>
      </c>
      <c r="AN169" s="1">
        <f t="shared" si="72"/>
        <v>0</v>
      </c>
      <c r="AO169" s="1">
        <f t="shared" si="73"/>
        <v>0</v>
      </c>
      <c r="AP169" s="1">
        <f t="shared" si="74"/>
        <v>0</v>
      </c>
      <c r="AQ169" s="1">
        <f t="shared" si="75"/>
        <v>0</v>
      </c>
      <c r="AR169" s="1">
        <f t="shared" si="76"/>
        <v>0</v>
      </c>
      <c r="AS169" s="1">
        <f t="shared" si="77"/>
        <v>0</v>
      </c>
      <c r="AT169" s="1">
        <f t="shared" si="78"/>
        <v>0</v>
      </c>
      <c r="AU169" s="1">
        <f t="shared" si="79"/>
        <v>0</v>
      </c>
      <c r="AY169" s="2" t="s">
        <v>499</v>
      </c>
    </row>
    <row r="170" spans="1:51" ht="22.9" customHeight="1" x14ac:dyDescent="0.3">
      <c r="A170" s="14" t="s">
        <v>553</v>
      </c>
      <c r="B170" s="14" t="s">
        <v>572</v>
      </c>
      <c r="C170" s="16" t="s">
        <v>75</v>
      </c>
      <c r="D170" s="17">
        <v>69.650000000000006</v>
      </c>
      <c r="E170" s="17">
        <f>일위대가목록!G30</f>
        <v>9295</v>
      </c>
      <c r="F170" s="17">
        <f t="shared" si="45"/>
        <v>647396</v>
      </c>
      <c r="G170" s="17">
        <f>일위대가목록!I30</f>
        <v>31372</v>
      </c>
      <c r="H170" s="17">
        <f t="shared" si="46"/>
        <v>2185059</v>
      </c>
      <c r="I170" s="17">
        <f>일위대가목록!K30</f>
        <v>12003</v>
      </c>
      <c r="J170" s="17">
        <f t="shared" si="47"/>
        <v>836008</v>
      </c>
      <c r="K170" s="17">
        <f t="shared" si="48"/>
        <v>52670</v>
      </c>
      <c r="L170" s="17">
        <f t="shared" si="49"/>
        <v>3668463</v>
      </c>
      <c r="M170" s="25" t="s">
        <v>562</v>
      </c>
      <c r="O170" s="1" t="str">
        <f>""</f>
        <v/>
      </c>
      <c r="P170" s="2" t="s">
        <v>438</v>
      </c>
      <c r="Q170" s="1">
        <v>1</v>
      </c>
      <c r="R170" s="1">
        <f t="shared" si="50"/>
        <v>836008</v>
      </c>
      <c r="S170" s="1">
        <f t="shared" si="51"/>
        <v>0</v>
      </c>
      <c r="T170" s="1">
        <f t="shared" si="52"/>
        <v>0</v>
      </c>
      <c r="U170" s="1">
        <f t="shared" si="53"/>
        <v>0</v>
      </c>
      <c r="V170" s="1">
        <f t="shared" si="54"/>
        <v>0</v>
      </c>
      <c r="W170" s="1">
        <f t="shared" si="55"/>
        <v>0</v>
      </c>
      <c r="X170" s="1">
        <f t="shared" si="56"/>
        <v>0</v>
      </c>
      <c r="Y170" s="1">
        <f t="shared" si="57"/>
        <v>0</v>
      </c>
      <c r="Z170" s="1">
        <f t="shared" si="58"/>
        <v>0</v>
      </c>
      <c r="AA170" s="1">
        <f t="shared" si="59"/>
        <v>0</v>
      </c>
      <c r="AB170" s="1">
        <f t="shared" si="60"/>
        <v>0</v>
      </c>
      <c r="AC170" s="1">
        <f t="shared" si="61"/>
        <v>0</v>
      </c>
      <c r="AD170" s="1">
        <f t="shared" si="62"/>
        <v>0</v>
      </c>
      <c r="AE170" s="1">
        <f t="shared" si="63"/>
        <v>0</v>
      </c>
      <c r="AF170" s="1">
        <f t="shared" si="64"/>
        <v>0</v>
      </c>
      <c r="AG170" s="1">
        <f t="shared" si="65"/>
        <v>0</v>
      </c>
      <c r="AH170" s="1">
        <f t="shared" si="66"/>
        <v>0</v>
      </c>
      <c r="AI170" s="1">
        <f t="shared" si="67"/>
        <v>0</v>
      </c>
      <c r="AJ170" s="1">
        <f t="shared" si="68"/>
        <v>0</v>
      </c>
      <c r="AK170" s="1">
        <f t="shared" si="69"/>
        <v>0</v>
      </c>
      <c r="AL170" s="1">
        <f t="shared" si="70"/>
        <v>0</v>
      </c>
      <c r="AM170" s="1">
        <f t="shared" si="71"/>
        <v>0</v>
      </c>
      <c r="AN170" s="1">
        <f t="shared" si="72"/>
        <v>0</v>
      </c>
      <c r="AO170" s="1">
        <f t="shared" si="73"/>
        <v>0</v>
      </c>
      <c r="AP170" s="1">
        <f t="shared" si="74"/>
        <v>0</v>
      </c>
      <c r="AQ170" s="1">
        <f t="shared" si="75"/>
        <v>0</v>
      </c>
      <c r="AR170" s="1">
        <f t="shared" si="76"/>
        <v>0</v>
      </c>
      <c r="AS170" s="1">
        <f t="shared" si="77"/>
        <v>0</v>
      </c>
      <c r="AT170" s="1">
        <f t="shared" si="78"/>
        <v>0</v>
      </c>
      <c r="AU170" s="1">
        <f t="shared" si="79"/>
        <v>0</v>
      </c>
      <c r="AY170" s="2" t="s">
        <v>499</v>
      </c>
    </row>
    <row r="171" spans="1:51" ht="22.9" customHeight="1" x14ac:dyDescent="0.3">
      <c r="A171" s="14" t="s">
        <v>242</v>
      </c>
      <c r="B171" s="14" t="s">
        <v>563</v>
      </c>
      <c r="C171" s="16" t="s">
        <v>75</v>
      </c>
      <c r="D171" s="17">
        <v>33.36</v>
      </c>
      <c r="E171" s="17">
        <f>일위대가목록!G31</f>
        <v>12166</v>
      </c>
      <c r="F171" s="17">
        <f t="shared" si="45"/>
        <v>405857</v>
      </c>
      <c r="G171" s="17">
        <f>일위대가목록!I31</f>
        <v>41136</v>
      </c>
      <c r="H171" s="17">
        <f t="shared" si="46"/>
        <v>1372296</v>
      </c>
      <c r="I171" s="17">
        <f>일위대가목록!K31</f>
        <v>13588</v>
      </c>
      <c r="J171" s="17">
        <f t="shared" si="47"/>
        <v>453295</v>
      </c>
      <c r="K171" s="17">
        <f t="shared" si="48"/>
        <v>66890</v>
      </c>
      <c r="L171" s="17">
        <f t="shared" si="49"/>
        <v>2231448</v>
      </c>
      <c r="M171" s="25" t="s">
        <v>576</v>
      </c>
      <c r="O171" s="1" t="str">
        <f>""</f>
        <v/>
      </c>
      <c r="P171" s="2" t="s">
        <v>438</v>
      </c>
      <c r="Q171" s="1">
        <v>1</v>
      </c>
      <c r="R171" s="1">
        <f t="shared" si="50"/>
        <v>453295</v>
      </c>
      <c r="S171" s="1">
        <f t="shared" si="51"/>
        <v>0</v>
      </c>
      <c r="T171" s="1">
        <f t="shared" si="52"/>
        <v>0</v>
      </c>
      <c r="U171" s="1">
        <f t="shared" si="53"/>
        <v>0</v>
      </c>
      <c r="V171" s="1">
        <f t="shared" si="54"/>
        <v>0</v>
      </c>
      <c r="W171" s="1">
        <f t="shared" si="55"/>
        <v>0</v>
      </c>
      <c r="X171" s="1">
        <f t="shared" si="56"/>
        <v>0</v>
      </c>
      <c r="Y171" s="1">
        <f t="shared" si="57"/>
        <v>0</v>
      </c>
      <c r="Z171" s="1">
        <f t="shared" si="58"/>
        <v>0</v>
      </c>
      <c r="AA171" s="1">
        <f t="shared" si="59"/>
        <v>0</v>
      </c>
      <c r="AB171" s="1">
        <f t="shared" si="60"/>
        <v>0</v>
      </c>
      <c r="AC171" s="1">
        <f t="shared" si="61"/>
        <v>0</v>
      </c>
      <c r="AD171" s="1">
        <f t="shared" si="62"/>
        <v>0</v>
      </c>
      <c r="AE171" s="1">
        <f t="shared" si="63"/>
        <v>0</v>
      </c>
      <c r="AF171" s="1">
        <f t="shared" si="64"/>
        <v>0</v>
      </c>
      <c r="AG171" s="1">
        <f t="shared" si="65"/>
        <v>0</v>
      </c>
      <c r="AH171" s="1">
        <f t="shared" si="66"/>
        <v>0</v>
      </c>
      <c r="AI171" s="1">
        <f t="shared" si="67"/>
        <v>0</v>
      </c>
      <c r="AJ171" s="1">
        <f t="shared" si="68"/>
        <v>0</v>
      </c>
      <c r="AK171" s="1">
        <f t="shared" si="69"/>
        <v>0</v>
      </c>
      <c r="AL171" s="1">
        <f t="shared" si="70"/>
        <v>0</v>
      </c>
      <c r="AM171" s="1">
        <f t="shared" si="71"/>
        <v>0</v>
      </c>
      <c r="AN171" s="1">
        <f t="shared" si="72"/>
        <v>0</v>
      </c>
      <c r="AO171" s="1">
        <f t="shared" si="73"/>
        <v>0</v>
      </c>
      <c r="AP171" s="1">
        <f t="shared" si="74"/>
        <v>0</v>
      </c>
      <c r="AQ171" s="1">
        <f t="shared" si="75"/>
        <v>0</v>
      </c>
      <c r="AR171" s="1">
        <f t="shared" si="76"/>
        <v>0</v>
      </c>
      <c r="AS171" s="1">
        <f t="shared" si="77"/>
        <v>0</v>
      </c>
      <c r="AT171" s="1">
        <f t="shared" si="78"/>
        <v>0</v>
      </c>
      <c r="AU171" s="1">
        <f t="shared" si="79"/>
        <v>0</v>
      </c>
    </row>
    <row r="172" spans="1:51" ht="22.9" customHeight="1" x14ac:dyDescent="0.3">
      <c r="A172" s="14" t="s">
        <v>267</v>
      </c>
      <c r="B172" s="14" t="s">
        <v>597</v>
      </c>
      <c r="C172" s="16" t="s">
        <v>67</v>
      </c>
      <c r="D172" s="17">
        <v>6</v>
      </c>
      <c r="E172" s="17">
        <f>일위대가목록!G16</f>
        <v>0</v>
      </c>
      <c r="F172" s="17">
        <f t="shared" si="45"/>
        <v>0</v>
      </c>
      <c r="G172" s="17">
        <f>일위대가목록!I16</f>
        <v>14103</v>
      </c>
      <c r="H172" s="17">
        <f t="shared" si="46"/>
        <v>84618</v>
      </c>
      <c r="I172" s="17">
        <f>일위대가목록!K16</f>
        <v>282</v>
      </c>
      <c r="J172" s="17">
        <f t="shared" si="47"/>
        <v>1692</v>
      </c>
      <c r="K172" s="17">
        <f t="shared" si="48"/>
        <v>14385</v>
      </c>
      <c r="L172" s="17">
        <f t="shared" si="49"/>
        <v>86310</v>
      </c>
      <c r="M172" s="25" t="s">
        <v>529</v>
      </c>
      <c r="O172" s="1" t="str">
        <f>""</f>
        <v/>
      </c>
      <c r="P172" s="2" t="s">
        <v>438</v>
      </c>
      <c r="Q172" s="1">
        <v>1</v>
      </c>
      <c r="R172" s="1">
        <f t="shared" si="50"/>
        <v>1692</v>
      </c>
      <c r="S172" s="1">
        <f t="shared" si="51"/>
        <v>0</v>
      </c>
      <c r="T172" s="1">
        <f t="shared" si="52"/>
        <v>0</v>
      </c>
      <c r="U172" s="1">
        <f t="shared" si="53"/>
        <v>0</v>
      </c>
      <c r="V172" s="1">
        <f t="shared" si="54"/>
        <v>0</v>
      </c>
      <c r="W172" s="1">
        <f t="shared" si="55"/>
        <v>0</v>
      </c>
      <c r="X172" s="1">
        <f t="shared" si="56"/>
        <v>0</v>
      </c>
      <c r="Y172" s="1">
        <f t="shared" si="57"/>
        <v>0</v>
      </c>
      <c r="Z172" s="1">
        <f t="shared" si="58"/>
        <v>0</v>
      </c>
      <c r="AA172" s="1">
        <f t="shared" si="59"/>
        <v>0</v>
      </c>
      <c r="AB172" s="1">
        <f t="shared" si="60"/>
        <v>0</v>
      </c>
      <c r="AC172" s="1">
        <f t="shared" si="61"/>
        <v>0</v>
      </c>
      <c r="AD172" s="1">
        <f t="shared" si="62"/>
        <v>0</v>
      </c>
      <c r="AE172" s="1">
        <f t="shared" si="63"/>
        <v>0</v>
      </c>
      <c r="AF172" s="1">
        <f t="shared" si="64"/>
        <v>0</v>
      </c>
      <c r="AG172" s="1">
        <f t="shared" si="65"/>
        <v>0</v>
      </c>
      <c r="AH172" s="1">
        <f t="shared" si="66"/>
        <v>0</v>
      </c>
      <c r="AI172" s="1">
        <f t="shared" si="67"/>
        <v>0</v>
      </c>
      <c r="AJ172" s="1">
        <f t="shared" si="68"/>
        <v>0</v>
      </c>
      <c r="AK172" s="1">
        <f t="shared" si="69"/>
        <v>0</v>
      </c>
      <c r="AL172" s="1">
        <f t="shared" si="70"/>
        <v>0</v>
      </c>
      <c r="AM172" s="1">
        <f t="shared" si="71"/>
        <v>0</v>
      </c>
      <c r="AN172" s="1">
        <f t="shared" si="72"/>
        <v>0</v>
      </c>
      <c r="AO172" s="1">
        <f t="shared" si="73"/>
        <v>0</v>
      </c>
      <c r="AP172" s="1">
        <f t="shared" si="74"/>
        <v>0</v>
      </c>
      <c r="AQ172" s="1">
        <f t="shared" si="75"/>
        <v>0</v>
      </c>
      <c r="AR172" s="1">
        <f t="shared" si="76"/>
        <v>0</v>
      </c>
      <c r="AS172" s="1">
        <f t="shared" si="77"/>
        <v>0</v>
      </c>
      <c r="AT172" s="1">
        <f t="shared" si="78"/>
        <v>0</v>
      </c>
      <c r="AU172" s="1">
        <f t="shared" si="79"/>
        <v>0</v>
      </c>
      <c r="AY172" s="2" t="s">
        <v>499</v>
      </c>
    </row>
    <row r="173" spans="1:51" ht="22.9" customHeight="1" x14ac:dyDescent="0.3">
      <c r="A173" s="14" t="s">
        <v>510</v>
      </c>
      <c r="B173" s="14" t="s">
        <v>597</v>
      </c>
      <c r="C173" s="16" t="s">
        <v>67</v>
      </c>
      <c r="D173" s="17">
        <v>7</v>
      </c>
      <c r="E173" s="17">
        <f>일위대가목록!G7</f>
        <v>0</v>
      </c>
      <c r="F173" s="17">
        <f t="shared" si="45"/>
        <v>0</v>
      </c>
      <c r="G173" s="17">
        <f>일위대가목록!I7</f>
        <v>24901</v>
      </c>
      <c r="H173" s="17">
        <f t="shared" si="46"/>
        <v>174307</v>
      </c>
      <c r="I173" s="17">
        <f>일위대가목록!K7</f>
        <v>747</v>
      </c>
      <c r="J173" s="17">
        <f t="shared" si="47"/>
        <v>5229</v>
      </c>
      <c r="K173" s="17">
        <f t="shared" si="48"/>
        <v>25648</v>
      </c>
      <c r="L173" s="17">
        <f t="shared" si="49"/>
        <v>179536</v>
      </c>
      <c r="M173" s="25" t="s">
        <v>486</v>
      </c>
      <c r="O173" s="1" t="str">
        <f>""</f>
        <v/>
      </c>
      <c r="P173" s="2" t="s">
        <v>438</v>
      </c>
      <c r="Q173" s="1">
        <v>1</v>
      </c>
      <c r="R173" s="1">
        <f t="shared" si="50"/>
        <v>5229</v>
      </c>
      <c r="S173" s="1">
        <f t="shared" si="51"/>
        <v>0</v>
      </c>
      <c r="T173" s="1">
        <f t="shared" si="52"/>
        <v>0</v>
      </c>
      <c r="U173" s="1">
        <f t="shared" si="53"/>
        <v>0</v>
      </c>
      <c r="V173" s="1">
        <f t="shared" si="54"/>
        <v>0</v>
      </c>
      <c r="W173" s="1">
        <f t="shared" si="55"/>
        <v>0</v>
      </c>
      <c r="X173" s="1">
        <f t="shared" si="56"/>
        <v>0</v>
      </c>
      <c r="Y173" s="1">
        <f t="shared" si="57"/>
        <v>0</v>
      </c>
      <c r="Z173" s="1">
        <f t="shared" si="58"/>
        <v>0</v>
      </c>
      <c r="AA173" s="1">
        <f t="shared" si="59"/>
        <v>0</v>
      </c>
      <c r="AB173" s="1">
        <f t="shared" si="60"/>
        <v>0</v>
      </c>
      <c r="AC173" s="1">
        <f t="shared" si="61"/>
        <v>0</v>
      </c>
      <c r="AD173" s="1">
        <f t="shared" si="62"/>
        <v>0</v>
      </c>
      <c r="AE173" s="1">
        <f t="shared" si="63"/>
        <v>0</v>
      </c>
      <c r="AF173" s="1">
        <f t="shared" si="64"/>
        <v>0</v>
      </c>
      <c r="AG173" s="1">
        <f t="shared" si="65"/>
        <v>0</v>
      </c>
      <c r="AH173" s="1">
        <f t="shared" si="66"/>
        <v>0</v>
      </c>
      <c r="AI173" s="1">
        <f t="shared" si="67"/>
        <v>0</v>
      </c>
      <c r="AJ173" s="1">
        <f t="shared" si="68"/>
        <v>0</v>
      </c>
      <c r="AK173" s="1">
        <f t="shared" si="69"/>
        <v>0</v>
      </c>
      <c r="AL173" s="1">
        <f t="shared" si="70"/>
        <v>0</v>
      </c>
      <c r="AM173" s="1">
        <f t="shared" si="71"/>
        <v>0</v>
      </c>
      <c r="AN173" s="1">
        <f t="shared" si="72"/>
        <v>0</v>
      </c>
      <c r="AO173" s="1">
        <f t="shared" si="73"/>
        <v>0</v>
      </c>
      <c r="AP173" s="1">
        <f t="shared" si="74"/>
        <v>0</v>
      </c>
      <c r="AQ173" s="1">
        <f t="shared" si="75"/>
        <v>0</v>
      </c>
      <c r="AR173" s="1">
        <f t="shared" si="76"/>
        <v>0</v>
      </c>
      <c r="AS173" s="1">
        <f t="shared" si="77"/>
        <v>0</v>
      </c>
      <c r="AT173" s="1">
        <f t="shared" si="78"/>
        <v>0</v>
      </c>
      <c r="AU173" s="1">
        <f t="shared" si="79"/>
        <v>0</v>
      </c>
      <c r="AY173" s="2" t="s">
        <v>499</v>
      </c>
    </row>
    <row r="174" spans="1:51" ht="22.9" customHeight="1" x14ac:dyDescent="0.3">
      <c r="A174" s="14" t="s">
        <v>519</v>
      </c>
      <c r="B174" s="14" t="s">
        <v>597</v>
      </c>
      <c r="C174" s="16" t="s">
        <v>67</v>
      </c>
      <c r="D174" s="17">
        <v>2</v>
      </c>
      <c r="E174" s="17">
        <f>일위대가목록!G15</f>
        <v>0</v>
      </c>
      <c r="F174" s="17">
        <f t="shared" si="45"/>
        <v>0</v>
      </c>
      <c r="G174" s="17">
        <f>일위대가목록!I15</f>
        <v>17676</v>
      </c>
      <c r="H174" s="17">
        <f t="shared" si="46"/>
        <v>35352</v>
      </c>
      <c r="I174" s="17">
        <f>일위대가목록!K15</f>
        <v>530</v>
      </c>
      <c r="J174" s="17">
        <f t="shared" si="47"/>
        <v>1060</v>
      </c>
      <c r="K174" s="17">
        <f t="shared" si="48"/>
        <v>18206</v>
      </c>
      <c r="L174" s="17">
        <f t="shared" si="49"/>
        <v>36412</v>
      </c>
      <c r="M174" s="25" t="s">
        <v>515</v>
      </c>
      <c r="O174" s="1" t="str">
        <f>""</f>
        <v/>
      </c>
      <c r="P174" s="2" t="s">
        <v>438</v>
      </c>
      <c r="Q174" s="1">
        <v>1</v>
      </c>
      <c r="R174" s="1">
        <f t="shared" si="50"/>
        <v>1060</v>
      </c>
      <c r="S174" s="1">
        <f t="shared" si="51"/>
        <v>0</v>
      </c>
      <c r="T174" s="1">
        <f t="shared" si="52"/>
        <v>0</v>
      </c>
      <c r="U174" s="1">
        <f t="shared" si="53"/>
        <v>0</v>
      </c>
      <c r="V174" s="1">
        <f t="shared" si="54"/>
        <v>0</v>
      </c>
      <c r="W174" s="1">
        <f t="shared" si="55"/>
        <v>0</v>
      </c>
      <c r="X174" s="1">
        <f t="shared" si="56"/>
        <v>0</v>
      </c>
      <c r="Y174" s="1">
        <f t="shared" si="57"/>
        <v>0</v>
      </c>
      <c r="Z174" s="1">
        <f t="shared" si="58"/>
        <v>0</v>
      </c>
      <c r="AA174" s="1">
        <f t="shared" si="59"/>
        <v>0</v>
      </c>
      <c r="AB174" s="1">
        <f t="shared" si="60"/>
        <v>0</v>
      </c>
      <c r="AC174" s="1">
        <f t="shared" si="61"/>
        <v>0</v>
      </c>
      <c r="AD174" s="1">
        <f t="shared" si="62"/>
        <v>0</v>
      </c>
      <c r="AE174" s="1">
        <f t="shared" si="63"/>
        <v>0</v>
      </c>
      <c r="AF174" s="1">
        <f t="shared" si="64"/>
        <v>0</v>
      </c>
      <c r="AG174" s="1">
        <f t="shared" si="65"/>
        <v>0</v>
      </c>
      <c r="AH174" s="1">
        <f t="shared" si="66"/>
        <v>0</v>
      </c>
      <c r="AI174" s="1">
        <f t="shared" si="67"/>
        <v>0</v>
      </c>
      <c r="AJ174" s="1">
        <f t="shared" si="68"/>
        <v>0</v>
      </c>
      <c r="AK174" s="1">
        <f t="shared" si="69"/>
        <v>0</v>
      </c>
      <c r="AL174" s="1">
        <f t="shared" si="70"/>
        <v>0</v>
      </c>
      <c r="AM174" s="1">
        <f t="shared" si="71"/>
        <v>0</v>
      </c>
      <c r="AN174" s="1">
        <f t="shared" si="72"/>
        <v>0</v>
      </c>
      <c r="AO174" s="1">
        <f t="shared" si="73"/>
        <v>0</v>
      </c>
      <c r="AP174" s="1">
        <f t="shared" si="74"/>
        <v>0</v>
      </c>
      <c r="AQ174" s="1">
        <f t="shared" si="75"/>
        <v>0</v>
      </c>
      <c r="AR174" s="1">
        <f t="shared" si="76"/>
        <v>0</v>
      </c>
      <c r="AS174" s="1">
        <f t="shared" si="77"/>
        <v>0</v>
      </c>
      <c r="AT174" s="1">
        <f t="shared" si="78"/>
        <v>0</v>
      </c>
      <c r="AU174" s="1">
        <f t="shared" si="79"/>
        <v>0</v>
      </c>
      <c r="AY174" s="2" t="s">
        <v>499</v>
      </c>
    </row>
    <row r="175" spans="1:51" ht="22.9" customHeight="1" x14ac:dyDescent="0.3">
      <c r="A175" s="15"/>
      <c r="B175" s="15"/>
      <c r="C175" s="22"/>
      <c r="D175" s="17"/>
      <c r="E175" s="17"/>
      <c r="F175" s="17"/>
      <c r="G175" s="17"/>
      <c r="H175" s="17"/>
      <c r="I175" s="17"/>
      <c r="J175" s="17"/>
      <c r="K175" s="17"/>
      <c r="L175" s="17"/>
      <c r="M175" s="17"/>
    </row>
    <row r="176" spans="1:51" ht="22.9" customHeight="1" x14ac:dyDescent="0.3">
      <c r="A176" s="15"/>
      <c r="B176" s="15"/>
      <c r="C176" s="22"/>
      <c r="D176" s="17"/>
      <c r="E176" s="17"/>
      <c r="F176" s="17"/>
      <c r="G176" s="17"/>
      <c r="H176" s="17"/>
      <c r="I176" s="17"/>
      <c r="J176" s="17"/>
      <c r="K176" s="17"/>
      <c r="L176" s="17"/>
      <c r="M176" s="17"/>
    </row>
    <row r="177" spans="1:51" ht="22.9" customHeight="1" x14ac:dyDescent="0.3">
      <c r="A177" s="15"/>
      <c r="B177" s="15"/>
      <c r="C177" s="22"/>
      <c r="D177" s="17"/>
      <c r="E177" s="17"/>
      <c r="F177" s="17"/>
      <c r="G177" s="17"/>
      <c r="H177" s="17"/>
      <c r="I177" s="17"/>
      <c r="J177" s="17"/>
      <c r="K177" s="17"/>
      <c r="L177" s="17"/>
      <c r="M177" s="17"/>
    </row>
    <row r="178" spans="1:51" ht="22.9" customHeight="1" x14ac:dyDescent="0.3">
      <c r="A178" s="15"/>
      <c r="B178" s="15"/>
      <c r="C178" s="22"/>
      <c r="D178" s="17"/>
      <c r="E178" s="17"/>
      <c r="F178" s="17"/>
      <c r="G178" s="17"/>
      <c r="H178" s="17"/>
      <c r="I178" s="17"/>
      <c r="J178" s="17"/>
      <c r="K178" s="17"/>
      <c r="L178" s="17"/>
      <c r="M178" s="17"/>
    </row>
    <row r="179" spans="1:51" ht="22.9" customHeight="1" x14ac:dyDescent="0.3">
      <c r="A179" s="15"/>
      <c r="B179" s="15"/>
      <c r="C179" s="22"/>
      <c r="D179" s="17"/>
      <c r="E179" s="17"/>
      <c r="F179" s="17"/>
      <c r="G179" s="17"/>
      <c r="H179" s="17"/>
      <c r="I179" s="17"/>
      <c r="J179" s="17"/>
      <c r="K179" s="17"/>
      <c r="L179" s="17"/>
      <c r="M179" s="17"/>
    </row>
    <row r="180" spans="1:51" ht="22.9" customHeight="1" x14ac:dyDescent="0.3">
      <c r="A180" s="18" t="s">
        <v>439</v>
      </c>
      <c r="B180" s="19"/>
      <c r="C180" s="20"/>
      <c r="D180" s="21"/>
      <c r="E180" s="21"/>
      <c r="F180" s="21">
        <f>ROUNDDOWN(SUMIF(Q150:Q179,"1",F150:F179),0)</f>
        <v>1091818</v>
      </c>
      <c r="G180" s="21"/>
      <c r="H180" s="21">
        <f>ROUNDDOWN(SUMIF(Q150:Q179,"1",H150:H179),0)</f>
        <v>10862301</v>
      </c>
      <c r="I180" s="21"/>
      <c r="J180" s="21">
        <f>ROUNDDOWN(SUMIF(Q150:Q179,"1",J150:J179),0)</f>
        <v>1358615</v>
      </c>
      <c r="K180" s="21"/>
      <c r="L180" s="21">
        <f>F180+H180+J180</f>
        <v>13312734</v>
      </c>
      <c r="M180" s="21"/>
      <c r="R180" s="1">
        <f t="shared" ref="R180:AY180" si="80">ROUNDDOWN(SUM(R150:R174),0)</f>
        <v>1358615</v>
      </c>
      <c r="S180" s="1">
        <f t="shared" si="80"/>
        <v>0</v>
      </c>
      <c r="T180" s="1">
        <f t="shared" si="80"/>
        <v>0</v>
      </c>
      <c r="U180" s="1">
        <f t="shared" si="80"/>
        <v>0</v>
      </c>
      <c r="V180" s="1">
        <f t="shared" si="80"/>
        <v>0</v>
      </c>
      <c r="W180" s="1">
        <f t="shared" si="80"/>
        <v>0</v>
      </c>
      <c r="X180" s="1">
        <f t="shared" si="80"/>
        <v>0</v>
      </c>
      <c r="Y180" s="1">
        <f t="shared" si="80"/>
        <v>0</v>
      </c>
      <c r="Z180" s="1">
        <f t="shared" si="80"/>
        <v>0</v>
      </c>
      <c r="AA180" s="1">
        <f t="shared" si="80"/>
        <v>0</v>
      </c>
      <c r="AB180" s="1">
        <f t="shared" si="80"/>
        <v>0</v>
      </c>
      <c r="AC180" s="1">
        <f t="shared" si="80"/>
        <v>0</v>
      </c>
      <c r="AD180" s="1">
        <f t="shared" si="80"/>
        <v>0</v>
      </c>
      <c r="AE180" s="1">
        <f t="shared" si="80"/>
        <v>0</v>
      </c>
      <c r="AF180" s="1">
        <f t="shared" si="80"/>
        <v>0</v>
      </c>
      <c r="AG180" s="1">
        <f t="shared" si="80"/>
        <v>0</v>
      </c>
      <c r="AH180" s="1">
        <f t="shared" si="80"/>
        <v>0</v>
      </c>
      <c r="AI180" s="1">
        <f t="shared" si="80"/>
        <v>0</v>
      </c>
      <c r="AJ180" s="1">
        <f t="shared" si="80"/>
        <v>0</v>
      </c>
      <c r="AK180" s="1">
        <f t="shared" si="80"/>
        <v>0</v>
      </c>
      <c r="AL180" s="1">
        <f t="shared" si="80"/>
        <v>0</v>
      </c>
      <c r="AM180" s="1">
        <f t="shared" si="80"/>
        <v>0</v>
      </c>
      <c r="AN180" s="1">
        <f t="shared" si="80"/>
        <v>0</v>
      </c>
      <c r="AO180" s="1">
        <f t="shared" si="80"/>
        <v>0</v>
      </c>
      <c r="AP180" s="1">
        <f t="shared" si="80"/>
        <v>0</v>
      </c>
      <c r="AQ180" s="1">
        <f t="shared" si="80"/>
        <v>0</v>
      </c>
      <c r="AR180" s="1">
        <f t="shared" si="80"/>
        <v>0</v>
      </c>
      <c r="AS180" s="1">
        <f t="shared" si="80"/>
        <v>0</v>
      </c>
      <c r="AT180" s="1">
        <f t="shared" si="80"/>
        <v>0</v>
      </c>
      <c r="AU180" s="1">
        <f t="shared" si="80"/>
        <v>0</v>
      </c>
      <c r="AV180" s="1">
        <f t="shared" si="80"/>
        <v>0</v>
      </c>
      <c r="AW180" s="1">
        <f t="shared" si="80"/>
        <v>0</v>
      </c>
      <c r="AX180" s="1">
        <f t="shared" si="80"/>
        <v>0</v>
      </c>
      <c r="AY180" s="1">
        <f t="shared" si="80"/>
        <v>0</v>
      </c>
    </row>
    <row r="181" spans="1:51" ht="22.9" customHeight="1" x14ac:dyDescent="0.3">
      <c r="A181" s="71" t="s">
        <v>168</v>
      </c>
      <c r="B181" s="72"/>
      <c r="C181" s="72"/>
      <c r="D181" s="72"/>
      <c r="E181" s="72"/>
      <c r="F181" s="72"/>
      <c r="G181" s="72"/>
      <c r="H181" s="72"/>
      <c r="I181" s="72"/>
      <c r="J181" s="72"/>
      <c r="K181" s="72"/>
      <c r="L181" s="72"/>
      <c r="M181" s="72"/>
    </row>
    <row r="182" spans="1:51" ht="22.9" customHeight="1" x14ac:dyDescent="0.3">
      <c r="A182" s="14" t="s">
        <v>37</v>
      </c>
      <c r="B182" s="14" t="s">
        <v>206</v>
      </c>
      <c r="C182" s="16" t="s">
        <v>9</v>
      </c>
      <c r="D182" s="17">
        <v>1550.65</v>
      </c>
      <c r="E182" s="17">
        <f>단가대비표!O21</f>
        <v>-361</v>
      </c>
      <c r="F182" s="17">
        <f>ROUNDDOWN(D182*E182,0)</f>
        <v>-559784</v>
      </c>
      <c r="G182" s="17">
        <v>0</v>
      </c>
      <c r="H182" s="17">
        <f>ROUNDDOWN(D182*G182,0)</f>
        <v>0</v>
      </c>
      <c r="I182" s="17">
        <v>0</v>
      </c>
      <c r="J182" s="17">
        <f>ROUNDDOWN(D182*I182,0)</f>
        <v>0</v>
      </c>
      <c r="K182" s="17">
        <f>E182+G182+I182</f>
        <v>-361</v>
      </c>
      <c r="L182" s="17">
        <f>F182+H182+J182</f>
        <v>-559784</v>
      </c>
      <c r="M182" s="25" t="s">
        <v>280</v>
      </c>
      <c r="O182" s="1" t="str">
        <f>"01"</f>
        <v>01</v>
      </c>
      <c r="P182" s="1" t="s">
        <v>336</v>
      </c>
      <c r="Q182" s="1">
        <v>1</v>
      </c>
      <c r="R182" s="1">
        <f>IF(P182="기계경비",J182,0)</f>
        <v>0</v>
      </c>
      <c r="S182" s="1">
        <f>IF(P182="운반비",L182,0)</f>
        <v>0</v>
      </c>
      <c r="T182" s="1">
        <f>IF(P182="작업부산물",F182,0)</f>
        <v>0</v>
      </c>
      <c r="U182" s="1">
        <f>IF(P182="관급",F182,0)</f>
        <v>0</v>
      </c>
      <c r="V182" s="1">
        <f>IF(P182="외주비",J182,0)</f>
        <v>0</v>
      </c>
      <c r="W182" s="1">
        <f>IF(P182="장비비",J182,0)</f>
        <v>0</v>
      </c>
      <c r="X182" s="1">
        <f>IF(P182="폐기물처리비",L182,0)</f>
        <v>0</v>
      </c>
      <c r="Y182" s="1">
        <f>IF(P182="가설비",J182,0)</f>
        <v>0</v>
      </c>
      <c r="Z182" s="1">
        <f>IF(P182="잡비제외분",F182,0)</f>
        <v>0</v>
      </c>
      <c r="AA182" s="1">
        <f>IF(P182="사급자재대",L182,0)</f>
        <v>0</v>
      </c>
      <c r="AB182" s="1">
        <f>IF(P182="관급자재대",L182,0)</f>
        <v>0</v>
      </c>
      <c r="AC182" s="1">
        <f>IF(P182="사용자항목1",L182,0)</f>
        <v>0</v>
      </c>
      <c r="AD182" s="1">
        <f>IF(P182="사용자항목2",L182,0)</f>
        <v>0</v>
      </c>
      <c r="AE182" s="1">
        <f>IF(P182="안전관리비",L182,0)</f>
        <v>0</v>
      </c>
      <c r="AF182" s="1">
        <f>IF(P182="품질관리비",L182,0)</f>
        <v>0</v>
      </c>
      <c r="AG182" s="1">
        <f>IF(P182="작업부산물(철거해체)",L182,0)</f>
        <v>-559784</v>
      </c>
      <c r="AH182" s="1">
        <f>IF(P182="재해예방기술지도비",L182,0)</f>
        <v>0</v>
      </c>
      <c r="AI182" s="1">
        <f>IF(P182="사용자항목7",L182,0)</f>
        <v>0</v>
      </c>
      <c r="AJ182" s="1">
        <f>IF(P182="석면분담금",L182,0)</f>
        <v>0</v>
      </c>
      <c r="AK182" s="1">
        <f>IF(P182="임금채권분담금",L182,0)</f>
        <v>0</v>
      </c>
      <c r="AL182" s="1">
        <f>IF(P182="사용자항목10",L182,0)</f>
        <v>0</v>
      </c>
      <c r="AM182" s="1">
        <f>IF(P182="사용자항목11",L182,0)</f>
        <v>0</v>
      </c>
      <c r="AN182" s="1">
        <f>IF(P182="사용자항목12",L182,0)</f>
        <v>0</v>
      </c>
      <c r="AO182" s="1">
        <f>IF(P182="사용자항목13",L182,0)</f>
        <v>0</v>
      </c>
      <c r="AP182" s="1">
        <f>IF(P182="사용자항목14",L182,0)</f>
        <v>0</v>
      </c>
      <c r="AQ182" s="1">
        <f>IF(P182="사용자항목15",L182,0)</f>
        <v>0</v>
      </c>
      <c r="AR182" s="1">
        <f>IF(P182="사용자항목16",L182,0)</f>
        <v>0</v>
      </c>
      <c r="AS182" s="1">
        <f>IF(P182="사용자항목17",L182,0)</f>
        <v>0</v>
      </c>
      <c r="AT182" s="1">
        <f>IF(P182="사용자항목18",L182,0)</f>
        <v>0</v>
      </c>
      <c r="AU182" s="1">
        <f>IF(P182="사용자항목19",L182,0)</f>
        <v>0</v>
      </c>
    </row>
    <row r="183" spans="1:51" ht="22.9" customHeight="1" x14ac:dyDescent="0.3">
      <c r="A183" s="14" t="s">
        <v>37</v>
      </c>
      <c r="B183" s="14" t="s">
        <v>161</v>
      </c>
      <c r="C183" s="16" t="s">
        <v>9</v>
      </c>
      <c r="D183" s="17">
        <v>59.5</v>
      </c>
      <c r="E183" s="17">
        <f>단가대비표!O22</f>
        <v>-4000</v>
      </c>
      <c r="F183" s="17">
        <f>ROUNDDOWN(D183*E183,0)</f>
        <v>-238000</v>
      </c>
      <c r="G183" s="17">
        <v>0</v>
      </c>
      <c r="H183" s="17">
        <f>ROUNDDOWN(D183*G183,0)</f>
        <v>0</v>
      </c>
      <c r="I183" s="17">
        <v>0</v>
      </c>
      <c r="J183" s="17">
        <f>ROUNDDOWN(D183*I183,0)</f>
        <v>0</v>
      </c>
      <c r="K183" s="17">
        <f>E183+G183+I183</f>
        <v>-4000</v>
      </c>
      <c r="L183" s="17">
        <f>F183+H183+J183</f>
        <v>-238000</v>
      </c>
      <c r="M183" s="25" t="s">
        <v>49</v>
      </c>
      <c r="O183" s="1" t="str">
        <f>"01"</f>
        <v>01</v>
      </c>
      <c r="P183" s="1" t="s">
        <v>336</v>
      </c>
      <c r="Q183" s="1">
        <v>1</v>
      </c>
      <c r="R183" s="1">
        <f>IF(P183="기계경비",J183,0)</f>
        <v>0</v>
      </c>
      <c r="S183" s="1">
        <f>IF(P183="운반비",L183,0)</f>
        <v>0</v>
      </c>
      <c r="T183" s="1">
        <f>IF(P183="작업부산물",F183,0)</f>
        <v>0</v>
      </c>
      <c r="U183" s="1">
        <f>IF(P183="관급",F183,0)</f>
        <v>0</v>
      </c>
      <c r="V183" s="1">
        <f>IF(P183="외주비",J183,0)</f>
        <v>0</v>
      </c>
      <c r="W183" s="1">
        <f>IF(P183="장비비",J183,0)</f>
        <v>0</v>
      </c>
      <c r="X183" s="1">
        <f>IF(P183="폐기물처리비",L183,0)</f>
        <v>0</v>
      </c>
      <c r="Y183" s="1">
        <f>IF(P183="가설비",J183,0)</f>
        <v>0</v>
      </c>
      <c r="Z183" s="1">
        <f>IF(P183="잡비제외분",F183,0)</f>
        <v>0</v>
      </c>
      <c r="AA183" s="1">
        <f>IF(P183="사급자재대",L183,0)</f>
        <v>0</v>
      </c>
      <c r="AB183" s="1">
        <f>IF(P183="관급자재대",L183,0)</f>
        <v>0</v>
      </c>
      <c r="AC183" s="1">
        <f>IF(P183="사용자항목1",L183,0)</f>
        <v>0</v>
      </c>
      <c r="AD183" s="1">
        <f>IF(P183="사용자항목2",L183,0)</f>
        <v>0</v>
      </c>
      <c r="AE183" s="1">
        <f>IF(P183="안전관리비",L183,0)</f>
        <v>0</v>
      </c>
      <c r="AF183" s="1">
        <f>IF(P183="품질관리비",L183,0)</f>
        <v>0</v>
      </c>
      <c r="AG183" s="1">
        <f>IF(P183="작업부산물(철거해체)",L183,0)</f>
        <v>-238000</v>
      </c>
      <c r="AH183" s="1">
        <f>IF(P183="재해예방기술지도비",L183,0)</f>
        <v>0</v>
      </c>
      <c r="AI183" s="1">
        <f>IF(P183="사용자항목7",L183,0)</f>
        <v>0</v>
      </c>
      <c r="AJ183" s="1">
        <f>IF(P183="석면분담금",L183,0)</f>
        <v>0</v>
      </c>
      <c r="AK183" s="1">
        <f>IF(P183="임금채권분담금",L183,0)</f>
        <v>0</v>
      </c>
      <c r="AL183" s="1">
        <f>IF(P183="사용자항목10",L183,0)</f>
        <v>0</v>
      </c>
      <c r="AM183" s="1">
        <f>IF(P183="사용자항목11",L183,0)</f>
        <v>0</v>
      </c>
      <c r="AN183" s="1">
        <f>IF(P183="사용자항목12",L183,0)</f>
        <v>0</v>
      </c>
      <c r="AO183" s="1">
        <f>IF(P183="사용자항목13",L183,0)</f>
        <v>0</v>
      </c>
      <c r="AP183" s="1">
        <f>IF(P183="사용자항목14",L183,0)</f>
        <v>0</v>
      </c>
      <c r="AQ183" s="1">
        <f>IF(P183="사용자항목15",L183,0)</f>
        <v>0</v>
      </c>
      <c r="AR183" s="1">
        <f>IF(P183="사용자항목16",L183,0)</f>
        <v>0</v>
      </c>
      <c r="AS183" s="1">
        <f>IF(P183="사용자항목17",L183,0)</f>
        <v>0</v>
      </c>
      <c r="AT183" s="1">
        <f>IF(P183="사용자항목18",L183,0)</f>
        <v>0</v>
      </c>
      <c r="AU183" s="1">
        <f>IF(P183="사용자항목19",L183,0)</f>
        <v>0</v>
      </c>
    </row>
    <row r="184" spans="1:51" ht="22.9" customHeight="1" x14ac:dyDescent="0.3">
      <c r="A184" s="15"/>
      <c r="B184" s="15"/>
      <c r="C184" s="22"/>
      <c r="D184" s="17"/>
      <c r="E184" s="17"/>
      <c r="F184" s="17"/>
      <c r="G184" s="17"/>
      <c r="H184" s="17"/>
      <c r="I184" s="17"/>
      <c r="J184" s="17"/>
      <c r="K184" s="17"/>
      <c r="L184" s="17"/>
      <c r="M184" s="17"/>
    </row>
    <row r="185" spans="1:51" ht="22.9" customHeight="1" x14ac:dyDescent="0.3">
      <c r="A185" s="15"/>
      <c r="B185" s="15"/>
      <c r="C185" s="22"/>
      <c r="D185" s="17"/>
      <c r="E185" s="17"/>
      <c r="F185" s="17"/>
      <c r="G185" s="17"/>
      <c r="H185" s="17"/>
      <c r="I185" s="17"/>
      <c r="J185" s="17"/>
      <c r="K185" s="17"/>
      <c r="L185" s="17"/>
      <c r="M185" s="17"/>
    </row>
    <row r="186" spans="1:51" ht="22.9" customHeight="1" x14ac:dyDescent="0.3">
      <c r="A186" s="15"/>
      <c r="B186" s="15"/>
      <c r="C186" s="22"/>
      <c r="D186" s="17"/>
      <c r="E186" s="17"/>
      <c r="F186" s="17"/>
      <c r="G186" s="17"/>
      <c r="H186" s="17"/>
      <c r="I186" s="17"/>
      <c r="J186" s="17"/>
      <c r="K186" s="17"/>
      <c r="L186" s="17"/>
      <c r="M186" s="17"/>
    </row>
    <row r="187" spans="1:51" ht="22.9" customHeight="1" x14ac:dyDescent="0.3">
      <c r="A187" s="15"/>
      <c r="B187" s="15"/>
      <c r="C187" s="22"/>
      <c r="D187" s="17"/>
      <c r="E187" s="17"/>
      <c r="F187" s="17"/>
      <c r="G187" s="17"/>
      <c r="H187" s="17"/>
      <c r="I187" s="17"/>
      <c r="J187" s="17"/>
      <c r="K187" s="17"/>
      <c r="L187" s="17"/>
      <c r="M187" s="17"/>
    </row>
    <row r="188" spans="1:51" ht="22.9" customHeight="1" x14ac:dyDescent="0.3">
      <c r="A188" s="15"/>
      <c r="B188" s="15"/>
      <c r="C188" s="22"/>
      <c r="D188" s="17"/>
      <c r="E188" s="17"/>
      <c r="F188" s="17"/>
      <c r="G188" s="17"/>
      <c r="H188" s="17"/>
      <c r="I188" s="17"/>
      <c r="J188" s="17"/>
      <c r="K188" s="17"/>
      <c r="L188" s="17"/>
      <c r="M188" s="17"/>
    </row>
    <row r="189" spans="1:51" ht="22.9" customHeight="1" x14ac:dyDescent="0.3">
      <c r="A189" s="15"/>
      <c r="B189" s="15"/>
      <c r="C189" s="22"/>
      <c r="D189" s="17"/>
      <c r="E189" s="17"/>
      <c r="F189" s="17"/>
      <c r="G189" s="17"/>
      <c r="H189" s="17"/>
      <c r="I189" s="17"/>
      <c r="J189" s="17"/>
      <c r="K189" s="17"/>
      <c r="L189" s="17"/>
      <c r="M189" s="17"/>
    </row>
    <row r="190" spans="1:51" ht="22.9" customHeight="1" x14ac:dyDescent="0.3">
      <c r="A190" s="15"/>
      <c r="B190" s="15"/>
      <c r="C190" s="22"/>
      <c r="D190" s="17"/>
      <c r="E190" s="17"/>
      <c r="F190" s="17"/>
      <c r="G190" s="17"/>
      <c r="H190" s="17"/>
      <c r="I190" s="17"/>
      <c r="J190" s="17"/>
      <c r="K190" s="17"/>
      <c r="L190" s="17"/>
      <c r="M190" s="17"/>
    </row>
    <row r="191" spans="1:51" ht="22.9" customHeight="1" x14ac:dyDescent="0.3">
      <c r="A191" s="15"/>
      <c r="B191" s="15"/>
      <c r="C191" s="22"/>
      <c r="D191" s="17"/>
      <c r="E191" s="17"/>
      <c r="F191" s="17"/>
      <c r="G191" s="17"/>
      <c r="H191" s="17"/>
      <c r="I191" s="17"/>
      <c r="J191" s="17"/>
      <c r="K191" s="17"/>
      <c r="L191" s="17"/>
      <c r="M191" s="17"/>
    </row>
    <row r="192" spans="1:51" ht="22.9" customHeight="1" x14ac:dyDescent="0.3">
      <c r="A192" s="15"/>
      <c r="B192" s="15"/>
      <c r="C192" s="22"/>
      <c r="D192" s="17"/>
      <c r="E192" s="17"/>
      <c r="F192" s="17"/>
      <c r="G192" s="17"/>
      <c r="H192" s="17"/>
      <c r="I192" s="17"/>
      <c r="J192" s="17"/>
      <c r="K192" s="17"/>
      <c r="L192" s="17"/>
      <c r="M192" s="17"/>
    </row>
    <row r="193" spans="1:51" ht="22.9" customHeight="1" x14ac:dyDescent="0.3">
      <c r="A193" s="15"/>
      <c r="B193" s="15"/>
      <c r="C193" s="22"/>
      <c r="D193" s="17"/>
      <c r="E193" s="17"/>
      <c r="F193" s="17"/>
      <c r="G193" s="17"/>
      <c r="H193" s="17"/>
      <c r="I193" s="17"/>
      <c r="J193" s="17"/>
      <c r="K193" s="17"/>
      <c r="L193" s="17"/>
      <c r="M193" s="17"/>
    </row>
    <row r="194" spans="1:51" ht="22.9" customHeight="1" x14ac:dyDescent="0.3">
      <c r="A194" s="15"/>
      <c r="B194" s="15"/>
      <c r="C194" s="22"/>
      <c r="D194" s="17"/>
      <c r="E194" s="17"/>
      <c r="F194" s="17"/>
      <c r="G194" s="17"/>
      <c r="H194" s="17"/>
      <c r="I194" s="17"/>
      <c r="J194" s="17"/>
      <c r="K194" s="17"/>
      <c r="L194" s="17"/>
      <c r="M194" s="17"/>
    </row>
    <row r="195" spans="1:51" ht="22.9" customHeight="1" x14ac:dyDescent="0.3">
      <c r="A195" s="15"/>
      <c r="B195" s="15"/>
      <c r="C195" s="22"/>
      <c r="D195" s="17"/>
      <c r="E195" s="17"/>
      <c r="F195" s="17"/>
      <c r="G195" s="17"/>
      <c r="H195" s="17"/>
      <c r="I195" s="17"/>
      <c r="J195" s="17"/>
      <c r="K195" s="17"/>
      <c r="L195" s="17"/>
      <c r="M195" s="17"/>
    </row>
    <row r="196" spans="1:51" ht="22.9" customHeight="1" x14ac:dyDescent="0.3">
      <c r="A196" s="18" t="s">
        <v>439</v>
      </c>
      <c r="B196" s="19"/>
      <c r="C196" s="20"/>
      <c r="D196" s="21"/>
      <c r="E196" s="21"/>
      <c r="F196" s="21">
        <f>ROUNDDOWN(SUMIF(Q182:Q195,"1",F182:F195),0)</f>
        <v>-797784</v>
      </c>
      <c r="G196" s="21"/>
      <c r="H196" s="21">
        <f>ROUNDDOWN(SUMIF(Q182:Q195,"1",H182:H195),0)</f>
        <v>0</v>
      </c>
      <c r="I196" s="21"/>
      <c r="J196" s="21">
        <f>ROUNDDOWN(SUMIF(Q182:Q195,"1",J182:J195),0)</f>
        <v>0</v>
      </c>
      <c r="K196" s="21"/>
      <c r="L196" s="21">
        <f>F196+H196+J196</f>
        <v>-797784</v>
      </c>
      <c r="M196" s="21"/>
      <c r="R196" s="1">
        <f t="shared" ref="R196:AY196" si="81">ROUNDDOWN(SUM(R182:R183),0)</f>
        <v>0</v>
      </c>
      <c r="S196" s="1">
        <f t="shared" si="81"/>
        <v>0</v>
      </c>
      <c r="T196" s="1">
        <f t="shared" si="81"/>
        <v>0</v>
      </c>
      <c r="U196" s="1">
        <f t="shared" si="81"/>
        <v>0</v>
      </c>
      <c r="V196" s="1">
        <f t="shared" si="81"/>
        <v>0</v>
      </c>
      <c r="W196" s="1">
        <f t="shared" si="81"/>
        <v>0</v>
      </c>
      <c r="X196" s="1">
        <f t="shared" si="81"/>
        <v>0</v>
      </c>
      <c r="Y196" s="1">
        <f t="shared" si="81"/>
        <v>0</v>
      </c>
      <c r="Z196" s="1">
        <f t="shared" si="81"/>
        <v>0</v>
      </c>
      <c r="AA196" s="1">
        <f t="shared" si="81"/>
        <v>0</v>
      </c>
      <c r="AB196" s="1">
        <f t="shared" si="81"/>
        <v>0</v>
      </c>
      <c r="AC196" s="1">
        <f t="shared" si="81"/>
        <v>0</v>
      </c>
      <c r="AD196" s="1">
        <f t="shared" si="81"/>
        <v>0</v>
      </c>
      <c r="AE196" s="1">
        <f t="shared" si="81"/>
        <v>0</v>
      </c>
      <c r="AF196" s="1">
        <f t="shared" si="81"/>
        <v>0</v>
      </c>
      <c r="AG196" s="1">
        <f t="shared" si="81"/>
        <v>-797784</v>
      </c>
      <c r="AH196" s="1">
        <f t="shared" si="81"/>
        <v>0</v>
      </c>
      <c r="AI196" s="1">
        <f t="shared" si="81"/>
        <v>0</v>
      </c>
      <c r="AJ196" s="1">
        <f t="shared" si="81"/>
        <v>0</v>
      </c>
      <c r="AK196" s="1">
        <f t="shared" si="81"/>
        <v>0</v>
      </c>
      <c r="AL196" s="1">
        <f t="shared" si="81"/>
        <v>0</v>
      </c>
      <c r="AM196" s="1">
        <f t="shared" si="81"/>
        <v>0</v>
      </c>
      <c r="AN196" s="1">
        <f t="shared" si="81"/>
        <v>0</v>
      </c>
      <c r="AO196" s="1">
        <f t="shared" si="81"/>
        <v>0</v>
      </c>
      <c r="AP196" s="1">
        <f t="shared" si="81"/>
        <v>0</v>
      </c>
      <c r="AQ196" s="1">
        <f t="shared" si="81"/>
        <v>0</v>
      </c>
      <c r="AR196" s="1">
        <f t="shared" si="81"/>
        <v>0</v>
      </c>
      <c r="AS196" s="1">
        <f t="shared" si="81"/>
        <v>0</v>
      </c>
      <c r="AT196" s="1">
        <f t="shared" si="81"/>
        <v>0</v>
      </c>
      <c r="AU196" s="1">
        <f t="shared" si="81"/>
        <v>0</v>
      </c>
      <c r="AV196" s="1">
        <f t="shared" si="81"/>
        <v>0</v>
      </c>
      <c r="AW196" s="1">
        <f t="shared" si="81"/>
        <v>0</v>
      </c>
      <c r="AX196" s="1">
        <f t="shared" si="81"/>
        <v>0</v>
      </c>
      <c r="AY196" s="1">
        <f t="shared" si="81"/>
        <v>0</v>
      </c>
    </row>
    <row r="197" spans="1:51" ht="22.9" customHeight="1" x14ac:dyDescent="0.3">
      <c r="A197" s="71" t="s">
        <v>263</v>
      </c>
      <c r="B197" s="72"/>
      <c r="C197" s="72"/>
      <c r="D197" s="72"/>
      <c r="E197" s="72"/>
      <c r="F197" s="72"/>
      <c r="G197" s="72"/>
      <c r="H197" s="72"/>
      <c r="I197" s="72"/>
      <c r="J197" s="72"/>
      <c r="K197" s="72"/>
      <c r="L197" s="72"/>
      <c r="M197" s="72"/>
    </row>
    <row r="198" spans="1:51" ht="22.9" customHeight="1" x14ac:dyDescent="0.3">
      <c r="A198" s="14" t="s">
        <v>226</v>
      </c>
      <c r="B198" s="14" t="s">
        <v>227</v>
      </c>
      <c r="C198" s="16" t="s">
        <v>29</v>
      </c>
      <c r="D198" s="17">
        <v>150.1</v>
      </c>
      <c r="E198" s="17">
        <v>0</v>
      </c>
      <c r="F198" s="17">
        <f>ROUNDDOWN(D198*E198,0)</f>
        <v>0</v>
      </c>
      <c r="G198" s="17">
        <v>0</v>
      </c>
      <c r="H198" s="17">
        <f>ROUNDDOWN(D198*G198,0)</f>
        <v>0</v>
      </c>
      <c r="I198" s="17">
        <f>단가대비표!O39</f>
        <v>3890</v>
      </c>
      <c r="J198" s="17">
        <f>ROUNDDOWN(D198*I198,0)</f>
        <v>583889</v>
      </c>
      <c r="K198" s="17">
        <f>E198+G198+I198</f>
        <v>3890</v>
      </c>
      <c r="L198" s="17">
        <f>F198+H198+J198</f>
        <v>583889</v>
      </c>
      <c r="M198" s="25" t="s">
        <v>271</v>
      </c>
      <c r="O198" s="1" t="str">
        <f>"03"</f>
        <v>03</v>
      </c>
      <c r="P198" s="2" t="s">
        <v>438</v>
      </c>
      <c r="Q198" s="1">
        <v>1</v>
      </c>
      <c r="R198" s="1">
        <f>IF(P198="기계경비",J198,0)</f>
        <v>583889</v>
      </c>
      <c r="S198" s="1">
        <f>IF(P198="운반비",L198,0)</f>
        <v>0</v>
      </c>
      <c r="T198" s="1">
        <f>IF(P198="작업부산물",F198,0)</f>
        <v>0</v>
      </c>
      <c r="U198" s="1">
        <f>IF(P198="관급",F198,0)</f>
        <v>0</v>
      </c>
      <c r="V198" s="1">
        <f>IF(P198="외주비",J198,0)</f>
        <v>0</v>
      </c>
      <c r="W198" s="1">
        <f>IF(P198="장비비",J198,0)</f>
        <v>0</v>
      </c>
      <c r="X198" s="1">
        <f>IF(P198="폐기물처리비",L198,0)</f>
        <v>0</v>
      </c>
      <c r="Y198" s="1">
        <f>IF(P198="가설비",J198,0)</f>
        <v>0</v>
      </c>
      <c r="Z198" s="1">
        <f>IF(P198="잡비제외분",F198,0)</f>
        <v>0</v>
      </c>
      <c r="AA198" s="1">
        <f>IF(P198="사급자재대",L198,0)</f>
        <v>0</v>
      </c>
      <c r="AB198" s="1">
        <f>IF(P198="관급자재대",L198,0)</f>
        <v>0</v>
      </c>
      <c r="AC198" s="1">
        <f>IF(P198="사용자항목1",L198,0)</f>
        <v>0</v>
      </c>
      <c r="AD198" s="1">
        <f>IF(P198="사용자항목2",L198,0)</f>
        <v>0</v>
      </c>
      <c r="AE198" s="1">
        <f>IF(P198="안전관리비",L198,0)</f>
        <v>0</v>
      </c>
      <c r="AF198" s="1">
        <f>IF(P198="품질관리비",L198,0)</f>
        <v>0</v>
      </c>
      <c r="AG198" s="1">
        <f>IF(P198="작업부산물(철거해체)",L198,0)</f>
        <v>0</v>
      </c>
      <c r="AH198" s="1">
        <f>IF(P198="재해예방기술지도비",L198,0)</f>
        <v>0</v>
      </c>
      <c r="AI198" s="1">
        <f>IF(P198="사용자항목7",L198,0)</f>
        <v>0</v>
      </c>
      <c r="AJ198" s="1">
        <f>IF(P198="석면분담금",L198,0)</f>
        <v>0</v>
      </c>
      <c r="AK198" s="1">
        <f>IF(P198="임금채권분담금",L198,0)</f>
        <v>0</v>
      </c>
      <c r="AL198" s="1">
        <f>IF(P198="사용자항목10",L198,0)</f>
        <v>0</v>
      </c>
      <c r="AM198" s="1">
        <f>IF(P198="사용자항목11",L198,0)</f>
        <v>0</v>
      </c>
      <c r="AN198" s="1">
        <f>IF(P198="사용자항목12",L198,0)</f>
        <v>0</v>
      </c>
      <c r="AO198" s="1">
        <f>IF(P198="사용자항목13",L198,0)</f>
        <v>0</v>
      </c>
      <c r="AP198" s="1">
        <f>IF(P198="사용자항목14",L198,0)</f>
        <v>0</v>
      </c>
      <c r="AQ198" s="1">
        <f>IF(P198="사용자항목15",L198,0)</f>
        <v>0</v>
      </c>
      <c r="AR198" s="1">
        <f>IF(P198="사용자항목16",L198,0)</f>
        <v>0</v>
      </c>
      <c r="AS198" s="1">
        <f>IF(P198="사용자항목17",L198,0)</f>
        <v>0</v>
      </c>
      <c r="AT198" s="1">
        <f>IF(P198="사용자항목18",L198,0)</f>
        <v>0</v>
      </c>
      <c r="AU198" s="1">
        <f>IF(P198="사용자항목19",L198,0)</f>
        <v>0</v>
      </c>
    </row>
    <row r="199" spans="1:51" ht="22.9" customHeight="1" x14ac:dyDescent="0.3">
      <c r="A199" s="15"/>
      <c r="B199" s="15"/>
      <c r="C199" s="22"/>
      <c r="D199" s="17"/>
      <c r="E199" s="17"/>
      <c r="F199" s="17"/>
      <c r="G199" s="17"/>
      <c r="H199" s="17"/>
      <c r="I199" s="17"/>
      <c r="J199" s="17"/>
      <c r="K199" s="17"/>
      <c r="L199" s="17"/>
      <c r="M199" s="17"/>
    </row>
    <row r="200" spans="1:51" ht="22.9" customHeight="1" x14ac:dyDescent="0.3">
      <c r="A200" s="15"/>
      <c r="B200" s="15"/>
      <c r="C200" s="22"/>
      <c r="D200" s="17"/>
      <c r="E200" s="17"/>
      <c r="F200" s="17"/>
      <c r="G200" s="17"/>
      <c r="H200" s="17"/>
      <c r="I200" s="17"/>
      <c r="J200" s="17"/>
      <c r="K200" s="17"/>
      <c r="L200" s="17"/>
      <c r="M200" s="17"/>
    </row>
    <row r="201" spans="1:51" ht="22.9" customHeight="1" x14ac:dyDescent="0.3">
      <c r="A201" s="15"/>
      <c r="B201" s="15"/>
      <c r="C201" s="22"/>
      <c r="D201" s="17"/>
      <c r="E201" s="17"/>
      <c r="F201" s="17"/>
      <c r="G201" s="17"/>
      <c r="H201" s="17"/>
      <c r="I201" s="17"/>
      <c r="J201" s="17"/>
      <c r="K201" s="17"/>
      <c r="L201" s="17"/>
      <c r="M201" s="17"/>
    </row>
    <row r="202" spans="1:51" ht="22.9" customHeight="1" x14ac:dyDescent="0.3">
      <c r="A202" s="15"/>
      <c r="B202" s="15"/>
      <c r="C202" s="22"/>
      <c r="D202" s="17"/>
      <c r="E202" s="17"/>
      <c r="F202" s="17"/>
      <c r="G202" s="17"/>
      <c r="H202" s="17"/>
      <c r="I202" s="17"/>
      <c r="J202" s="17"/>
      <c r="K202" s="17"/>
      <c r="L202" s="17"/>
      <c r="M202" s="17"/>
    </row>
    <row r="203" spans="1:51" ht="22.9" customHeight="1" x14ac:dyDescent="0.3">
      <c r="A203" s="15"/>
      <c r="B203" s="15"/>
      <c r="C203" s="22"/>
      <c r="D203" s="17"/>
      <c r="E203" s="17"/>
      <c r="F203" s="17"/>
      <c r="G203" s="17"/>
      <c r="H203" s="17"/>
      <c r="I203" s="17"/>
      <c r="J203" s="17"/>
      <c r="K203" s="17"/>
      <c r="L203" s="17"/>
      <c r="M203" s="17"/>
    </row>
    <row r="204" spans="1:51" ht="22.9" customHeight="1" x14ac:dyDescent="0.3">
      <c r="A204" s="15"/>
      <c r="B204" s="15"/>
      <c r="C204" s="22"/>
      <c r="D204" s="17"/>
      <c r="E204" s="17"/>
      <c r="F204" s="17"/>
      <c r="G204" s="17"/>
      <c r="H204" s="17"/>
      <c r="I204" s="17"/>
      <c r="J204" s="17"/>
      <c r="K204" s="17"/>
      <c r="L204" s="17"/>
      <c r="M204" s="17"/>
    </row>
    <row r="205" spans="1:51" ht="22.9" customHeight="1" x14ac:dyDescent="0.3">
      <c r="A205" s="15"/>
      <c r="B205" s="15"/>
      <c r="C205" s="22"/>
      <c r="D205" s="17"/>
      <c r="E205" s="17"/>
      <c r="F205" s="17"/>
      <c r="G205" s="17"/>
      <c r="H205" s="17"/>
      <c r="I205" s="17"/>
      <c r="J205" s="17"/>
      <c r="K205" s="17"/>
      <c r="L205" s="17"/>
      <c r="M205" s="17"/>
    </row>
    <row r="206" spans="1:51" ht="22.9" customHeight="1" x14ac:dyDescent="0.3">
      <c r="A206" s="15"/>
      <c r="B206" s="15"/>
      <c r="C206" s="22"/>
      <c r="D206" s="17"/>
      <c r="E206" s="17"/>
      <c r="F206" s="17"/>
      <c r="G206" s="17"/>
      <c r="H206" s="17"/>
      <c r="I206" s="17"/>
      <c r="J206" s="17"/>
      <c r="K206" s="17"/>
      <c r="L206" s="17"/>
      <c r="M206" s="17"/>
    </row>
    <row r="207" spans="1:51" ht="22.9" customHeight="1" x14ac:dyDescent="0.3">
      <c r="A207" s="15"/>
      <c r="B207" s="15"/>
      <c r="C207" s="22"/>
      <c r="D207" s="17"/>
      <c r="E207" s="17"/>
      <c r="F207" s="17"/>
      <c r="G207" s="17"/>
      <c r="H207" s="17"/>
      <c r="I207" s="17"/>
      <c r="J207" s="17"/>
      <c r="K207" s="17"/>
      <c r="L207" s="17"/>
      <c r="M207" s="17"/>
    </row>
    <row r="208" spans="1:51" ht="22.9" customHeight="1" x14ac:dyDescent="0.3">
      <c r="A208" s="15"/>
      <c r="B208" s="15"/>
      <c r="C208" s="22"/>
      <c r="D208" s="17"/>
      <c r="E208" s="17"/>
      <c r="F208" s="17"/>
      <c r="G208" s="17"/>
      <c r="H208" s="17"/>
      <c r="I208" s="17"/>
      <c r="J208" s="17"/>
      <c r="K208" s="17"/>
      <c r="L208" s="17"/>
      <c r="M208" s="17"/>
    </row>
    <row r="209" spans="1:51" ht="22.9" customHeight="1" x14ac:dyDescent="0.3">
      <c r="A209" s="15"/>
      <c r="B209" s="15"/>
      <c r="C209" s="22"/>
      <c r="D209" s="17"/>
      <c r="E209" s="17"/>
      <c r="F209" s="17"/>
      <c r="G209" s="17"/>
      <c r="H209" s="17"/>
      <c r="I209" s="17"/>
      <c r="J209" s="17"/>
      <c r="K209" s="17"/>
      <c r="L209" s="17"/>
      <c r="M209" s="17"/>
    </row>
    <row r="210" spans="1:51" ht="22.9" customHeight="1" x14ac:dyDescent="0.3">
      <c r="A210" s="15"/>
      <c r="B210" s="15"/>
      <c r="C210" s="22"/>
      <c r="D210" s="17"/>
      <c r="E210" s="17"/>
      <c r="F210" s="17"/>
      <c r="G210" s="17"/>
      <c r="H210" s="17"/>
      <c r="I210" s="17"/>
      <c r="J210" s="17"/>
      <c r="K210" s="17"/>
      <c r="L210" s="17"/>
      <c r="M210" s="17"/>
    </row>
    <row r="211" spans="1:51" ht="22.9" customHeight="1" x14ac:dyDescent="0.3">
      <c r="A211" s="15"/>
      <c r="B211" s="15"/>
      <c r="C211" s="22"/>
      <c r="D211" s="17"/>
      <c r="E211" s="17"/>
      <c r="F211" s="17"/>
      <c r="G211" s="17"/>
      <c r="H211" s="17"/>
      <c r="I211" s="17"/>
      <c r="J211" s="17"/>
      <c r="K211" s="17"/>
      <c r="L211" s="17"/>
      <c r="M211" s="17"/>
    </row>
    <row r="212" spans="1:51" ht="22.9" customHeight="1" x14ac:dyDescent="0.3">
      <c r="A212" s="18" t="s">
        <v>439</v>
      </c>
      <c r="B212" s="19"/>
      <c r="C212" s="20"/>
      <c r="D212" s="21"/>
      <c r="E212" s="21"/>
      <c r="F212" s="21">
        <f>ROUNDDOWN(SUMIF(Q198:Q211,"1",F198:F211),0)</f>
        <v>0</v>
      </c>
      <c r="G212" s="21"/>
      <c r="H212" s="21">
        <f>ROUNDDOWN(SUMIF(Q198:Q211,"1",H198:H211),0)</f>
        <v>0</v>
      </c>
      <c r="I212" s="21"/>
      <c r="J212" s="21">
        <f>ROUNDDOWN(SUMIF(Q198:Q211,"1",J198:J211),0)</f>
        <v>583889</v>
      </c>
      <c r="K212" s="21"/>
      <c r="L212" s="21">
        <f>F212+H212+J212</f>
        <v>583889</v>
      </c>
      <c r="M212" s="21"/>
      <c r="R212" s="1">
        <f t="shared" ref="R212:AY212" si="82">ROUNDDOWN(SUM(R198:R198),0)</f>
        <v>583889</v>
      </c>
      <c r="S212" s="1">
        <f t="shared" si="82"/>
        <v>0</v>
      </c>
      <c r="T212" s="1">
        <f t="shared" si="82"/>
        <v>0</v>
      </c>
      <c r="U212" s="1">
        <f t="shared" si="82"/>
        <v>0</v>
      </c>
      <c r="V212" s="1">
        <f t="shared" si="82"/>
        <v>0</v>
      </c>
      <c r="W212" s="1">
        <f t="shared" si="82"/>
        <v>0</v>
      </c>
      <c r="X212" s="1">
        <f t="shared" si="82"/>
        <v>0</v>
      </c>
      <c r="Y212" s="1">
        <f t="shared" si="82"/>
        <v>0</v>
      </c>
      <c r="Z212" s="1">
        <f t="shared" si="82"/>
        <v>0</v>
      </c>
      <c r="AA212" s="1">
        <f t="shared" si="82"/>
        <v>0</v>
      </c>
      <c r="AB212" s="1">
        <f t="shared" si="82"/>
        <v>0</v>
      </c>
      <c r="AC212" s="1">
        <f t="shared" si="82"/>
        <v>0</v>
      </c>
      <c r="AD212" s="1">
        <f t="shared" si="82"/>
        <v>0</v>
      </c>
      <c r="AE212" s="1">
        <f t="shared" si="82"/>
        <v>0</v>
      </c>
      <c r="AF212" s="1">
        <f t="shared" si="82"/>
        <v>0</v>
      </c>
      <c r="AG212" s="1">
        <f t="shared" si="82"/>
        <v>0</v>
      </c>
      <c r="AH212" s="1">
        <f t="shared" si="82"/>
        <v>0</v>
      </c>
      <c r="AI212" s="1">
        <f t="shared" si="82"/>
        <v>0</v>
      </c>
      <c r="AJ212" s="1">
        <f t="shared" si="82"/>
        <v>0</v>
      </c>
      <c r="AK212" s="1">
        <f t="shared" si="82"/>
        <v>0</v>
      </c>
      <c r="AL212" s="1">
        <f t="shared" si="82"/>
        <v>0</v>
      </c>
      <c r="AM212" s="1">
        <f t="shared" si="82"/>
        <v>0</v>
      </c>
      <c r="AN212" s="1">
        <f t="shared" si="82"/>
        <v>0</v>
      </c>
      <c r="AO212" s="1">
        <f t="shared" si="82"/>
        <v>0</v>
      </c>
      <c r="AP212" s="1">
        <f t="shared" si="82"/>
        <v>0</v>
      </c>
      <c r="AQ212" s="1">
        <f t="shared" si="82"/>
        <v>0</v>
      </c>
      <c r="AR212" s="1">
        <f t="shared" si="82"/>
        <v>0</v>
      </c>
      <c r="AS212" s="1">
        <f t="shared" si="82"/>
        <v>0</v>
      </c>
      <c r="AT212" s="1">
        <f t="shared" si="82"/>
        <v>0</v>
      </c>
      <c r="AU212" s="1">
        <f t="shared" si="82"/>
        <v>0</v>
      </c>
      <c r="AV212" s="1">
        <f t="shared" si="82"/>
        <v>0</v>
      </c>
      <c r="AW212" s="1">
        <f t="shared" si="82"/>
        <v>0</v>
      </c>
      <c r="AX212" s="1">
        <f t="shared" si="82"/>
        <v>0</v>
      </c>
      <c r="AY212" s="1">
        <f t="shared" si="82"/>
        <v>0</v>
      </c>
    </row>
    <row r="213" spans="1:51" ht="22.9" customHeight="1" x14ac:dyDescent="0.3">
      <c r="A213" s="71" t="s">
        <v>344</v>
      </c>
      <c r="B213" s="72"/>
      <c r="C213" s="72"/>
      <c r="D213" s="72"/>
      <c r="E213" s="72"/>
      <c r="F213" s="72"/>
      <c r="G213" s="72"/>
      <c r="H213" s="72"/>
      <c r="I213" s="72"/>
      <c r="J213" s="72"/>
      <c r="K213" s="72"/>
      <c r="L213" s="72"/>
      <c r="M213" s="72"/>
    </row>
    <row r="214" spans="1:51" ht="22.9" customHeight="1" x14ac:dyDescent="0.3">
      <c r="A214" s="14" t="s">
        <v>503</v>
      </c>
      <c r="B214" s="14" t="s">
        <v>495</v>
      </c>
      <c r="C214" s="16" t="s">
        <v>75</v>
      </c>
      <c r="D214" s="17">
        <v>1</v>
      </c>
      <c r="E214" s="17">
        <f>일위대가목록!G32</f>
        <v>0</v>
      </c>
      <c r="F214" s="17">
        <f>ROUNDDOWN(D214*E214,0)</f>
        <v>0</v>
      </c>
      <c r="G214" s="17">
        <f>일위대가목록!I32</f>
        <v>0</v>
      </c>
      <c r="H214" s="17">
        <f>ROUNDDOWN(D214*G214,0)</f>
        <v>0</v>
      </c>
      <c r="I214" s="17">
        <f>일위대가목록!K32</f>
        <v>24420</v>
      </c>
      <c r="J214" s="17">
        <f>ROUNDDOWN(D214*I214,0)</f>
        <v>24420</v>
      </c>
      <c r="K214" s="17">
        <f>E214+G214+I214</f>
        <v>24420</v>
      </c>
      <c r="L214" s="17">
        <f>F214+H214+J214</f>
        <v>24420</v>
      </c>
      <c r="M214" s="25" t="s">
        <v>547</v>
      </c>
      <c r="O214" s="1" t="str">
        <f>""</f>
        <v/>
      </c>
      <c r="P214" s="2" t="s">
        <v>438</v>
      </c>
      <c r="Q214" s="1">
        <v>1</v>
      </c>
      <c r="R214" s="1">
        <f>IF(P214="기계경비",J214,0)</f>
        <v>24420</v>
      </c>
      <c r="S214" s="1">
        <f>IF(P214="운반비",L214,0)</f>
        <v>0</v>
      </c>
      <c r="T214" s="1">
        <f>IF(P214="작업부산물",F214,0)</f>
        <v>0</v>
      </c>
      <c r="U214" s="1">
        <f>IF(P214="관급",F214,0)</f>
        <v>0</v>
      </c>
      <c r="V214" s="1">
        <f>IF(P214="외주비",J214,0)</f>
        <v>0</v>
      </c>
      <c r="W214" s="1">
        <f>IF(P214="장비비",J214,0)</f>
        <v>0</v>
      </c>
      <c r="X214" s="1">
        <f>IF(P214="폐기물처리비",L214,0)</f>
        <v>0</v>
      </c>
      <c r="Y214" s="1">
        <f>IF(P214="가설비",J214,0)</f>
        <v>0</v>
      </c>
      <c r="Z214" s="1">
        <f>IF(P214="잡비제외분",F214,0)</f>
        <v>0</v>
      </c>
      <c r="AA214" s="1">
        <f>IF(P214="사급자재대",L214,0)</f>
        <v>0</v>
      </c>
      <c r="AB214" s="1">
        <f>IF(P214="관급자재대",L214,0)</f>
        <v>0</v>
      </c>
      <c r="AC214" s="1">
        <f>IF(P214="사용자항목1",L214,0)</f>
        <v>0</v>
      </c>
      <c r="AD214" s="1">
        <f>IF(P214="사용자항목2",L214,0)</f>
        <v>0</v>
      </c>
      <c r="AE214" s="1">
        <f>IF(P214="안전관리비",L214,0)</f>
        <v>0</v>
      </c>
      <c r="AF214" s="1">
        <f>IF(P214="품질관리비",L214,0)</f>
        <v>0</v>
      </c>
      <c r="AG214" s="1">
        <f>IF(P214="작업부산물(철거해체)",L214,0)</f>
        <v>0</v>
      </c>
      <c r="AH214" s="1">
        <f>IF(P214="재해예방기술지도비",L214,0)</f>
        <v>0</v>
      </c>
      <c r="AI214" s="1">
        <f>IF(P214="사용자항목7",L214,0)</f>
        <v>0</v>
      </c>
      <c r="AJ214" s="1">
        <f>IF(P214="석면분담금",L214,0)</f>
        <v>0</v>
      </c>
      <c r="AK214" s="1">
        <f>IF(P214="임금채권분담금",L214,0)</f>
        <v>0</v>
      </c>
      <c r="AL214" s="1">
        <f>IF(P214="사용자항목10",L214,0)</f>
        <v>0</v>
      </c>
      <c r="AM214" s="1">
        <f>IF(P214="사용자항목11",L214,0)</f>
        <v>0</v>
      </c>
      <c r="AN214" s="1">
        <f>IF(P214="사용자항목12",L214,0)</f>
        <v>0</v>
      </c>
      <c r="AO214" s="1">
        <f>IF(P214="사용자항목13",L214,0)</f>
        <v>0</v>
      </c>
      <c r="AP214" s="1">
        <f>IF(P214="사용자항목14",L214,0)</f>
        <v>0</v>
      </c>
      <c r="AQ214" s="1">
        <f>IF(P214="사용자항목15",L214,0)</f>
        <v>0</v>
      </c>
      <c r="AR214" s="1">
        <f>IF(P214="사용자항목16",L214,0)</f>
        <v>0</v>
      </c>
      <c r="AS214" s="1">
        <f>IF(P214="사용자항목17",L214,0)</f>
        <v>0</v>
      </c>
      <c r="AT214" s="1">
        <f>IF(P214="사용자항목18",L214,0)</f>
        <v>0</v>
      </c>
      <c r="AU214" s="1">
        <f>IF(P214="사용자항목19",L214,0)</f>
        <v>0</v>
      </c>
      <c r="AY214" s="2" t="s">
        <v>499</v>
      </c>
    </row>
    <row r="215" spans="1:51" ht="22.9" customHeight="1" x14ac:dyDescent="0.3">
      <c r="A215" s="14" t="s">
        <v>329</v>
      </c>
      <c r="B215" s="14" t="s">
        <v>95</v>
      </c>
      <c r="C215" s="16" t="s">
        <v>75</v>
      </c>
      <c r="D215" s="17">
        <v>2</v>
      </c>
      <c r="E215" s="17">
        <f>일위대가목록!G33</f>
        <v>0</v>
      </c>
      <c r="F215" s="17">
        <f>ROUNDDOWN(D215*E215,0)</f>
        <v>0</v>
      </c>
      <c r="G215" s="17">
        <f>일위대가목록!I33</f>
        <v>0</v>
      </c>
      <c r="H215" s="17">
        <f>ROUNDDOWN(D215*G215,0)</f>
        <v>0</v>
      </c>
      <c r="I215" s="17">
        <f>일위대가목록!K33</f>
        <v>15130</v>
      </c>
      <c r="J215" s="17">
        <f>ROUNDDOWN(D215*I215,0)</f>
        <v>30260</v>
      </c>
      <c r="K215" s="17">
        <f>E215+G215+I215</f>
        <v>15130</v>
      </c>
      <c r="L215" s="17">
        <f>F215+H215+J215</f>
        <v>30260</v>
      </c>
      <c r="M215" s="25" t="s">
        <v>549</v>
      </c>
      <c r="O215" s="1" t="str">
        <f>""</f>
        <v/>
      </c>
      <c r="P215" s="2" t="s">
        <v>438</v>
      </c>
      <c r="Q215" s="1">
        <v>1</v>
      </c>
      <c r="R215" s="1">
        <f>IF(P215="기계경비",J215,0)</f>
        <v>30260</v>
      </c>
      <c r="S215" s="1">
        <f>IF(P215="운반비",L215,0)</f>
        <v>0</v>
      </c>
      <c r="T215" s="1">
        <f>IF(P215="작업부산물",F215,0)</f>
        <v>0</v>
      </c>
      <c r="U215" s="1">
        <f>IF(P215="관급",F215,0)</f>
        <v>0</v>
      </c>
      <c r="V215" s="1">
        <f>IF(P215="외주비",J215,0)</f>
        <v>0</v>
      </c>
      <c r="W215" s="1">
        <f>IF(P215="장비비",J215,0)</f>
        <v>0</v>
      </c>
      <c r="X215" s="1">
        <f>IF(P215="폐기물처리비",L215,0)</f>
        <v>0</v>
      </c>
      <c r="Y215" s="1">
        <f>IF(P215="가설비",J215,0)</f>
        <v>0</v>
      </c>
      <c r="Z215" s="1">
        <f>IF(P215="잡비제외분",F215,0)</f>
        <v>0</v>
      </c>
      <c r="AA215" s="1">
        <f>IF(P215="사급자재대",L215,0)</f>
        <v>0</v>
      </c>
      <c r="AB215" s="1">
        <f>IF(P215="관급자재대",L215,0)</f>
        <v>0</v>
      </c>
      <c r="AC215" s="1">
        <f>IF(P215="사용자항목1",L215,0)</f>
        <v>0</v>
      </c>
      <c r="AD215" s="1">
        <f>IF(P215="사용자항목2",L215,0)</f>
        <v>0</v>
      </c>
      <c r="AE215" s="1">
        <f>IF(P215="안전관리비",L215,0)</f>
        <v>0</v>
      </c>
      <c r="AF215" s="1">
        <f>IF(P215="품질관리비",L215,0)</f>
        <v>0</v>
      </c>
      <c r="AG215" s="1">
        <f>IF(P215="작업부산물(철거해체)",L215,0)</f>
        <v>0</v>
      </c>
      <c r="AH215" s="1">
        <f>IF(P215="재해예방기술지도비",L215,0)</f>
        <v>0</v>
      </c>
      <c r="AI215" s="1">
        <f>IF(P215="사용자항목7",L215,0)</f>
        <v>0</v>
      </c>
      <c r="AJ215" s="1">
        <f>IF(P215="석면분담금",L215,0)</f>
        <v>0</v>
      </c>
      <c r="AK215" s="1">
        <f>IF(P215="임금채권분담금",L215,0)</f>
        <v>0</v>
      </c>
      <c r="AL215" s="1">
        <f>IF(P215="사용자항목10",L215,0)</f>
        <v>0</v>
      </c>
      <c r="AM215" s="1">
        <f>IF(P215="사용자항목11",L215,0)</f>
        <v>0</v>
      </c>
      <c r="AN215" s="1">
        <f>IF(P215="사용자항목12",L215,0)</f>
        <v>0</v>
      </c>
      <c r="AO215" s="1">
        <f>IF(P215="사용자항목13",L215,0)</f>
        <v>0</v>
      </c>
      <c r="AP215" s="1">
        <f>IF(P215="사용자항목14",L215,0)</f>
        <v>0</v>
      </c>
      <c r="AQ215" s="1">
        <f>IF(P215="사용자항목15",L215,0)</f>
        <v>0</v>
      </c>
      <c r="AR215" s="1">
        <f>IF(P215="사용자항목16",L215,0)</f>
        <v>0</v>
      </c>
      <c r="AS215" s="1">
        <f>IF(P215="사용자항목17",L215,0)</f>
        <v>0</v>
      </c>
      <c r="AT215" s="1">
        <f>IF(P215="사용자항목18",L215,0)</f>
        <v>0</v>
      </c>
      <c r="AU215" s="1">
        <f>IF(P215="사용자항목19",L215,0)</f>
        <v>0</v>
      </c>
      <c r="AY215" s="2" t="s">
        <v>499</v>
      </c>
    </row>
    <row r="216" spans="1:51" ht="22.9" customHeight="1" x14ac:dyDescent="0.3">
      <c r="A216" s="15"/>
      <c r="B216" s="15"/>
      <c r="C216" s="22"/>
      <c r="D216" s="17"/>
      <c r="E216" s="17"/>
      <c r="F216" s="17"/>
      <c r="G216" s="17"/>
      <c r="H216" s="17"/>
      <c r="I216" s="17"/>
      <c r="J216" s="17"/>
      <c r="K216" s="17"/>
      <c r="L216" s="17"/>
      <c r="M216" s="17"/>
    </row>
    <row r="217" spans="1:51" ht="22.9" customHeight="1" x14ac:dyDescent="0.3">
      <c r="A217" s="15"/>
      <c r="B217" s="15"/>
      <c r="C217" s="22"/>
      <c r="D217" s="17"/>
      <c r="E217" s="17"/>
      <c r="F217" s="17"/>
      <c r="G217" s="17"/>
      <c r="H217" s="17"/>
      <c r="I217" s="17"/>
      <c r="J217" s="17"/>
      <c r="K217" s="17"/>
      <c r="L217" s="17"/>
      <c r="M217" s="17"/>
    </row>
    <row r="218" spans="1:51" ht="22.9" customHeight="1" x14ac:dyDescent="0.3">
      <c r="A218" s="15"/>
      <c r="B218" s="15"/>
      <c r="C218" s="22"/>
      <c r="D218" s="17"/>
      <c r="E218" s="17"/>
      <c r="F218" s="17"/>
      <c r="G218" s="17"/>
      <c r="H218" s="17"/>
      <c r="I218" s="17"/>
      <c r="J218" s="17"/>
      <c r="K218" s="17"/>
      <c r="L218" s="17"/>
      <c r="M218" s="17"/>
    </row>
    <row r="219" spans="1:51" ht="22.9" customHeight="1" x14ac:dyDescent="0.3">
      <c r="A219" s="15"/>
      <c r="B219" s="15"/>
      <c r="C219" s="22"/>
      <c r="D219" s="17"/>
      <c r="E219" s="17"/>
      <c r="F219" s="17"/>
      <c r="G219" s="17"/>
      <c r="H219" s="17"/>
      <c r="I219" s="17"/>
      <c r="J219" s="17"/>
      <c r="K219" s="17"/>
      <c r="L219" s="17"/>
      <c r="M219" s="17"/>
    </row>
    <row r="220" spans="1:51" ht="22.9" customHeight="1" x14ac:dyDescent="0.3">
      <c r="A220" s="15"/>
      <c r="B220" s="15"/>
      <c r="C220" s="22"/>
      <c r="D220" s="17"/>
      <c r="E220" s="17"/>
      <c r="F220" s="17"/>
      <c r="G220" s="17"/>
      <c r="H220" s="17"/>
      <c r="I220" s="17"/>
      <c r="J220" s="17"/>
      <c r="K220" s="17"/>
      <c r="L220" s="17"/>
      <c r="M220" s="17"/>
    </row>
    <row r="221" spans="1:51" ht="22.9" customHeight="1" x14ac:dyDescent="0.3">
      <c r="A221" s="15"/>
      <c r="B221" s="15"/>
      <c r="C221" s="22"/>
      <c r="D221" s="17"/>
      <c r="E221" s="17"/>
      <c r="F221" s="17"/>
      <c r="G221" s="17"/>
      <c r="H221" s="17"/>
      <c r="I221" s="17"/>
      <c r="J221" s="17"/>
      <c r="K221" s="17"/>
      <c r="L221" s="17"/>
      <c r="M221" s="17"/>
    </row>
    <row r="222" spans="1:51" ht="22.9" customHeight="1" x14ac:dyDescent="0.3">
      <c r="A222" s="15"/>
      <c r="B222" s="15"/>
      <c r="C222" s="22"/>
      <c r="D222" s="17"/>
      <c r="E222" s="17"/>
      <c r="F222" s="17"/>
      <c r="G222" s="17"/>
      <c r="H222" s="17"/>
      <c r="I222" s="17"/>
      <c r="J222" s="17"/>
      <c r="K222" s="17"/>
      <c r="L222" s="17"/>
      <c r="M222" s="17"/>
    </row>
    <row r="223" spans="1:51" ht="22.9" customHeight="1" x14ac:dyDescent="0.3">
      <c r="A223" s="15"/>
      <c r="B223" s="15"/>
      <c r="C223" s="22"/>
      <c r="D223" s="17"/>
      <c r="E223" s="17"/>
      <c r="F223" s="17"/>
      <c r="G223" s="17"/>
      <c r="H223" s="17"/>
      <c r="I223" s="17"/>
      <c r="J223" s="17"/>
      <c r="K223" s="17"/>
      <c r="L223" s="17"/>
      <c r="M223" s="17"/>
    </row>
    <row r="224" spans="1:51" ht="22.9" customHeight="1" x14ac:dyDescent="0.3">
      <c r="A224" s="15"/>
      <c r="B224" s="15"/>
      <c r="C224" s="22"/>
      <c r="D224" s="17"/>
      <c r="E224" s="17"/>
      <c r="F224" s="17"/>
      <c r="G224" s="17"/>
      <c r="H224" s="17"/>
      <c r="I224" s="17"/>
      <c r="J224" s="17"/>
      <c r="K224" s="17"/>
      <c r="L224" s="17"/>
      <c r="M224" s="17"/>
    </row>
    <row r="225" spans="1:51" ht="22.9" customHeight="1" x14ac:dyDescent="0.3">
      <c r="A225" s="15"/>
      <c r="B225" s="15"/>
      <c r="C225" s="22"/>
      <c r="D225" s="17"/>
      <c r="E225" s="17"/>
      <c r="F225" s="17"/>
      <c r="G225" s="17"/>
      <c r="H225" s="17"/>
      <c r="I225" s="17"/>
      <c r="J225" s="17"/>
      <c r="K225" s="17"/>
      <c r="L225" s="17"/>
      <c r="M225" s="17"/>
    </row>
    <row r="226" spans="1:51" ht="22.9" customHeight="1" x14ac:dyDescent="0.3">
      <c r="A226" s="15"/>
      <c r="B226" s="15"/>
      <c r="C226" s="22"/>
      <c r="D226" s="17"/>
      <c r="E226" s="17"/>
      <c r="F226" s="17"/>
      <c r="G226" s="17"/>
      <c r="H226" s="17"/>
      <c r="I226" s="17"/>
      <c r="J226" s="17"/>
      <c r="K226" s="17"/>
      <c r="L226" s="17"/>
      <c r="M226" s="17"/>
    </row>
    <row r="227" spans="1:51" ht="22.9" customHeight="1" x14ac:dyDescent="0.3">
      <c r="A227" s="15"/>
      <c r="B227" s="15"/>
      <c r="C227" s="22"/>
      <c r="D227" s="17"/>
      <c r="E227" s="17"/>
      <c r="F227" s="17"/>
      <c r="G227" s="17"/>
      <c r="H227" s="17"/>
      <c r="I227" s="17"/>
      <c r="J227" s="17"/>
      <c r="K227" s="17"/>
      <c r="L227" s="17"/>
      <c r="M227" s="17"/>
    </row>
    <row r="228" spans="1:51" ht="22.9" customHeight="1" x14ac:dyDescent="0.3">
      <c r="A228" s="18" t="s">
        <v>439</v>
      </c>
      <c r="B228" s="19"/>
      <c r="C228" s="20"/>
      <c r="D228" s="21"/>
      <c r="E228" s="21"/>
      <c r="F228" s="21">
        <f>ROUNDDOWN(SUMIF(Q214:Q227,"1",F214:F227),0)</f>
        <v>0</v>
      </c>
      <c r="G228" s="21"/>
      <c r="H228" s="21">
        <f>ROUNDDOWN(SUMIF(Q214:Q227,"1",H214:H227),0)</f>
        <v>0</v>
      </c>
      <c r="I228" s="21"/>
      <c r="J228" s="21">
        <f>ROUNDDOWN(SUMIF(Q214:Q227,"1",J214:J227),0)</f>
        <v>54680</v>
      </c>
      <c r="K228" s="21"/>
      <c r="L228" s="21">
        <f>F228+H228+J228</f>
        <v>54680</v>
      </c>
      <c r="M228" s="21"/>
      <c r="R228" s="1">
        <f t="shared" ref="R228:AY228" si="83">ROUNDDOWN(SUM(R214:R215),0)</f>
        <v>54680</v>
      </c>
      <c r="S228" s="1">
        <f t="shared" si="83"/>
        <v>0</v>
      </c>
      <c r="T228" s="1">
        <f t="shared" si="83"/>
        <v>0</v>
      </c>
      <c r="U228" s="1">
        <f t="shared" si="83"/>
        <v>0</v>
      </c>
      <c r="V228" s="1">
        <f t="shared" si="83"/>
        <v>0</v>
      </c>
      <c r="W228" s="1">
        <f t="shared" si="83"/>
        <v>0</v>
      </c>
      <c r="X228" s="1">
        <f t="shared" si="83"/>
        <v>0</v>
      </c>
      <c r="Y228" s="1">
        <f t="shared" si="83"/>
        <v>0</v>
      </c>
      <c r="Z228" s="1">
        <f t="shared" si="83"/>
        <v>0</v>
      </c>
      <c r="AA228" s="1">
        <f t="shared" si="83"/>
        <v>0</v>
      </c>
      <c r="AB228" s="1">
        <f t="shared" si="83"/>
        <v>0</v>
      </c>
      <c r="AC228" s="1">
        <f t="shared" si="83"/>
        <v>0</v>
      </c>
      <c r="AD228" s="1">
        <f t="shared" si="83"/>
        <v>0</v>
      </c>
      <c r="AE228" s="1">
        <f t="shared" si="83"/>
        <v>0</v>
      </c>
      <c r="AF228" s="1">
        <f t="shared" si="83"/>
        <v>0</v>
      </c>
      <c r="AG228" s="1">
        <f t="shared" si="83"/>
        <v>0</v>
      </c>
      <c r="AH228" s="1">
        <f t="shared" si="83"/>
        <v>0</v>
      </c>
      <c r="AI228" s="1">
        <f t="shared" si="83"/>
        <v>0</v>
      </c>
      <c r="AJ228" s="1">
        <f t="shared" si="83"/>
        <v>0</v>
      </c>
      <c r="AK228" s="1">
        <f t="shared" si="83"/>
        <v>0</v>
      </c>
      <c r="AL228" s="1">
        <f t="shared" si="83"/>
        <v>0</v>
      </c>
      <c r="AM228" s="1">
        <f t="shared" si="83"/>
        <v>0</v>
      </c>
      <c r="AN228" s="1">
        <f t="shared" si="83"/>
        <v>0</v>
      </c>
      <c r="AO228" s="1">
        <f t="shared" si="83"/>
        <v>0</v>
      </c>
      <c r="AP228" s="1">
        <f t="shared" si="83"/>
        <v>0</v>
      </c>
      <c r="AQ228" s="1">
        <f t="shared" si="83"/>
        <v>0</v>
      </c>
      <c r="AR228" s="1">
        <f t="shared" si="83"/>
        <v>0</v>
      </c>
      <c r="AS228" s="1">
        <f t="shared" si="83"/>
        <v>0</v>
      </c>
      <c r="AT228" s="1">
        <f t="shared" si="83"/>
        <v>0</v>
      </c>
      <c r="AU228" s="1">
        <f t="shared" si="83"/>
        <v>0</v>
      </c>
      <c r="AV228" s="1">
        <f t="shared" si="83"/>
        <v>0</v>
      </c>
      <c r="AW228" s="1">
        <f t="shared" si="83"/>
        <v>0</v>
      </c>
      <c r="AX228" s="1">
        <f t="shared" si="83"/>
        <v>0</v>
      </c>
      <c r="AY228" s="1">
        <f t="shared" si="83"/>
        <v>0</v>
      </c>
    </row>
  </sheetData>
  <mergeCells count="23">
    <mergeCell ref="A85:M85"/>
    <mergeCell ref="A1:M1"/>
    <mergeCell ref="A2:M2"/>
    <mergeCell ref="A3:A4"/>
    <mergeCell ref="B3:B4"/>
    <mergeCell ref="C3:C4"/>
    <mergeCell ref="D3:D4"/>
    <mergeCell ref="M3:M4"/>
    <mergeCell ref="E3:F3"/>
    <mergeCell ref="G3:H3"/>
    <mergeCell ref="I3:J3"/>
    <mergeCell ref="K3:L3"/>
    <mergeCell ref="A5:M5"/>
    <mergeCell ref="A21:M21"/>
    <mergeCell ref="A37:M37"/>
    <mergeCell ref="A69:M69"/>
    <mergeCell ref="A213:M213"/>
    <mergeCell ref="A101:M101"/>
    <mergeCell ref="A117:M117"/>
    <mergeCell ref="A133:M133"/>
    <mergeCell ref="A149:M149"/>
    <mergeCell ref="A181:M181"/>
    <mergeCell ref="A197:M197"/>
  </mergeCells>
  <phoneticPr fontId="12" type="noConversion"/>
  <conditionalFormatting sqref="A5 A6:M228">
    <cfRule type="containsText" dxfId="19" priority="1" stopIfTrue="1" operator="containsText" text=".">
      <formula>NOT(ISERROR(SEARCH(".",A5)))</formula>
    </cfRule>
    <cfRule type="containsText" dxfId="18" priority="2" stopIfTrue="1" operator="containsText" text=".">
      <formula>ISERROR(SEARCH(".",A5))</formula>
    </cfRule>
  </conditionalFormatting>
  <pageMargins left="0.74763888120651245" right="0" top="0.55097222328186035" bottom="0.15722222626209259" header="0.31486111879348755" footer="0.15722222626209259"/>
  <pageSetup paperSize="9" scale="95" orientation="landscape"/>
  <rowBreaks count="14" manualBreakCount="14">
    <brk id="20" max="1048575" man="1"/>
    <brk id="36" max="1048575" man="1"/>
    <brk id="52" max="1048575" man="1"/>
    <brk id="68" max="1048575" man="1"/>
    <brk id="84" max="1048575" man="1"/>
    <brk id="100" max="1048575" man="1"/>
    <brk id="116" max="1048575" man="1"/>
    <brk id="132" max="1048575" man="1"/>
    <brk id="148" max="1048575" man="1"/>
    <brk id="164" max="1048575" man="1"/>
    <brk id="180" max="1048575" man="1"/>
    <brk id="196" max="1048575" man="1"/>
    <brk id="212" max="1048575" man="1"/>
    <brk id="228" max="1048575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rgb="FFF19D86"/>
  </sheetPr>
  <dimension ref="A1:R52"/>
  <sheetViews>
    <sheetView zoomScaleNormal="100" zoomScaleSheetLayoutView="75" workbookViewId="0">
      <pane xSplit="4" ySplit="4" topLeftCell="E5" activePane="bottomRight" state="frozen"/>
      <selection pane="topRight"/>
      <selection pane="bottomLeft"/>
      <selection pane="bottomRight" sqref="A1:N1"/>
    </sheetView>
  </sheetViews>
  <sheetFormatPr defaultColWidth="9" defaultRowHeight="16.5" x14ac:dyDescent="0.3"/>
  <cols>
    <col min="1" max="1" width="6.75" style="4" customWidth="1"/>
    <col min="2" max="3" width="20.75" style="3" customWidth="1"/>
    <col min="4" max="4" width="4.75" style="4" customWidth="1"/>
    <col min="5" max="5" width="6.75" style="4" customWidth="1"/>
    <col min="6" max="6" width="6.75" style="5" customWidth="1"/>
    <col min="7" max="7" width="7.75" style="5" customWidth="1"/>
    <col min="8" max="8" width="6.75" style="5" customWidth="1"/>
    <col min="9" max="9" width="7.75" style="5" customWidth="1"/>
    <col min="10" max="10" width="6.75" style="5" customWidth="1"/>
    <col min="11" max="11" width="7.75" style="5" customWidth="1"/>
    <col min="12" max="12" width="6.75" style="5" customWidth="1"/>
    <col min="13" max="13" width="7.75" style="5" customWidth="1"/>
    <col min="14" max="14" width="6.75" style="3" customWidth="1"/>
    <col min="15" max="18" width="0" style="1" hidden="1" customWidth="1"/>
  </cols>
  <sheetData>
    <row r="1" spans="1:15" ht="30" customHeight="1" x14ac:dyDescent="0.3">
      <c r="A1" s="68" t="s">
        <v>299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</row>
    <row r="2" spans="1:15" ht="22.9" customHeight="1" x14ac:dyDescent="0.3">
      <c r="A2" s="69" t="s">
        <v>308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5" ht="22.9" customHeight="1" x14ac:dyDescent="0.3">
      <c r="A3" s="56" t="s">
        <v>35</v>
      </c>
      <c r="B3" s="56" t="s">
        <v>304</v>
      </c>
      <c r="C3" s="56" t="s">
        <v>300</v>
      </c>
      <c r="D3" s="56" t="s">
        <v>3</v>
      </c>
      <c r="E3" s="56" t="s">
        <v>50</v>
      </c>
      <c r="F3" s="56" t="s">
        <v>446</v>
      </c>
      <c r="G3" s="56"/>
      <c r="H3" s="56" t="s">
        <v>422</v>
      </c>
      <c r="I3" s="56"/>
      <c r="J3" s="56" t="s">
        <v>442</v>
      </c>
      <c r="K3" s="56"/>
      <c r="L3" s="56" t="s">
        <v>431</v>
      </c>
      <c r="M3" s="56"/>
      <c r="N3" s="56" t="s">
        <v>424</v>
      </c>
    </row>
    <row r="4" spans="1:15" ht="22.9" customHeight="1" x14ac:dyDescent="0.3">
      <c r="A4" s="56"/>
      <c r="B4" s="56"/>
      <c r="C4" s="56"/>
      <c r="D4" s="56"/>
      <c r="E4" s="56"/>
      <c r="F4" s="12" t="s">
        <v>432</v>
      </c>
      <c r="G4" s="12" t="s">
        <v>511</v>
      </c>
      <c r="H4" s="12" t="s">
        <v>432</v>
      </c>
      <c r="I4" s="12" t="s">
        <v>511</v>
      </c>
      <c r="J4" s="12" t="s">
        <v>432</v>
      </c>
      <c r="K4" s="12" t="s">
        <v>511</v>
      </c>
      <c r="L4" s="12" t="s">
        <v>432</v>
      </c>
      <c r="M4" s="12" t="s">
        <v>511</v>
      </c>
      <c r="N4" s="56"/>
      <c r="O4" s="1" t="s">
        <v>7</v>
      </c>
    </row>
    <row r="5" spans="1:15" ht="22.9" customHeight="1" x14ac:dyDescent="0.3">
      <c r="A5" s="16" t="s">
        <v>500</v>
      </c>
      <c r="B5" s="14" t="s">
        <v>296</v>
      </c>
      <c r="C5" s="14" t="s">
        <v>297</v>
      </c>
      <c r="D5" s="16" t="s">
        <v>55</v>
      </c>
      <c r="E5" s="22">
        <v>1</v>
      </c>
      <c r="F5" s="17">
        <f>일위대가표!F18</f>
        <v>49196</v>
      </c>
      <c r="G5" s="17">
        <f t="shared" ref="G5:G39" si="0">E5*F5</f>
        <v>49196</v>
      </c>
      <c r="H5" s="17">
        <f>일위대가표!H18</f>
        <v>156891</v>
      </c>
      <c r="I5" s="17">
        <f t="shared" ref="I5:I39" si="1">E5*H5</f>
        <v>156891</v>
      </c>
      <c r="J5" s="17">
        <f>일위대가표!J18</f>
        <v>0</v>
      </c>
      <c r="K5" s="17">
        <f t="shared" ref="K5:K39" si="2">E5*J5</f>
        <v>0</v>
      </c>
      <c r="L5" s="17">
        <f t="shared" ref="L5:L39" si="3">F5+H5+J5</f>
        <v>206087</v>
      </c>
      <c r="M5" s="17">
        <f t="shared" ref="M5:M39" si="4">G5+I5+K5</f>
        <v>206087</v>
      </c>
      <c r="N5" s="14" t="s">
        <v>165</v>
      </c>
    </row>
    <row r="6" spans="1:15" ht="22.9" customHeight="1" x14ac:dyDescent="0.3">
      <c r="A6" s="16" t="s">
        <v>509</v>
      </c>
      <c r="B6" s="14" t="s">
        <v>505</v>
      </c>
      <c r="C6" s="14" t="s">
        <v>487</v>
      </c>
      <c r="D6" s="16" t="s">
        <v>75</v>
      </c>
      <c r="E6" s="22">
        <v>1</v>
      </c>
      <c r="F6" s="17">
        <f>일위대가표!F23</f>
        <v>29337</v>
      </c>
      <c r="G6" s="17">
        <f t="shared" si="0"/>
        <v>29337</v>
      </c>
      <c r="H6" s="17">
        <f>일위대가표!H23</f>
        <v>9670</v>
      </c>
      <c r="I6" s="17">
        <f t="shared" si="1"/>
        <v>9670</v>
      </c>
      <c r="J6" s="17">
        <f>일위대가표!J23</f>
        <v>1407</v>
      </c>
      <c r="K6" s="17">
        <f t="shared" si="2"/>
        <v>1407</v>
      </c>
      <c r="L6" s="17">
        <f t="shared" si="3"/>
        <v>40414</v>
      </c>
      <c r="M6" s="17">
        <f t="shared" si="4"/>
        <v>40414</v>
      </c>
      <c r="N6" s="14" t="s">
        <v>303</v>
      </c>
    </row>
    <row r="7" spans="1:15" ht="22.9" customHeight="1" x14ac:dyDescent="0.3">
      <c r="A7" s="16" t="s">
        <v>486</v>
      </c>
      <c r="B7" s="14" t="s">
        <v>510</v>
      </c>
      <c r="C7" s="14" t="s">
        <v>597</v>
      </c>
      <c r="D7" s="16" t="s">
        <v>67</v>
      </c>
      <c r="E7" s="22">
        <v>1</v>
      </c>
      <c r="F7" s="17">
        <f>일위대가표!F29</f>
        <v>0</v>
      </c>
      <c r="G7" s="17">
        <f t="shared" si="0"/>
        <v>0</v>
      </c>
      <c r="H7" s="17">
        <f>일위대가표!H29</f>
        <v>24901</v>
      </c>
      <c r="I7" s="17">
        <f t="shared" si="1"/>
        <v>24901</v>
      </c>
      <c r="J7" s="17">
        <f>일위대가표!J29</f>
        <v>747</v>
      </c>
      <c r="K7" s="17">
        <f t="shared" si="2"/>
        <v>747</v>
      </c>
      <c r="L7" s="17">
        <f t="shared" si="3"/>
        <v>25648</v>
      </c>
      <c r="M7" s="17">
        <f t="shared" si="4"/>
        <v>25648</v>
      </c>
      <c r="N7" s="14" t="s">
        <v>302</v>
      </c>
      <c r="O7" s="2" t="s">
        <v>499</v>
      </c>
    </row>
    <row r="8" spans="1:15" ht="22.9" customHeight="1" x14ac:dyDescent="0.3">
      <c r="A8" s="16" t="s">
        <v>504</v>
      </c>
      <c r="B8" s="14" t="s">
        <v>298</v>
      </c>
      <c r="C8" s="14" t="s">
        <v>358</v>
      </c>
      <c r="D8" s="16" t="s">
        <v>67</v>
      </c>
      <c r="E8" s="22">
        <v>1</v>
      </c>
      <c r="F8" s="17">
        <f>일위대가표!F37</f>
        <v>21697</v>
      </c>
      <c r="G8" s="17">
        <f t="shared" si="0"/>
        <v>21697</v>
      </c>
      <c r="H8" s="17">
        <f>일위대가표!H37</f>
        <v>143310</v>
      </c>
      <c r="I8" s="17">
        <f t="shared" si="1"/>
        <v>143310</v>
      </c>
      <c r="J8" s="17">
        <f>일위대가표!J37</f>
        <v>18381</v>
      </c>
      <c r="K8" s="17">
        <f t="shared" si="2"/>
        <v>18381</v>
      </c>
      <c r="L8" s="17">
        <f t="shared" si="3"/>
        <v>183388</v>
      </c>
      <c r="M8" s="17">
        <f t="shared" si="4"/>
        <v>183388</v>
      </c>
      <c r="N8" s="14" t="s">
        <v>292</v>
      </c>
      <c r="O8" s="2" t="s">
        <v>499</v>
      </c>
    </row>
    <row r="9" spans="1:15" ht="22.9" customHeight="1" x14ac:dyDescent="0.3">
      <c r="A9" s="16" t="s">
        <v>488</v>
      </c>
      <c r="B9" s="14" t="s">
        <v>524</v>
      </c>
      <c r="C9" s="14" t="s">
        <v>65</v>
      </c>
      <c r="D9" s="16" t="s">
        <v>75</v>
      </c>
      <c r="E9" s="22">
        <v>1</v>
      </c>
      <c r="F9" s="17">
        <f>일위대가표!F44</f>
        <v>2283</v>
      </c>
      <c r="G9" s="17">
        <f t="shared" si="0"/>
        <v>2283</v>
      </c>
      <c r="H9" s="17">
        <f>일위대가표!H44</f>
        <v>228399</v>
      </c>
      <c r="I9" s="17">
        <f t="shared" si="1"/>
        <v>228399</v>
      </c>
      <c r="J9" s="17">
        <f>일위대가표!J44</f>
        <v>2032</v>
      </c>
      <c r="K9" s="17">
        <f t="shared" si="2"/>
        <v>2032</v>
      </c>
      <c r="L9" s="17">
        <f t="shared" si="3"/>
        <v>232714</v>
      </c>
      <c r="M9" s="17">
        <f t="shared" si="4"/>
        <v>232714</v>
      </c>
      <c r="N9" s="14" t="s">
        <v>489</v>
      </c>
      <c r="O9" s="2" t="s">
        <v>499</v>
      </c>
    </row>
    <row r="10" spans="1:15" ht="22.9" customHeight="1" x14ac:dyDescent="0.3">
      <c r="A10" s="16" t="s">
        <v>525</v>
      </c>
      <c r="B10" s="14" t="s">
        <v>534</v>
      </c>
      <c r="C10" s="14" t="s">
        <v>261</v>
      </c>
      <c r="D10" s="16" t="s">
        <v>70</v>
      </c>
      <c r="E10" s="22">
        <v>1</v>
      </c>
      <c r="F10" s="17">
        <f>일위대가표!F51</f>
        <v>248</v>
      </c>
      <c r="G10" s="17">
        <f t="shared" si="0"/>
        <v>248</v>
      </c>
      <c r="H10" s="17">
        <f>일위대가표!H51</f>
        <v>3537</v>
      </c>
      <c r="I10" s="17">
        <f t="shared" si="1"/>
        <v>3537</v>
      </c>
      <c r="J10" s="17">
        <f>일위대가표!J51</f>
        <v>1119</v>
      </c>
      <c r="K10" s="17">
        <f t="shared" si="2"/>
        <v>1119</v>
      </c>
      <c r="L10" s="17">
        <f t="shared" si="3"/>
        <v>4904</v>
      </c>
      <c r="M10" s="17">
        <f t="shared" si="4"/>
        <v>4904</v>
      </c>
      <c r="N10" s="14" t="s">
        <v>214</v>
      </c>
      <c r="O10" s="2" t="s">
        <v>499</v>
      </c>
    </row>
    <row r="11" spans="1:15" ht="22.9" customHeight="1" x14ac:dyDescent="0.3">
      <c r="A11" s="16" t="s">
        <v>517</v>
      </c>
      <c r="B11" s="14" t="s">
        <v>323</v>
      </c>
      <c r="C11" s="14" t="s">
        <v>539</v>
      </c>
      <c r="D11" s="16" t="s">
        <v>70</v>
      </c>
      <c r="E11" s="22">
        <v>1</v>
      </c>
      <c r="F11" s="17">
        <f>일위대가표!F56</f>
        <v>0</v>
      </c>
      <c r="G11" s="17">
        <f t="shared" si="0"/>
        <v>0</v>
      </c>
      <c r="H11" s="17">
        <f>일위대가표!H56</f>
        <v>12630</v>
      </c>
      <c r="I11" s="17">
        <f t="shared" si="1"/>
        <v>12630</v>
      </c>
      <c r="J11" s="17">
        <f>일위대가표!J56</f>
        <v>0</v>
      </c>
      <c r="K11" s="17">
        <f t="shared" si="2"/>
        <v>0</v>
      </c>
      <c r="L11" s="17">
        <f t="shared" si="3"/>
        <v>12630</v>
      </c>
      <c r="M11" s="17">
        <f t="shared" si="4"/>
        <v>12630</v>
      </c>
      <c r="N11" s="14" t="s">
        <v>268</v>
      </c>
      <c r="O11" s="2" t="s">
        <v>499</v>
      </c>
    </row>
    <row r="12" spans="1:15" ht="22.9" customHeight="1" x14ac:dyDescent="0.3">
      <c r="A12" s="16" t="s">
        <v>523</v>
      </c>
      <c r="B12" s="14" t="s">
        <v>528</v>
      </c>
      <c r="C12" s="14" t="s">
        <v>539</v>
      </c>
      <c r="D12" s="16" t="s">
        <v>70</v>
      </c>
      <c r="E12" s="22">
        <v>1</v>
      </c>
      <c r="F12" s="17">
        <f>일위대가표!F61</f>
        <v>0</v>
      </c>
      <c r="G12" s="17">
        <f t="shared" si="0"/>
        <v>0</v>
      </c>
      <c r="H12" s="17">
        <f>일위대가표!H61</f>
        <v>12630</v>
      </c>
      <c r="I12" s="17">
        <f t="shared" si="1"/>
        <v>12630</v>
      </c>
      <c r="J12" s="17">
        <f>일위대가표!J61</f>
        <v>0</v>
      </c>
      <c r="K12" s="17">
        <f t="shared" si="2"/>
        <v>0</v>
      </c>
      <c r="L12" s="17">
        <f t="shared" si="3"/>
        <v>12630</v>
      </c>
      <c r="M12" s="17">
        <f t="shared" si="4"/>
        <v>12630</v>
      </c>
      <c r="N12" s="14" t="s">
        <v>268</v>
      </c>
    </row>
    <row r="13" spans="1:15" ht="22.9" customHeight="1" x14ac:dyDescent="0.3">
      <c r="A13" s="16" t="s">
        <v>521</v>
      </c>
      <c r="B13" s="14" t="s">
        <v>513</v>
      </c>
      <c r="C13" s="14" t="s">
        <v>243</v>
      </c>
      <c r="D13" s="16" t="s">
        <v>70</v>
      </c>
      <c r="E13" s="22">
        <v>1</v>
      </c>
      <c r="F13" s="17">
        <f>일위대가표!F67</f>
        <v>0</v>
      </c>
      <c r="G13" s="17">
        <f t="shared" si="0"/>
        <v>0</v>
      </c>
      <c r="H13" s="17">
        <f>일위대가표!H67</f>
        <v>5029</v>
      </c>
      <c r="I13" s="17">
        <f t="shared" si="1"/>
        <v>5029</v>
      </c>
      <c r="J13" s="17">
        <f>일위대가표!J67</f>
        <v>100</v>
      </c>
      <c r="K13" s="17">
        <f t="shared" si="2"/>
        <v>100</v>
      </c>
      <c r="L13" s="17">
        <f t="shared" si="3"/>
        <v>5129</v>
      </c>
      <c r="M13" s="17">
        <f t="shared" si="4"/>
        <v>5129</v>
      </c>
      <c r="N13" s="14" t="s">
        <v>288</v>
      </c>
      <c r="O13" s="2" t="s">
        <v>499</v>
      </c>
    </row>
    <row r="14" spans="1:15" ht="22.9" customHeight="1" x14ac:dyDescent="0.3">
      <c r="A14" s="16" t="s">
        <v>526</v>
      </c>
      <c r="B14" s="14" t="s">
        <v>518</v>
      </c>
      <c r="C14" s="14" t="s">
        <v>71</v>
      </c>
      <c r="D14" s="16" t="s">
        <v>70</v>
      </c>
      <c r="E14" s="22">
        <v>1</v>
      </c>
      <c r="F14" s="17">
        <f>일위대가표!F72</f>
        <v>0</v>
      </c>
      <c r="G14" s="17">
        <f t="shared" si="0"/>
        <v>0</v>
      </c>
      <c r="H14" s="17">
        <f>일위대가표!H72</f>
        <v>3480</v>
      </c>
      <c r="I14" s="17">
        <f t="shared" si="1"/>
        <v>3480</v>
      </c>
      <c r="J14" s="17">
        <f>일위대가표!J72</f>
        <v>0</v>
      </c>
      <c r="K14" s="17">
        <f t="shared" si="2"/>
        <v>0</v>
      </c>
      <c r="L14" s="17">
        <f t="shared" si="3"/>
        <v>3480</v>
      </c>
      <c r="M14" s="17">
        <f t="shared" si="4"/>
        <v>3480</v>
      </c>
      <c r="N14" s="14" t="s">
        <v>494</v>
      </c>
    </row>
    <row r="15" spans="1:15" ht="22.9" customHeight="1" x14ac:dyDescent="0.3">
      <c r="A15" s="16" t="s">
        <v>515</v>
      </c>
      <c r="B15" s="14" t="s">
        <v>519</v>
      </c>
      <c r="C15" s="14" t="s">
        <v>597</v>
      </c>
      <c r="D15" s="16" t="s">
        <v>67</v>
      </c>
      <c r="E15" s="22">
        <v>1</v>
      </c>
      <c r="F15" s="17">
        <f>일위대가표!F78</f>
        <v>0</v>
      </c>
      <c r="G15" s="17">
        <f t="shared" si="0"/>
        <v>0</v>
      </c>
      <c r="H15" s="17">
        <f>일위대가표!H78</f>
        <v>17676</v>
      </c>
      <c r="I15" s="17">
        <f t="shared" si="1"/>
        <v>17676</v>
      </c>
      <c r="J15" s="17">
        <f>일위대가표!J78</f>
        <v>530</v>
      </c>
      <c r="K15" s="17">
        <f t="shared" si="2"/>
        <v>530</v>
      </c>
      <c r="L15" s="17">
        <f t="shared" si="3"/>
        <v>18206</v>
      </c>
      <c r="M15" s="17">
        <f t="shared" si="4"/>
        <v>18206</v>
      </c>
      <c r="N15" s="14" t="s">
        <v>291</v>
      </c>
      <c r="O15" s="2" t="s">
        <v>499</v>
      </c>
    </row>
    <row r="16" spans="1:15" ht="22.9" customHeight="1" x14ac:dyDescent="0.3">
      <c r="A16" s="16" t="s">
        <v>529</v>
      </c>
      <c r="B16" s="14" t="s">
        <v>267</v>
      </c>
      <c r="C16" s="14" t="s">
        <v>597</v>
      </c>
      <c r="D16" s="16" t="s">
        <v>67</v>
      </c>
      <c r="E16" s="22">
        <v>1</v>
      </c>
      <c r="F16" s="17">
        <f>일위대가표!F84</f>
        <v>0</v>
      </c>
      <c r="G16" s="17">
        <f t="shared" si="0"/>
        <v>0</v>
      </c>
      <c r="H16" s="17">
        <f>일위대가표!H84</f>
        <v>14103</v>
      </c>
      <c r="I16" s="17">
        <f t="shared" si="1"/>
        <v>14103</v>
      </c>
      <c r="J16" s="17">
        <f>일위대가표!J84</f>
        <v>282</v>
      </c>
      <c r="K16" s="17">
        <f t="shared" si="2"/>
        <v>282</v>
      </c>
      <c r="L16" s="17">
        <f t="shared" si="3"/>
        <v>14385</v>
      </c>
      <c r="M16" s="17">
        <f t="shared" si="4"/>
        <v>14385</v>
      </c>
      <c r="N16" s="14" t="s">
        <v>294</v>
      </c>
      <c r="O16" s="2" t="s">
        <v>499</v>
      </c>
    </row>
    <row r="17" spans="1:15" ht="22.9" customHeight="1" x14ac:dyDescent="0.3">
      <c r="A17" s="16" t="s">
        <v>533</v>
      </c>
      <c r="B17" s="14" t="s">
        <v>267</v>
      </c>
      <c r="C17" s="14" t="s">
        <v>590</v>
      </c>
      <c r="D17" s="16" t="s">
        <v>67</v>
      </c>
      <c r="E17" s="22">
        <v>1</v>
      </c>
      <c r="F17" s="17">
        <f>일위대가표!F90</f>
        <v>0</v>
      </c>
      <c r="G17" s="17">
        <f t="shared" si="0"/>
        <v>0</v>
      </c>
      <c r="H17" s="17">
        <f>일위대가표!H90</f>
        <v>21760</v>
      </c>
      <c r="I17" s="17">
        <f t="shared" si="1"/>
        <v>21760</v>
      </c>
      <c r="J17" s="17">
        <f>일위대가표!J90</f>
        <v>435</v>
      </c>
      <c r="K17" s="17">
        <f t="shared" si="2"/>
        <v>435</v>
      </c>
      <c r="L17" s="17">
        <f t="shared" si="3"/>
        <v>22195</v>
      </c>
      <c r="M17" s="17">
        <f t="shared" si="4"/>
        <v>22195</v>
      </c>
      <c r="N17" s="14" t="s">
        <v>294</v>
      </c>
      <c r="O17" s="2" t="s">
        <v>499</v>
      </c>
    </row>
    <row r="18" spans="1:15" ht="22.9" customHeight="1" x14ac:dyDescent="0.3">
      <c r="A18" s="16" t="s">
        <v>522</v>
      </c>
      <c r="B18" s="14" t="s">
        <v>510</v>
      </c>
      <c r="C18" s="14" t="s">
        <v>592</v>
      </c>
      <c r="D18" s="16" t="s">
        <v>67</v>
      </c>
      <c r="E18" s="22">
        <v>1</v>
      </c>
      <c r="F18" s="17">
        <f>일위대가표!F96</f>
        <v>0</v>
      </c>
      <c r="G18" s="17">
        <f t="shared" si="0"/>
        <v>0</v>
      </c>
      <c r="H18" s="17">
        <f>일위대가표!H96</f>
        <v>37932</v>
      </c>
      <c r="I18" s="17">
        <f t="shared" si="1"/>
        <v>37932</v>
      </c>
      <c r="J18" s="17">
        <f>일위대가표!J96</f>
        <v>1137</v>
      </c>
      <c r="K18" s="17">
        <f t="shared" si="2"/>
        <v>1137</v>
      </c>
      <c r="L18" s="17">
        <f t="shared" si="3"/>
        <v>39069</v>
      </c>
      <c r="M18" s="17">
        <f t="shared" si="4"/>
        <v>39069</v>
      </c>
      <c r="N18" s="14" t="s">
        <v>302</v>
      </c>
      <c r="O18" s="2" t="s">
        <v>499</v>
      </c>
    </row>
    <row r="19" spans="1:15" ht="22.9" customHeight="1" x14ac:dyDescent="0.3">
      <c r="A19" s="16" t="s">
        <v>537</v>
      </c>
      <c r="B19" s="14" t="s">
        <v>535</v>
      </c>
      <c r="C19" s="14" t="s">
        <v>245</v>
      </c>
      <c r="D19" s="16" t="s">
        <v>67</v>
      </c>
      <c r="E19" s="22">
        <v>1</v>
      </c>
      <c r="F19" s="17">
        <f>일위대가표!F100</f>
        <v>0</v>
      </c>
      <c r="G19" s="17">
        <f t="shared" si="0"/>
        <v>0</v>
      </c>
      <c r="H19" s="17">
        <f>일위대가표!H100</f>
        <v>68827</v>
      </c>
      <c r="I19" s="17">
        <f t="shared" si="1"/>
        <v>68827</v>
      </c>
      <c r="J19" s="17">
        <f>일위대가표!J100</f>
        <v>0</v>
      </c>
      <c r="K19" s="17">
        <f t="shared" si="2"/>
        <v>0</v>
      </c>
      <c r="L19" s="17">
        <f t="shared" si="3"/>
        <v>68827</v>
      </c>
      <c r="M19" s="17">
        <f t="shared" si="4"/>
        <v>68827</v>
      </c>
      <c r="N19" s="15"/>
      <c r="O19" s="2" t="s">
        <v>499</v>
      </c>
    </row>
    <row r="20" spans="1:15" ht="22.9" customHeight="1" x14ac:dyDescent="0.3">
      <c r="A20" s="16" t="s">
        <v>540</v>
      </c>
      <c r="B20" s="14" t="s">
        <v>541</v>
      </c>
      <c r="C20" s="14" t="s">
        <v>593</v>
      </c>
      <c r="D20" s="16" t="s">
        <v>79</v>
      </c>
      <c r="E20" s="22">
        <v>1</v>
      </c>
      <c r="F20" s="17">
        <f>일위대가표!F105</f>
        <v>0</v>
      </c>
      <c r="G20" s="17">
        <f t="shared" si="0"/>
        <v>0</v>
      </c>
      <c r="H20" s="17">
        <f>일위대가표!H105</f>
        <v>37267</v>
      </c>
      <c r="I20" s="17">
        <f t="shared" si="1"/>
        <v>37267</v>
      </c>
      <c r="J20" s="17">
        <f>일위대가표!J105</f>
        <v>0</v>
      </c>
      <c r="K20" s="17">
        <f t="shared" si="2"/>
        <v>0</v>
      </c>
      <c r="L20" s="17">
        <f t="shared" si="3"/>
        <v>37267</v>
      </c>
      <c r="M20" s="17">
        <f t="shared" si="4"/>
        <v>37267</v>
      </c>
      <c r="N20" s="15"/>
      <c r="O20" s="2" t="s">
        <v>499</v>
      </c>
    </row>
    <row r="21" spans="1:15" ht="22.9" customHeight="1" x14ac:dyDescent="0.3">
      <c r="A21" s="16" t="s">
        <v>514</v>
      </c>
      <c r="B21" s="14" t="s">
        <v>518</v>
      </c>
      <c r="C21" s="14" t="s">
        <v>117</v>
      </c>
      <c r="D21" s="16" t="s">
        <v>70</v>
      </c>
      <c r="E21" s="22">
        <v>1</v>
      </c>
      <c r="F21" s="17">
        <f>일위대가표!F110</f>
        <v>0</v>
      </c>
      <c r="G21" s="17">
        <f t="shared" si="0"/>
        <v>0</v>
      </c>
      <c r="H21" s="17">
        <f>일위대가표!H110</f>
        <v>2681</v>
      </c>
      <c r="I21" s="17">
        <f t="shared" si="1"/>
        <v>2681</v>
      </c>
      <c r="J21" s="17">
        <f>일위대가표!J110</f>
        <v>0</v>
      </c>
      <c r="K21" s="17">
        <f t="shared" si="2"/>
        <v>0</v>
      </c>
      <c r="L21" s="17">
        <f t="shared" si="3"/>
        <v>2681</v>
      </c>
      <c r="M21" s="17">
        <f t="shared" si="4"/>
        <v>2681</v>
      </c>
      <c r="N21" s="14" t="s">
        <v>494</v>
      </c>
    </row>
    <row r="22" spans="1:15" ht="22.9" customHeight="1" x14ac:dyDescent="0.3">
      <c r="A22" s="16" t="s">
        <v>544</v>
      </c>
      <c r="B22" s="14" t="s">
        <v>531</v>
      </c>
      <c r="C22" s="14" t="s">
        <v>326</v>
      </c>
      <c r="D22" s="16" t="s">
        <v>70</v>
      </c>
      <c r="E22" s="22">
        <v>1</v>
      </c>
      <c r="F22" s="17">
        <f>일위대가표!F116</f>
        <v>0</v>
      </c>
      <c r="G22" s="17">
        <f t="shared" si="0"/>
        <v>0</v>
      </c>
      <c r="H22" s="17">
        <f>일위대가표!H116</f>
        <v>3636</v>
      </c>
      <c r="I22" s="17">
        <f t="shared" si="1"/>
        <v>3636</v>
      </c>
      <c r="J22" s="17">
        <f>일위대가표!J116</f>
        <v>72</v>
      </c>
      <c r="K22" s="17">
        <f t="shared" si="2"/>
        <v>72</v>
      </c>
      <c r="L22" s="17">
        <f t="shared" si="3"/>
        <v>3708</v>
      </c>
      <c r="M22" s="17">
        <f t="shared" si="4"/>
        <v>3708</v>
      </c>
      <c r="N22" s="15"/>
      <c r="O22" s="2" t="s">
        <v>499</v>
      </c>
    </row>
    <row r="23" spans="1:15" ht="22.9" customHeight="1" x14ac:dyDescent="0.3">
      <c r="A23" s="16" t="s">
        <v>520</v>
      </c>
      <c r="B23" s="14" t="s">
        <v>530</v>
      </c>
      <c r="C23" s="14" t="s">
        <v>253</v>
      </c>
      <c r="D23" s="16" t="s">
        <v>70</v>
      </c>
      <c r="E23" s="22">
        <v>1</v>
      </c>
      <c r="F23" s="17">
        <f>일위대가표!F122</f>
        <v>54</v>
      </c>
      <c r="G23" s="17">
        <f t="shared" si="0"/>
        <v>54</v>
      </c>
      <c r="H23" s="17">
        <f>일위대가표!H122</f>
        <v>2743</v>
      </c>
      <c r="I23" s="17">
        <f t="shared" si="1"/>
        <v>2743</v>
      </c>
      <c r="J23" s="17">
        <f>일위대가표!J122</f>
        <v>0</v>
      </c>
      <c r="K23" s="17">
        <f t="shared" si="2"/>
        <v>0</v>
      </c>
      <c r="L23" s="17">
        <f t="shared" si="3"/>
        <v>2797</v>
      </c>
      <c r="M23" s="17">
        <f t="shared" si="4"/>
        <v>2797</v>
      </c>
      <c r="N23" s="14" t="s">
        <v>484</v>
      </c>
      <c r="O23" s="2" t="s">
        <v>499</v>
      </c>
    </row>
    <row r="24" spans="1:15" ht="22.9" customHeight="1" x14ac:dyDescent="0.3">
      <c r="A24" s="16" t="s">
        <v>532</v>
      </c>
      <c r="B24" s="14" t="s">
        <v>536</v>
      </c>
      <c r="C24" s="14" t="s">
        <v>114</v>
      </c>
      <c r="D24" s="16" t="s">
        <v>70</v>
      </c>
      <c r="E24" s="22">
        <v>1</v>
      </c>
      <c r="F24" s="17">
        <f>일위대가표!F126</f>
        <v>0</v>
      </c>
      <c r="G24" s="17">
        <f t="shared" si="0"/>
        <v>0</v>
      </c>
      <c r="H24" s="17">
        <f>일위대가표!H126</f>
        <v>6882</v>
      </c>
      <c r="I24" s="17">
        <f t="shared" si="1"/>
        <v>6882</v>
      </c>
      <c r="J24" s="17">
        <f>일위대가표!J126</f>
        <v>0</v>
      </c>
      <c r="K24" s="17">
        <f t="shared" si="2"/>
        <v>0</v>
      </c>
      <c r="L24" s="17">
        <f t="shared" si="3"/>
        <v>6882</v>
      </c>
      <c r="M24" s="17">
        <f t="shared" si="4"/>
        <v>6882</v>
      </c>
      <c r="N24" s="15"/>
      <c r="O24" s="2" t="s">
        <v>499</v>
      </c>
    </row>
    <row r="25" spans="1:15" ht="22.9" customHeight="1" x14ac:dyDescent="0.3">
      <c r="A25" s="16" t="s">
        <v>527</v>
      </c>
      <c r="B25" s="14" t="s">
        <v>538</v>
      </c>
      <c r="C25" s="14" t="s">
        <v>114</v>
      </c>
      <c r="D25" s="16" t="s">
        <v>70</v>
      </c>
      <c r="E25" s="22">
        <v>1</v>
      </c>
      <c r="F25" s="17">
        <f>일위대가표!F132</f>
        <v>0</v>
      </c>
      <c r="G25" s="17">
        <f t="shared" si="0"/>
        <v>0</v>
      </c>
      <c r="H25" s="17">
        <f>일위대가표!H132</f>
        <v>14894</v>
      </c>
      <c r="I25" s="17">
        <f t="shared" si="1"/>
        <v>14894</v>
      </c>
      <c r="J25" s="17">
        <f>일위대가표!J132</f>
        <v>893</v>
      </c>
      <c r="K25" s="17">
        <f t="shared" si="2"/>
        <v>893</v>
      </c>
      <c r="L25" s="17">
        <f t="shared" si="3"/>
        <v>15787</v>
      </c>
      <c r="M25" s="17">
        <f t="shared" si="4"/>
        <v>15787</v>
      </c>
      <c r="N25" s="14" t="s">
        <v>288</v>
      </c>
      <c r="O25" s="2" t="s">
        <v>542</v>
      </c>
    </row>
    <row r="26" spans="1:15" ht="22.9" customHeight="1" x14ac:dyDescent="0.3">
      <c r="A26" s="16" t="s">
        <v>543</v>
      </c>
      <c r="B26" s="14" t="s">
        <v>538</v>
      </c>
      <c r="C26" s="14" t="s">
        <v>112</v>
      </c>
      <c r="D26" s="16" t="s">
        <v>70</v>
      </c>
      <c r="E26" s="22">
        <v>1</v>
      </c>
      <c r="F26" s="17">
        <f>일위대가표!F138</f>
        <v>0</v>
      </c>
      <c r="G26" s="17">
        <f t="shared" si="0"/>
        <v>0</v>
      </c>
      <c r="H26" s="17">
        <f>일위대가표!H138</f>
        <v>16574</v>
      </c>
      <c r="I26" s="17">
        <f t="shared" si="1"/>
        <v>16574</v>
      </c>
      <c r="J26" s="17">
        <f>일위대가표!J138</f>
        <v>994</v>
      </c>
      <c r="K26" s="17">
        <f t="shared" si="2"/>
        <v>994</v>
      </c>
      <c r="L26" s="17">
        <f t="shared" si="3"/>
        <v>17568</v>
      </c>
      <c r="M26" s="17">
        <f t="shared" si="4"/>
        <v>17568</v>
      </c>
      <c r="N26" s="14" t="s">
        <v>288</v>
      </c>
      <c r="O26" s="2" t="s">
        <v>542</v>
      </c>
    </row>
    <row r="27" spans="1:15" ht="22.9" customHeight="1" x14ac:dyDescent="0.3">
      <c r="A27" s="16" t="s">
        <v>516</v>
      </c>
      <c r="B27" s="14" t="s">
        <v>558</v>
      </c>
      <c r="C27" s="14" t="s">
        <v>564</v>
      </c>
      <c r="D27" s="16" t="s">
        <v>70</v>
      </c>
      <c r="E27" s="22">
        <v>1</v>
      </c>
      <c r="F27" s="17">
        <f>일위대가표!F142</f>
        <v>0</v>
      </c>
      <c r="G27" s="17">
        <f t="shared" si="0"/>
        <v>0</v>
      </c>
      <c r="H27" s="17">
        <f>일위대가표!H142</f>
        <v>20648</v>
      </c>
      <c r="I27" s="17">
        <f t="shared" si="1"/>
        <v>20648</v>
      </c>
      <c r="J27" s="17">
        <f>일위대가표!J142</f>
        <v>0</v>
      </c>
      <c r="K27" s="17">
        <f t="shared" si="2"/>
        <v>0</v>
      </c>
      <c r="L27" s="17">
        <f t="shared" si="3"/>
        <v>20648</v>
      </c>
      <c r="M27" s="17">
        <f t="shared" si="4"/>
        <v>20648</v>
      </c>
      <c r="N27" s="15"/>
    </row>
    <row r="28" spans="1:15" ht="22.9" customHeight="1" x14ac:dyDescent="0.3">
      <c r="A28" s="16" t="s">
        <v>557</v>
      </c>
      <c r="B28" s="14" t="s">
        <v>325</v>
      </c>
      <c r="C28" s="14" t="s">
        <v>324</v>
      </c>
      <c r="D28" s="16" t="s">
        <v>70</v>
      </c>
      <c r="E28" s="22">
        <v>1</v>
      </c>
      <c r="F28" s="17">
        <f>일위대가표!F147</f>
        <v>0</v>
      </c>
      <c r="G28" s="17">
        <f t="shared" si="0"/>
        <v>0</v>
      </c>
      <c r="H28" s="17">
        <f>일위대가표!H147</f>
        <v>2229</v>
      </c>
      <c r="I28" s="17">
        <f t="shared" si="1"/>
        <v>2229</v>
      </c>
      <c r="J28" s="17">
        <f>일위대가표!J147</f>
        <v>0</v>
      </c>
      <c r="K28" s="17">
        <f t="shared" si="2"/>
        <v>0</v>
      </c>
      <c r="L28" s="17">
        <f t="shared" si="3"/>
        <v>2229</v>
      </c>
      <c r="M28" s="17">
        <f t="shared" si="4"/>
        <v>2229</v>
      </c>
      <c r="N28" s="14" t="s">
        <v>502</v>
      </c>
      <c r="O28" s="2" t="s">
        <v>499</v>
      </c>
    </row>
    <row r="29" spans="1:15" ht="22.9" customHeight="1" x14ac:dyDescent="0.3">
      <c r="A29" s="16" t="s">
        <v>546</v>
      </c>
      <c r="B29" s="14" t="s">
        <v>530</v>
      </c>
      <c r="C29" s="14" t="s">
        <v>262</v>
      </c>
      <c r="D29" s="16" t="s">
        <v>70</v>
      </c>
      <c r="E29" s="22">
        <v>1</v>
      </c>
      <c r="F29" s="17">
        <f>일위대가표!F152</f>
        <v>0</v>
      </c>
      <c r="G29" s="17">
        <f t="shared" si="0"/>
        <v>0</v>
      </c>
      <c r="H29" s="17">
        <f>일위대가표!H152</f>
        <v>721</v>
      </c>
      <c r="I29" s="17">
        <f t="shared" si="1"/>
        <v>721</v>
      </c>
      <c r="J29" s="17">
        <f>일위대가표!J152</f>
        <v>0</v>
      </c>
      <c r="K29" s="17">
        <f t="shared" si="2"/>
        <v>0</v>
      </c>
      <c r="L29" s="17">
        <f t="shared" si="3"/>
        <v>721</v>
      </c>
      <c r="M29" s="17">
        <f t="shared" si="4"/>
        <v>721</v>
      </c>
      <c r="N29" s="14" t="s">
        <v>506</v>
      </c>
      <c r="O29" s="2" t="s">
        <v>499</v>
      </c>
    </row>
    <row r="30" spans="1:15" ht="22.9" customHeight="1" x14ac:dyDescent="0.3">
      <c r="A30" s="16" t="s">
        <v>562</v>
      </c>
      <c r="B30" s="14" t="s">
        <v>553</v>
      </c>
      <c r="C30" s="14" t="s">
        <v>572</v>
      </c>
      <c r="D30" s="16" t="s">
        <v>75</v>
      </c>
      <c r="E30" s="22">
        <v>1</v>
      </c>
      <c r="F30" s="17">
        <f>일위대가표!F160</f>
        <v>9295</v>
      </c>
      <c r="G30" s="17">
        <f t="shared" si="0"/>
        <v>9295</v>
      </c>
      <c r="H30" s="17">
        <f>일위대가표!H160</f>
        <v>31372</v>
      </c>
      <c r="I30" s="17">
        <f t="shared" si="1"/>
        <v>31372</v>
      </c>
      <c r="J30" s="17">
        <f>일위대가표!J160</f>
        <v>12003</v>
      </c>
      <c r="K30" s="17">
        <f t="shared" si="2"/>
        <v>12003</v>
      </c>
      <c r="L30" s="17">
        <f t="shared" si="3"/>
        <v>52670</v>
      </c>
      <c r="M30" s="17">
        <f t="shared" si="4"/>
        <v>52670</v>
      </c>
      <c r="N30" s="14" t="s">
        <v>481</v>
      </c>
      <c r="O30" s="2" t="s">
        <v>499</v>
      </c>
    </row>
    <row r="31" spans="1:15" ht="22.9" customHeight="1" x14ac:dyDescent="0.3">
      <c r="A31" s="16" t="s">
        <v>576</v>
      </c>
      <c r="B31" s="14" t="s">
        <v>242</v>
      </c>
      <c r="C31" s="14" t="s">
        <v>563</v>
      </c>
      <c r="D31" s="16" t="s">
        <v>75</v>
      </c>
      <c r="E31" s="22">
        <v>1</v>
      </c>
      <c r="F31" s="17">
        <f>일위대가표!F171</f>
        <v>12166</v>
      </c>
      <c r="G31" s="17">
        <f t="shared" si="0"/>
        <v>12166</v>
      </c>
      <c r="H31" s="17">
        <f>일위대가표!H171</f>
        <v>41136</v>
      </c>
      <c r="I31" s="17">
        <f t="shared" si="1"/>
        <v>41136</v>
      </c>
      <c r="J31" s="17">
        <f>일위대가표!J171</f>
        <v>13588</v>
      </c>
      <c r="K31" s="17">
        <f t="shared" si="2"/>
        <v>13588</v>
      </c>
      <c r="L31" s="17">
        <f t="shared" si="3"/>
        <v>66890</v>
      </c>
      <c r="M31" s="17">
        <f t="shared" si="4"/>
        <v>66890</v>
      </c>
      <c r="N31" s="14" t="s">
        <v>481</v>
      </c>
    </row>
    <row r="32" spans="1:15" ht="22.9" customHeight="1" x14ac:dyDescent="0.3">
      <c r="A32" s="16" t="s">
        <v>547</v>
      </c>
      <c r="B32" s="14" t="s">
        <v>503</v>
      </c>
      <c r="C32" s="14" t="s">
        <v>495</v>
      </c>
      <c r="D32" s="16" t="s">
        <v>75</v>
      </c>
      <c r="E32" s="22">
        <v>1</v>
      </c>
      <c r="F32" s="17">
        <f>일위대가표!F175</f>
        <v>0</v>
      </c>
      <c r="G32" s="17">
        <f t="shared" si="0"/>
        <v>0</v>
      </c>
      <c r="H32" s="17">
        <f>일위대가표!H175</f>
        <v>0</v>
      </c>
      <c r="I32" s="17">
        <f t="shared" si="1"/>
        <v>0</v>
      </c>
      <c r="J32" s="17">
        <f>일위대가표!J175</f>
        <v>24420</v>
      </c>
      <c r="K32" s="17">
        <f t="shared" si="2"/>
        <v>24420</v>
      </c>
      <c r="L32" s="17">
        <f t="shared" si="3"/>
        <v>24420</v>
      </c>
      <c r="M32" s="17">
        <f t="shared" si="4"/>
        <v>24420</v>
      </c>
      <c r="N32" s="14" t="s">
        <v>507</v>
      </c>
      <c r="O32" s="2" t="s">
        <v>499</v>
      </c>
    </row>
    <row r="33" spans="1:15" ht="22.9" customHeight="1" x14ac:dyDescent="0.3">
      <c r="A33" s="16" t="s">
        <v>549</v>
      </c>
      <c r="B33" s="14" t="s">
        <v>329</v>
      </c>
      <c r="C33" s="14" t="s">
        <v>95</v>
      </c>
      <c r="D33" s="16" t="s">
        <v>75</v>
      </c>
      <c r="E33" s="22">
        <v>1</v>
      </c>
      <c r="F33" s="17">
        <f>일위대가표!F179</f>
        <v>0</v>
      </c>
      <c r="G33" s="17">
        <f t="shared" si="0"/>
        <v>0</v>
      </c>
      <c r="H33" s="17">
        <f>일위대가표!H179</f>
        <v>0</v>
      </c>
      <c r="I33" s="17">
        <f t="shared" si="1"/>
        <v>0</v>
      </c>
      <c r="J33" s="17">
        <f>일위대가표!J179</f>
        <v>15130</v>
      </c>
      <c r="K33" s="17">
        <f t="shared" si="2"/>
        <v>15130</v>
      </c>
      <c r="L33" s="17">
        <f t="shared" si="3"/>
        <v>15130</v>
      </c>
      <c r="M33" s="17">
        <f t="shared" si="4"/>
        <v>15130</v>
      </c>
      <c r="N33" s="14" t="s">
        <v>507</v>
      </c>
      <c r="O33" s="2" t="s">
        <v>499</v>
      </c>
    </row>
    <row r="34" spans="1:15" ht="22.9" customHeight="1" x14ac:dyDescent="0.3">
      <c r="A34" s="16" t="s">
        <v>566</v>
      </c>
      <c r="B34" s="14" t="s">
        <v>330</v>
      </c>
      <c r="C34" s="14" t="s">
        <v>552</v>
      </c>
      <c r="D34" s="16" t="s">
        <v>77</v>
      </c>
      <c r="E34" s="22">
        <v>1</v>
      </c>
      <c r="F34" s="17">
        <f>일위대가표!F191</f>
        <v>212</v>
      </c>
      <c r="G34" s="17">
        <f t="shared" si="0"/>
        <v>212</v>
      </c>
      <c r="H34" s="17">
        <f>일위대가표!H191</f>
        <v>23016</v>
      </c>
      <c r="I34" s="17">
        <f t="shared" si="1"/>
        <v>23016</v>
      </c>
      <c r="J34" s="17">
        <f>일위대가표!J191</f>
        <v>44</v>
      </c>
      <c r="K34" s="17">
        <f t="shared" si="2"/>
        <v>44</v>
      </c>
      <c r="L34" s="17">
        <f t="shared" si="3"/>
        <v>23272</v>
      </c>
      <c r="M34" s="17">
        <f t="shared" si="4"/>
        <v>23272</v>
      </c>
      <c r="N34" s="14" t="s">
        <v>218</v>
      </c>
    </row>
    <row r="35" spans="1:15" ht="22.9" customHeight="1" x14ac:dyDescent="0.3">
      <c r="A35" s="16" t="s">
        <v>556</v>
      </c>
      <c r="B35" s="14" t="s">
        <v>535</v>
      </c>
      <c r="C35" s="14" t="s">
        <v>254</v>
      </c>
      <c r="D35" s="16" t="s">
        <v>67</v>
      </c>
      <c r="E35" s="22">
        <v>1</v>
      </c>
      <c r="F35" s="17">
        <f>일위대가표!F195</f>
        <v>0</v>
      </c>
      <c r="G35" s="17">
        <f t="shared" si="0"/>
        <v>0</v>
      </c>
      <c r="H35" s="17">
        <f>일위대가표!H195</f>
        <v>52439</v>
      </c>
      <c r="I35" s="17">
        <f t="shared" si="1"/>
        <v>52439</v>
      </c>
      <c r="J35" s="17">
        <f>일위대가표!J195</f>
        <v>0</v>
      </c>
      <c r="K35" s="17">
        <f t="shared" si="2"/>
        <v>0</v>
      </c>
      <c r="L35" s="17">
        <f t="shared" si="3"/>
        <v>52439</v>
      </c>
      <c r="M35" s="17">
        <f t="shared" si="4"/>
        <v>52439</v>
      </c>
      <c r="N35" s="15"/>
      <c r="O35" s="2" t="s">
        <v>499</v>
      </c>
    </row>
    <row r="36" spans="1:15" ht="22.9" customHeight="1" x14ac:dyDescent="0.3">
      <c r="A36" s="16" t="s">
        <v>559</v>
      </c>
      <c r="B36" s="14" t="s">
        <v>574</v>
      </c>
      <c r="C36" s="14" t="s">
        <v>167</v>
      </c>
      <c r="D36" s="16" t="s">
        <v>79</v>
      </c>
      <c r="E36" s="22">
        <v>1</v>
      </c>
      <c r="F36" s="17">
        <f>일위대가표!F201</f>
        <v>285</v>
      </c>
      <c r="G36" s="17">
        <f t="shared" si="0"/>
        <v>285</v>
      </c>
      <c r="H36" s="17">
        <f>일위대가표!H201</f>
        <v>14276</v>
      </c>
      <c r="I36" s="17">
        <f t="shared" si="1"/>
        <v>14276</v>
      </c>
      <c r="J36" s="17">
        <f>일위대가표!J201</f>
        <v>0</v>
      </c>
      <c r="K36" s="17">
        <f t="shared" si="2"/>
        <v>0</v>
      </c>
      <c r="L36" s="17">
        <f t="shared" si="3"/>
        <v>14561</v>
      </c>
      <c r="M36" s="17">
        <f t="shared" si="4"/>
        <v>14561</v>
      </c>
      <c r="N36" s="14" t="s">
        <v>241</v>
      </c>
      <c r="O36" s="2" t="s">
        <v>499</v>
      </c>
    </row>
    <row r="37" spans="1:15" ht="22.9" customHeight="1" x14ac:dyDescent="0.3">
      <c r="A37" s="16" t="s">
        <v>575</v>
      </c>
      <c r="B37" s="14" t="s">
        <v>331</v>
      </c>
      <c r="C37" s="14" t="s">
        <v>30</v>
      </c>
      <c r="D37" s="16" t="s">
        <v>70</v>
      </c>
      <c r="E37" s="22">
        <v>1</v>
      </c>
      <c r="F37" s="17">
        <f>일위대가표!F206</f>
        <v>0</v>
      </c>
      <c r="G37" s="17">
        <f t="shared" si="0"/>
        <v>0</v>
      </c>
      <c r="H37" s="17">
        <f>일위대가표!H206</f>
        <v>4840</v>
      </c>
      <c r="I37" s="17">
        <f t="shared" si="1"/>
        <v>4840</v>
      </c>
      <c r="J37" s="17">
        <f>일위대가표!J206</f>
        <v>0</v>
      </c>
      <c r="K37" s="17">
        <f t="shared" si="2"/>
        <v>0</v>
      </c>
      <c r="L37" s="17">
        <f t="shared" si="3"/>
        <v>4840</v>
      </c>
      <c r="M37" s="17">
        <f t="shared" si="4"/>
        <v>4840</v>
      </c>
      <c r="N37" s="14" t="s">
        <v>268</v>
      </c>
      <c r="O37" s="2" t="s">
        <v>499</v>
      </c>
    </row>
    <row r="38" spans="1:15" ht="22.9" customHeight="1" x14ac:dyDescent="0.3">
      <c r="A38" s="16" t="s">
        <v>501</v>
      </c>
      <c r="B38" s="14" t="s">
        <v>290</v>
      </c>
      <c r="C38" s="14" t="s">
        <v>491</v>
      </c>
      <c r="D38" s="16" t="s">
        <v>75</v>
      </c>
      <c r="E38" s="22">
        <v>1</v>
      </c>
      <c r="F38" s="17">
        <f>일위대가표!F216</f>
        <v>1486</v>
      </c>
      <c r="G38" s="17">
        <f t="shared" si="0"/>
        <v>1486</v>
      </c>
      <c r="H38" s="17">
        <f>일위대가표!H216</f>
        <v>8228</v>
      </c>
      <c r="I38" s="17">
        <f t="shared" si="1"/>
        <v>8228</v>
      </c>
      <c r="J38" s="17">
        <f>일위대가표!J216</f>
        <v>1281</v>
      </c>
      <c r="K38" s="17">
        <f t="shared" si="2"/>
        <v>1281</v>
      </c>
      <c r="L38" s="17">
        <f t="shared" si="3"/>
        <v>10995</v>
      </c>
      <c r="M38" s="17">
        <f t="shared" si="4"/>
        <v>10995</v>
      </c>
      <c r="N38" s="14" t="s">
        <v>482</v>
      </c>
      <c r="O38" s="2" t="s">
        <v>222</v>
      </c>
    </row>
    <row r="39" spans="1:15" ht="22.9" customHeight="1" x14ac:dyDescent="0.3">
      <c r="A39" s="16" t="s">
        <v>512</v>
      </c>
      <c r="B39" s="14" t="s">
        <v>493</v>
      </c>
      <c r="C39" s="14" t="s">
        <v>492</v>
      </c>
      <c r="D39" s="16" t="s">
        <v>75</v>
      </c>
      <c r="E39" s="22">
        <v>1</v>
      </c>
      <c r="F39" s="17">
        <f>일위대가표!F224</f>
        <v>1257</v>
      </c>
      <c r="G39" s="17">
        <f t="shared" si="0"/>
        <v>1257</v>
      </c>
      <c r="H39" s="17">
        <f>일위대가표!H224</f>
        <v>9670</v>
      </c>
      <c r="I39" s="17">
        <f t="shared" si="1"/>
        <v>9670</v>
      </c>
      <c r="J39" s="17">
        <f>일위대가표!J224</f>
        <v>1407</v>
      </c>
      <c r="K39" s="17">
        <f t="shared" si="2"/>
        <v>1407</v>
      </c>
      <c r="L39" s="17">
        <f t="shared" si="3"/>
        <v>12334</v>
      </c>
      <c r="M39" s="17">
        <f t="shared" si="4"/>
        <v>12334</v>
      </c>
      <c r="N39" s="14" t="s">
        <v>497</v>
      </c>
    </row>
    <row r="40" spans="1:15" ht="22.9" customHeight="1" x14ac:dyDescent="0.3">
      <c r="A40" s="22"/>
      <c r="B40" s="15"/>
      <c r="C40" s="15"/>
      <c r="D40" s="22"/>
      <c r="E40" s="22"/>
      <c r="F40" s="17"/>
      <c r="G40" s="17"/>
      <c r="H40" s="17"/>
      <c r="I40" s="17"/>
      <c r="J40" s="17"/>
      <c r="K40" s="17"/>
      <c r="L40" s="17"/>
      <c r="M40" s="17"/>
      <c r="N40" s="15"/>
    </row>
    <row r="41" spans="1:15" ht="22.9" customHeight="1" x14ac:dyDescent="0.3">
      <c r="A41" s="22"/>
      <c r="B41" s="15"/>
      <c r="C41" s="15"/>
      <c r="D41" s="22"/>
      <c r="E41" s="22"/>
      <c r="F41" s="17"/>
      <c r="G41" s="17"/>
      <c r="H41" s="17"/>
      <c r="I41" s="17"/>
      <c r="J41" s="17"/>
      <c r="K41" s="17"/>
      <c r="L41" s="17"/>
      <c r="M41" s="17"/>
      <c r="N41" s="15"/>
    </row>
    <row r="42" spans="1:15" ht="22.9" customHeight="1" x14ac:dyDescent="0.3">
      <c r="A42" s="22"/>
      <c r="B42" s="15"/>
      <c r="C42" s="15"/>
      <c r="D42" s="22"/>
      <c r="E42" s="22"/>
      <c r="F42" s="17"/>
      <c r="G42" s="17"/>
      <c r="H42" s="17"/>
      <c r="I42" s="17"/>
      <c r="J42" s="17"/>
      <c r="K42" s="17"/>
      <c r="L42" s="17"/>
      <c r="M42" s="17"/>
      <c r="N42" s="15"/>
    </row>
    <row r="43" spans="1:15" ht="22.9" customHeight="1" x14ac:dyDescent="0.3">
      <c r="A43" s="22"/>
      <c r="B43" s="15"/>
      <c r="C43" s="15"/>
      <c r="D43" s="22"/>
      <c r="E43" s="22"/>
      <c r="F43" s="17"/>
      <c r="G43" s="17"/>
      <c r="H43" s="17"/>
      <c r="I43" s="17"/>
      <c r="J43" s="17"/>
      <c r="K43" s="17"/>
      <c r="L43" s="17"/>
      <c r="M43" s="17"/>
      <c r="N43" s="15"/>
    </row>
    <row r="44" spans="1:15" ht="22.9" customHeight="1" x14ac:dyDescent="0.3">
      <c r="A44" s="22"/>
      <c r="B44" s="15"/>
      <c r="C44" s="15"/>
      <c r="D44" s="22"/>
      <c r="E44" s="22"/>
      <c r="F44" s="17"/>
      <c r="G44" s="17"/>
      <c r="H44" s="17"/>
      <c r="I44" s="17"/>
      <c r="J44" s="17"/>
      <c r="K44" s="17"/>
      <c r="L44" s="17"/>
      <c r="M44" s="17"/>
      <c r="N44" s="15"/>
    </row>
    <row r="45" spans="1:15" ht="22.9" customHeight="1" x14ac:dyDescent="0.3">
      <c r="A45" s="22"/>
      <c r="B45" s="15"/>
      <c r="C45" s="15"/>
      <c r="D45" s="22"/>
      <c r="E45" s="22"/>
      <c r="F45" s="17"/>
      <c r="G45" s="17"/>
      <c r="H45" s="17"/>
      <c r="I45" s="17"/>
      <c r="J45" s="17"/>
      <c r="K45" s="17"/>
      <c r="L45" s="17"/>
      <c r="M45" s="17"/>
      <c r="N45" s="15"/>
    </row>
    <row r="46" spans="1:15" ht="22.9" customHeight="1" x14ac:dyDescent="0.3">
      <c r="A46" s="22"/>
      <c r="B46" s="15"/>
      <c r="C46" s="15"/>
      <c r="D46" s="22"/>
      <c r="E46" s="22"/>
      <c r="F46" s="17"/>
      <c r="G46" s="17"/>
      <c r="H46" s="17"/>
      <c r="I46" s="17"/>
      <c r="J46" s="17"/>
      <c r="K46" s="17"/>
      <c r="L46" s="17"/>
      <c r="M46" s="17"/>
      <c r="N46" s="15"/>
    </row>
    <row r="47" spans="1:15" ht="22.9" customHeight="1" x14ac:dyDescent="0.3">
      <c r="A47" s="22"/>
      <c r="B47" s="15"/>
      <c r="C47" s="15"/>
      <c r="D47" s="22"/>
      <c r="E47" s="22"/>
      <c r="F47" s="17"/>
      <c r="G47" s="17"/>
      <c r="H47" s="17"/>
      <c r="I47" s="17"/>
      <c r="J47" s="17"/>
      <c r="K47" s="17"/>
      <c r="L47" s="17"/>
      <c r="M47" s="17"/>
      <c r="N47" s="15"/>
    </row>
    <row r="48" spans="1:15" ht="22.9" customHeight="1" x14ac:dyDescent="0.3">
      <c r="A48" s="22"/>
      <c r="B48" s="15"/>
      <c r="C48" s="15"/>
      <c r="D48" s="22"/>
      <c r="E48" s="22"/>
      <c r="F48" s="17"/>
      <c r="G48" s="17"/>
      <c r="H48" s="17"/>
      <c r="I48" s="17"/>
      <c r="J48" s="17"/>
      <c r="K48" s="17"/>
      <c r="L48" s="17"/>
      <c r="M48" s="17"/>
      <c r="N48" s="15"/>
    </row>
    <row r="49" spans="1:14" ht="22.9" customHeight="1" x14ac:dyDescent="0.3">
      <c r="A49" s="22"/>
      <c r="B49" s="15"/>
      <c r="C49" s="15"/>
      <c r="D49" s="22"/>
      <c r="E49" s="22"/>
      <c r="F49" s="17"/>
      <c r="G49" s="17"/>
      <c r="H49" s="17"/>
      <c r="I49" s="17"/>
      <c r="J49" s="17"/>
      <c r="K49" s="17"/>
      <c r="L49" s="17"/>
      <c r="M49" s="17"/>
      <c r="N49" s="15"/>
    </row>
    <row r="50" spans="1:14" ht="22.9" customHeight="1" x14ac:dyDescent="0.3">
      <c r="A50" s="22"/>
      <c r="B50" s="15"/>
      <c r="C50" s="15"/>
      <c r="D50" s="22"/>
      <c r="E50" s="22"/>
      <c r="F50" s="17"/>
      <c r="G50" s="17"/>
      <c r="H50" s="17"/>
      <c r="I50" s="17"/>
      <c r="J50" s="17"/>
      <c r="K50" s="17"/>
      <c r="L50" s="17"/>
      <c r="M50" s="17"/>
      <c r="N50" s="15"/>
    </row>
    <row r="51" spans="1:14" ht="22.9" customHeight="1" x14ac:dyDescent="0.3">
      <c r="A51" s="22"/>
      <c r="B51" s="15"/>
      <c r="C51" s="15"/>
      <c r="D51" s="22"/>
      <c r="E51" s="22"/>
      <c r="F51" s="17"/>
      <c r="G51" s="17"/>
      <c r="H51" s="17"/>
      <c r="I51" s="17"/>
      <c r="J51" s="17"/>
      <c r="K51" s="17"/>
      <c r="L51" s="17"/>
      <c r="M51" s="17"/>
      <c r="N51" s="15"/>
    </row>
    <row r="52" spans="1:14" ht="22.9" customHeight="1" x14ac:dyDescent="0.3">
      <c r="A52" s="22"/>
      <c r="B52" s="15"/>
      <c r="C52" s="15"/>
      <c r="D52" s="22"/>
      <c r="E52" s="22"/>
      <c r="F52" s="17"/>
      <c r="G52" s="17"/>
      <c r="H52" s="17"/>
      <c r="I52" s="17"/>
      <c r="J52" s="17"/>
      <c r="K52" s="17"/>
      <c r="L52" s="17"/>
      <c r="M52" s="17"/>
      <c r="N52" s="15"/>
    </row>
  </sheetData>
  <mergeCells count="12">
    <mergeCell ref="J3:K3"/>
    <mergeCell ref="L3:M3"/>
    <mergeCell ref="A1:N1"/>
    <mergeCell ref="A2:N2"/>
    <mergeCell ref="A3:A4"/>
    <mergeCell ref="B3:B4"/>
    <mergeCell ref="C3:C4"/>
    <mergeCell ref="D3:D4"/>
    <mergeCell ref="E3:E4"/>
    <mergeCell ref="N3:N4"/>
    <mergeCell ref="F3:G3"/>
    <mergeCell ref="H3:I3"/>
  </mergeCells>
  <phoneticPr fontId="12" type="noConversion"/>
  <conditionalFormatting sqref="A5:N52">
    <cfRule type="containsText" dxfId="17" priority="1" stopIfTrue="1" operator="containsText" text=".">
      <formula>NOT(ISERROR(SEARCH(".",A5)))</formula>
    </cfRule>
    <cfRule type="containsText" dxfId="16" priority="2" stopIfTrue="1" operator="containsText" text=".">
      <formula>ISERROR(SEARCH(".",A5))</formula>
    </cfRule>
  </conditionalFormatting>
  <pageMargins left="0.74513888359069824" right="0" top="0.54847222566604614" bottom="0.1388888955116272" header="0.30000001192092896" footer="0.1388888955116272"/>
  <pageSetup paperSize="9" orientation="landscape"/>
  <rowBreaks count="3" manualBreakCount="3">
    <brk id="20" max="1048575" man="1"/>
    <brk id="36" max="1048575" man="1"/>
    <brk id="52" max="1048575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tabColor rgb="FFFFFFB7"/>
  </sheetPr>
  <dimension ref="A1:T228"/>
  <sheetViews>
    <sheetView zoomScaleNormal="100" zoomScaleSheetLayoutView="75" workbookViewId="0">
      <pane xSplit="4" ySplit="4" topLeftCell="E5" activePane="bottomRight" state="frozen"/>
      <selection pane="topRight"/>
      <selection pane="bottomLeft"/>
      <selection pane="bottomRight" sqref="A1:M1"/>
    </sheetView>
  </sheetViews>
  <sheetFormatPr defaultColWidth="9" defaultRowHeight="16.5" x14ac:dyDescent="0.3"/>
  <cols>
    <col min="1" max="2" width="20.75" style="3" customWidth="1"/>
    <col min="3" max="3" width="4.75" style="4" customWidth="1"/>
    <col min="4" max="5" width="6.75" style="5" customWidth="1"/>
    <col min="6" max="6" width="9.75" style="5" customWidth="1"/>
    <col min="7" max="7" width="6.75" style="5" customWidth="1"/>
    <col min="8" max="8" width="9.75" style="5" customWidth="1"/>
    <col min="9" max="9" width="6.75" style="5" customWidth="1"/>
    <col min="10" max="10" width="9.75" style="5" customWidth="1"/>
    <col min="11" max="11" width="6.75" style="5" customWidth="1"/>
    <col min="12" max="12" width="9.75" style="5" customWidth="1"/>
    <col min="13" max="13" width="8.75" style="3" customWidth="1"/>
    <col min="14" max="20" width="0" style="1" hidden="1" customWidth="1"/>
  </cols>
  <sheetData>
    <row r="1" spans="1:20" ht="30" customHeight="1" x14ac:dyDescent="0.3">
      <c r="A1" s="68" t="s">
        <v>213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</row>
    <row r="2" spans="1:20" ht="22.9" customHeight="1" x14ac:dyDescent="0.3">
      <c r="A2" s="69" t="s">
        <v>308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</row>
    <row r="3" spans="1:20" ht="22.9" customHeight="1" x14ac:dyDescent="0.3">
      <c r="A3" s="56" t="s">
        <v>304</v>
      </c>
      <c r="B3" s="56" t="s">
        <v>300</v>
      </c>
      <c r="C3" s="56" t="s">
        <v>3</v>
      </c>
      <c r="D3" s="56" t="s">
        <v>427</v>
      </c>
      <c r="E3" s="56" t="s">
        <v>477</v>
      </c>
      <c r="F3" s="56"/>
      <c r="G3" s="56" t="s">
        <v>470</v>
      </c>
      <c r="H3" s="56"/>
      <c r="I3" s="56" t="s">
        <v>305</v>
      </c>
      <c r="J3" s="56"/>
      <c r="K3" s="56" t="s">
        <v>301</v>
      </c>
      <c r="L3" s="56"/>
      <c r="M3" s="56" t="s">
        <v>424</v>
      </c>
    </row>
    <row r="4" spans="1:20" ht="22.9" customHeight="1" x14ac:dyDescent="0.3">
      <c r="A4" s="56"/>
      <c r="B4" s="56"/>
      <c r="C4" s="56"/>
      <c r="D4" s="56"/>
      <c r="E4" s="12" t="s">
        <v>432</v>
      </c>
      <c r="F4" s="12" t="s">
        <v>435</v>
      </c>
      <c r="G4" s="12" t="s">
        <v>432</v>
      </c>
      <c r="H4" s="12" t="s">
        <v>435</v>
      </c>
      <c r="I4" s="12" t="s">
        <v>432</v>
      </c>
      <c r="J4" s="12" t="s">
        <v>435</v>
      </c>
      <c r="K4" s="12" t="s">
        <v>432</v>
      </c>
      <c r="L4" s="12" t="s">
        <v>435</v>
      </c>
      <c r="M4" s="56"/>
      <c r="N4" s="1" t="s">
        <v>445</v>
      </c>
      <c r="O4" s="1" t="s">
        <v>430</v>
      </c>
      <c r="P4" s="1" t="s">
        <v>433</v>
      </c>
      <c r="Q4" s="1" t="s">
        <v>426</v>
      </c>
      <c r="R4" s="1" t="s">
        <v>447</v>
      </c>
      <c r="S4" s="1" t="s">
        <v>434</v>
      </c>
      <c r="T4" s="1" t="s">
        <v>7</v>
      </c>
    </row>
    <row r="5" spans="1:20" ht="22.9" customHeight="1" x14ac:dyDescent="0.3">
      <c r="A5" s="78" t="s">
        <v>151</v>
      </c>
      <c r="B5" s="79"/>
      <c r="C5" s="79"/>
      <c r="D5" s="79"/>
      <c r="E5" s="79"/>
      <c r="F5" s="79"/>
      <c r="G5" s="79"/>
      <c r="H5" s="79"/>
      <c r="I5" s="79"/>
      <c r="J5" s="79"/>
      <c r="K5" s="79"/>
      <c r="L5" s="80"/>
      <c r="M5" s="13" t="s">
        <v>165</v>
      </c>
    </row>
    <row r="6" spans="1:20" ht="22.9" customHeight="1" x14ac:dyDescent="0.3">
      <c r="A6" s="14" t="s">
        <v>385</v>
      </c>
      <c r="B6" s="14" t="s">
        <v>360</v>
      </c>
      <c r="C6" s="16" t="s">
        <v>10</v>
      </c>
      <c r="D6" s="17">
        <v>0.28000000000000003</v>
      </c>
      <c r="E6" s="17">
        <f>단가대비표!O10</f>
        <v>27739</v>
      </c>
      <c r="F6" s="17">
        <f t="shared" ref="F6:F17" si="0">ROUNDDOWN(D6*E6,1)</f>
        <v>7766.9</v>
      </c>
      <c r="G6" s="17">
        <v>0</v>
      </c>
      <c r="H6" s="17">
        <f t="shared" ref="H6:H17" si="1">ROUNDDOWN(D6*G6,1)</f>
        <v>0</v>
      </c>
      <c r="I6" s="17">
        <v>0</v>
      </c>
      <c r="J6" s="17">
        <f t="shared" ref="J6:J17" si="2">ROUNDDOWN(D6*I6,1)</f>
        <v>0</v>
      </c>
      <c r="K6" s="17">
        <f t="shared" ref="K6:K17" si="3">E6+G6+I6</f>
        <v>27739</v>
      </c>
      <c r="L6" s="17">
        <f t="shared" ref="L6:L17" si="4">F6+H6+J6</f>
        <v>7766.9</v>
      </c>
      <c r="M6" s="14" t="s">
        <v>12</v>
      </c>
      <c r="O6" s="2" t="s">
        <v>41</v>
      </c>
      <c r="P6" s="2" t="s">
        <v>438</v>
      </c>
      <c r="Q6" s="1">
        <v>1</v>
      </c>
    </row>
    <row r="7" spans="1:20" ht="22.9" customHeight="1" x14ac:dyDescent="0.3">
      <c r="A7" s="14" t="s">
        <v>385</v>
      </c>
      <c r="B7" s="14" t="s">
        <v>595</v>
      </c>
      <c r="C7" s="16" t="s">
        <v>16</v>
      </c>
      <c r="D7" s="17">
        <v>0.28000000000000003</v>
      </c>
      <c r="E7" s="17">
        <f>단가대비표!O8</f>
        <v>19180</v>
      </c>
      <c r="F7" s="17">
        <f t="shared" si="0"/>
        <v>5370.4</v>
      </c>
      <c r="G7" s="17">
        <v>0</v>
      </c>
      <c r="H7" s="17">
        <f t="shared" si="1"/>
        <v>0</v>
      </c>
      <c r="I7" s="17">
        <v>0</v>
      </c>
      <c r="J7" s="17">
        <f t="shared" si="2"/>
        <v>0</v>
      </c>
      <c r="K7" s="17">
        <f t="shared" si="3"/>
        <v>19180</v>
      </c>
      <c r="L7" s="17">
        <f t="shared" si="4"/>
        <v>5370.4</v>
      </c>
      <c r="M7" s="15"/>
      <c r="O7" s="2" t="s">
        <v>41</v>
      </c>
      <c r="P7" s="2" t="s">
        <v>438</v>
      </c>
      <c r="Q7" s="1">
        <v>1</v>
      </c>
    </row>
    <row r="8" spans="1:20" ht="22.9" customHeight="1" x14ac:dyDescent="0.3">
      <c r="A8" s="14" t="s">
        <v>385</v>
      </c>
      <c r="B8" s="14" t="s">
        <v>594</v>
      </c>
      <c r="C8" s="16" t="s">
        <v>10</v>
      </c>
      <c r="D8" s="17">
        <v>0.56000000000000005</v>
      </c>
      <c r="E8" s="17">
        <f>단가대비표!O14</f>
        <v>25000</v>
      </c>
      <c r="F8" s="17">
        <f t="shared" si="0"/>
        <v>14000</v>
      </c>
      <c r="G8" s="17">
        <v>0</v>
      </c>
      <c r="H8" s="17">
        <f t="shared" si="1"/>
        <v>0</v>
      </c>
      <c r="I8" s="17">
        <v>0</v>
      </c>
      <c r="J8" s="17">
        <f t="shared" si="2"/>
        <v>0</v>
      </c>
      <c r="K8" s="17">
        <f t="shared" si="3"/>
        <v>25000</v>
      </c>
      <c r="L8" s="17">
        <f t="shared" si="4"/>
        <v>14000</v>
      </c>
      <c r="M8" s="14" t="s">
        <v>4</v>
      </c>
      <c r="O8" s="2" t="s">
        <v>41</v>
      </c>
      <c r="P8" s="2" t="s">
        <v>438</v>
      </c>
      <c r="Q8" s="1">
        <v>1</v>
      </c>
    </row>
    <row r="9" spans="1:20" ht="22.9" customHeight="1" x14ac:dyDescent="0.3">
      <c r="A9" s="14" t="s">
        <v>385</v>
      </c>
      <c r="B9" s="14" t="s">
        <v>205</v>
      </c>
      <c r="C9" s="16" t="s">
        <v>10</v>
      </c>
      <c r="D9" s="17">
        <v>0.28000000000000003</v>
      </c>
      <c r="E9" s="17">
        <f>단가대비표!O13</f>
        <v>5700</v>
      </c>
      <c r="F9" s="17">
        <f t="shared" si="0"/>
        <v>1596</v>
      </c>
      <c r="G9" s="17">
        <v>0</v>
      </c>
      <c r="H9" s="17">
        <f t="shared" si="1"/>
        <v>0</v>
      </c>
      <c r="I9" s="17">
        <v>0</v>
      </c>
      <c r="J9" s="17">
        <f t="shared" si="2"/>
        <v>0</v>
      </c>
      <c r="K9" s="17">
        <f t="shared" si="3"/>
        <v>5700</v>
      </c>
      <c r="L9" s="17">
        <f t="shared" si="4"/>
        <v>1596</v>
      </c>
      <c r="M9" s="15"/>
      <c r="O9" s="2" t="s">
        <v>41</v>
      </c>
      <c r="P9" s="2" t="s">
        <v>438</v>
      </c>
      <c r="Q9" s="1">
        <v>1</v>
      </c>
    </row>
    <row r="10" spans="1:20" ht="22.9" customHeight="1" x14ac:dyDescent="0.3">
      <c r="A10" s="14" t="s">
        <v>385</v>
      </c>
      <c r="B10" s="14" t="s">
        <v>177</v>
      </c>
      <c r="C10" s="16" t="s">
        <v>10</v>
      </c>
      <c r="D10" s="17">
        <v>0.14000000000000001</v>
      </c>
      <c r="E10" s="17">
        <f>단가대비표!O11</f>
        <v>1440</v>
      </c>
      <c r="F10" s="17">
        <f t="shared" si="0"/>
        <v>201.6</v>
      </c>
      <c r="G10" s="17">
        <v>0</v>
      </c>
      <c r="H10" s="17">
        <f t="shared" si="1"/>
        <v>0</v>
      </c>
      <c r="I10" s="17">
        <v>0</v>
      </c>
      <c r="J10" s="17">
        <f t="shared" si="2"/>
        <v>0</v>
      </c>
      <c r="K10" s="17">
        <f t="shared" si="3"/>
        <v>1440</v>
      </c>
      <c r="L10" s="17">
        <f t="shared" si="4"/>
        <v>201.6</v>
      </c>
      <c r="M10" s="15"/>
      <c r="O10" s="2" t="s">
        <v>41</v>
      </c>
      <c r="P10" s="2" t="s">
        <v>438</v>
      </c>
      <c r="Q10" s="1">
        <v>1</v>
      </c>
    </row>
    <row r="11" spans="1:20" ht="22.9" customHeight="1" x14ac:dyDescent="0.3">
      <c r="A11" s="14" t="s">
        <v>385</v>
      </c>
      <c r="B11" s="14" t="s">
        <v>172</v>
      </c>
      <c r="C11" s="16" t="s">
        <v>10</v>
      </c>
      <c r="D11" s="17">
        <v>0.28000000000000003</v>
      </c>
      <c r="E11" s="17">
        <f>단가대비표!O12</f>
        <v>2100</v>
      </c>
      <c r="F11" s="17">
        <f t="shared" si="0"/>
        <v>588</v>
      </c>
      <c r="G11" s="17">
        <v>0</v>
      </c>
      <c r="H11" s="17">
        <f t="shared" si="1"/>
        <v>0</v>
      </c>
      <c r="I11" s="17">
        <v>0</v>
      </c>
      <c r="J11" s="17">
        <f t="shared" si="2"/>
        <v>0</v>
      </c>
      <c r="K11" s="17">
        <f t="shared" si="3"/>
        <v>2100</v>
      </c>
      <c r="L11" s="17">
        <f t="shared" si="4"/>
        <v>588</v>
      </c>
      <c r="M11" s="15"/>
      <c r="O11" s="2" t="s">
        <v>41</v>
      </c>
      <c r="P11" s="2" t="s">
        <v>438</v>
      </c>
      <c r="Q11" s="1">
        <v>1</v>
      </c>
    </row>
    <row r="12" spans="1:20" ht="22.9" customHeight="1" x14ac:dyDescent="0.3">
      <c r="A12" s="14" t="s">
        <v>385</v>
      </c>
      <c r="B12" s="14" t="s">
        <v>159</v>
      </c>
      <c r="C12" s="16" t="s">
        <v>10</v>
      </c>
      <c r="D12" s="17">
        <v>0.48</v>
      </c>
      <c r="E12" s="17">
        <f>단가대비표!O15</f>
        <v>1330</v>
      </c>
      <c r="F12" s="17">
        <f t="shared" si="0"/>
        <v>638.4</v>
      </c>
      <c r="G12" s="17">
        <v>0</v>
      </c>
      <c r="H12" s="17">
        <f t="shared" si="1"/>
        <v>0</v>
      </c>
      <c r="I12" s="17">
        <v>0</v>
      </c>
      <c r="J12" s="17">
        <f t="shared" si="2"/>
        <v>0</v>
      </c>
      <c r="K12" s="17">
        <f t="shared" si="3"/>
        <v>1330</v>
      </c>
      <c r="L12" s="17">
        <f t="shared" si="4"/>
        <v>638.4</v>
      </c>
      <c r="M12" s="15"/>
      <c r="O12" s="2" t="s">
        <v>41</v>
      </c>
      <c r="P12" s="2" t="s">
        <v>438</v>
      </c>
      <c r="Q12" s="1">
        <v>1</v>
      </c>
    </row>
    <row r="13" spans="1:20" ht="22.9" customHeight="1" x14ac:dyDescent="0.3">
      <c r="A13" s="14" t="s">
        <v>385</v>
      </c>
      <c r="B13" s="14" t="s">
        <v>286</v>
      </c>
      <c r="C13" s="16" t="s">
        <v>10</v>
      </c>
      <c r="D13" s="17">
        <v>0.36</v>
      </c>
      <c r="E13" s="17">
        <f>단가대비표!O9</f>
        <v>9500</v>
      </c>
      <c r="F13" s="17">
        <f t="shared" si="0"/>
        <v>3420</v>
      </c>
      <c r="G13" s="17">
        <v>0</v>
      </c>
      <c r="H13" s="17">
        <f t="shared" si="1"/>
        <v>0</v>
      </c>
      <c r="I13" s="17">
        <v>0</v>
      </c>
      <c r="J13" s="17">
        <f t="shared" si="2"/>
        <v>0</v>
      </c>
      <c r="K13" s="17">
        <f t="shared" si="3"/>
        <v>9500</v>
      </c>
      <c r="L13" s="17">
        <f t="shared" si="4"/>
        <v>3420</v>
      </c>
      <c r="M13" s="14" t="s">
        <v>5</v>
      </c>
      <c r="O13" s="2" t="s">
        <v>41</v>
      </c>
      <c r="P13" s="2" t="s">
        <v>438</v>
      </c>
      <c r="Q13" s="1">
        <v>1</v>
      </c>
    </row>
    <row r="14" spans="1:20" ht="22.9" customHeight="1" x14ac:dyDescent="0.3">
      <c r="A14" s="14" t="s">
        <v>385</v>
      </c>
      <c r="B14" s="14" t="s">
        <v>287</v>
      </c>
      <c r="C14" s="16" t="s">
        <v>10</v>
      </c>
      <c r="D14" s="17">
        <v>0.36</v>
      </c>
      <c r="E14" s="17">
        <f>단가대비표!O16</f>
        <v>11000</v>
      </c>
      <c r="F14" s="17">
        <f t="shared" si="0"/>
        <v>3960</v>
      </c>
      <c r="G14" s="17">
        <v>0</v>
      </c>
      <c r="H14" s="17">
        <f t="shared" si="1"/>
        <v>0</v>
      </c>
      <c r="I14" s="17">
        <v>0</v>
      </c>
      <c r="J14" s="17">
        <f t="shared" si="2"/>
        <v>0</v>
      </c>
      <c r="K14" s="17">
        <f t="shared" si="3"/>
        <v>11000</v>
      </c>
      <c r="L14" s="17">
        <f t="shared" si="4"/>
        <v>3960</v>
      </c>
      <c r="M14" s="14" t="s">
        <v>375</v>
      </c>
      <c r="O14" s="2" t="s">
        <v>41</v>
      </c>
      <c r="P14" s="2" t="s">
        <v>438</v>
      </c>
      <c r="Q14" s="1">
        <v>1</v>
      </c>
    </row>
    <row r="15" spans="1:20" ht="22.9" customHeight="1" x14ac:dyDescent="0.3">
      <c r="A15" s="14" t="s">
        <v>371</v>
      </c>
      <c r="B15" s="14" t="s">
        <v>591</v>
      </c>
      <c r="C15" s="16" t="s">
        <v>2</v>
      </c>
      <c r="D15" s="17">
        <v>0.63</v>
      </c>
      <c r="E15" s="17">
        <f>단가대비표!O6</f>
        <v>18500</v>
      </c>
      <c r="F15" s="17">
        <f t="shared" si="0"/>
        <v>11655</v>
      </c>
      <c r="G15" s="17">
        <v>0</v>
      </c>
      <c r="H15" s="17">
        <f t="shared" si="1"/>
        <v>0</v>
      </c>
      <c r="I15" s="17">
        <v>0</v>
      </c>
      <c r="J15" s="17">
        <f t="shared" si="2"/>
        <v>0</v>
      </c>
      <c r="K15" s="17">
        <f t="shared" si="3"/>
        <v>18500</v>
      </c>
      <c r="L15" s="17">
        <f t="shared" si="4"/>
        <v>11655</v>
      </c>
      <c r="M15" s="14" t="s">
        <v>204</v>
      </c>
      <c r="O15" s="2" t="s">
        <v>41</v>
      </c>
      <c r="P15" s="2" t="s">
        <v>438</v>
      </c>
      <c r="Q15" s="1">
        <v>1</v>
      </c>
    </row>
    <row r="16" spans="1:20" ht="22.9" customHeight="1" x14ac:dyDescent="0.3">
      <c r="A16" s="14" t="s">
        <v>36</v>
      </c>
      <c r="B16" s="14" t="s">
        <v>413</v>
      </c>
      <c r="C16" s="16" t="s">
        <v>46</v>
      </c>
      <c r="D16" s="17">
        <v>0.41</v>
      </c>
      <c r="E16" s="17">
        <v>0</v>
      </c>
      <c r="F16" s="17">
        <f t="shared" si="0"/>
        <v>0</v>
      </c>
      <c r="G16" s="17">
        <f>단가대비표!O29</f>
        <v>281939</v>
      </c>
      <c r="H16" s="17">
        <f t="shared" si="1"/>
        <v>115594.9</v>
      </c>
      <c r="I16" s="17">
        <v>0</v>
      </c>
      <c r="J16" s="17">
        <f t="shared" si="2"/>
        <v>0</v>
      </c>
      <c r="K16" s="17">
        <f t="shared" si="3"/>
        <v>281939</v>
      </c>
      <c r="L16" s="17">
        <f t="shared" si="4"/>
        <v>115594.9</v>
      </c>
      <c r="M16" s="15"/>
      <c r="O16" s="2" t="s">
        <v>52</v>
      </c>
      <c r="P16" s="2" t="s">
        <v>438</v>
      </c>
      <c r="Q16" s="1">
        <v>1</v>
      </c>
    </row>
    <row r="17" spans="1:20" ht="22.9" customHeight="1" x14ac:dyDescent="0.3">
      <c r="A17" s="14" t="s">
        <v>395</v>
      </c>
      <c r="B17" s="14" t="s">
        <v>413</v>
      </c>
      <c r="C17" s="16" t="s">
        <v>46</v>
      </c>
      <c r="D17" s="17">
        <v>0.24</v>
      </c>
      <c r="E17" s="17">
        <v>0</v>
      </c>
      <c r="F17" s="17">
        <f t="shared" si="0"/>
        <v>0</v>
      </c>
      <c r="G17" s="17">
        <f>단가대비표!O28</f>
        <v>172068</v>
      </c>
      <c r="H17" s="17">
        <f t="shared" si="1"/>
        <v>41296.300000000003</v>
      </c>
      <c r="I17" s="17">
        <v>0</v>
      </c>
      <c r="J17" s="17">
        <f t="shared" si="2"/>
        <v>0</v>
      </c>
      <c r="K17" s="17">
        <f t="shared" si="3"/>
        <v>172068</v>
      </c>
      <c r="L17" s="17">
        <f t="shared" si="4"/>
        <v>41296.300000000003</v>
      </c>
      <c r="M17" s="15"/>
      <c r="O17" s="2" t="s">
        <v>52</v>
      </c>
      <c r="P17" s="2" t="s">
        <v>438</v>
      </c>
      <c r="Q17" s="1">
        <v>1</v>
      </c>
    </row>
    <row r="18" spans="1:20" ht="22.9" customHeight="1" x14ac:dyDescent="0.3">
      <c r="A18" s="18" t="s">
        <v>439</v>
      </c>
      <c r="B18" s="19"/>
      <c r="C18" s="20"/>
      <c r="D18" s="21"/>
      <c r="E18" s="21"/>
      <c r="F18" s="21">
        <f>ROUNDDOWN(SUMIF(Q6:Q17,"1",F6:F17),0)</f>
        <v>49196</v>
      </c>
      <c r="G18" s="21"/>
      <c r="H18" s="21">
        <f>ROUNDDOWN(SUMIF(Q6:Q17,"1",H6:H17),0)</f>
        <v>156891</v>
      </c>
      <c r="I18" s="21"/>
      <c r="J18" s="21">
        <f>ROUNDDOWN(SUMIF(Q6:Q17,"1",J6:J17),0)</f>
        <v>0</v>
      </c>
      <c r="K18" s="21"/>
      <c r="L18" s="21">
        <f>F18+H18+J18</f>
        <v>206087</v>
      </c>
      <c r="M18" s="19"/>
    </row>
    <row r="19" spans="1:20" ht="22.9" customHeight="1" x14ac:dyDescent="0.3">
      <c r="A19" s="15"/>
      <c r="B19" s="15"/>
      <c r="C19" s="22"/>
      <c r="D19" s="17"/>
      <c r="E19" s="17"/>
      <c r="F19" s="17"/>
      <c r="G19" s="17"/>
      <c r="H19" s="17"/>
      <c r="I19" s="17"/>
      <c r="J19" s="17"/>
      <c r="K19" s="17"/>
      <c r="L19" s="17"/>
      <c r="M19" s="15"/>
    </row>
    <row r="20" spans="1:20" ht="22.9" customHeight="1" x14ac:dyDescent="0.3">
      <c r="A20" s="76" t="s">
        <v>127</v>
      </c>
      <c r="B20" s="77"/>
      <c r="C20" s="77"/>
      <c r="D20" s="77"/>
      <c r="E20" s="77"/>
      <c r="F20" s="77"/>
      <c r="G20" s="77"/>
      <c r="H20" s="77"/>
      <c r="I20" s="77"/>
      <c r="J20" s="77"/>
      <c r="K20" s="77"/>
      <c r="L20" s="77"/>
      <c r="M20" s="13" t="s">
        <v>303</v>
      </c>
    </row>
    <row r="21" spans="1:20" ht="22.9" customHeight="1" x14ac:dyDescent="0.3">
      <c r="A21" s="14" t="s">
        <v>15</v>
      </c>
      <c r="B21" s="14" t="s">
        <v>403</v>
      </c>
      <c r="C21" s="16" t="s">
        <v>24</v>
      </c>
      <c r="D21" s="17">
        <v>1.04</v>
      </c>
      <c r="E21" s="17">
        <f>단가대비표!O20</f>
        <v>27000</v>
      </c>
      <c r="F21" s="17">
        <f>ROUNDDOWN(D21*E21,1)</f>
        <v>28080</v>
      </c>
      <c r="G21" s="17">
        <v>0</v>
      </c>
      <c r="H21" s="17">
        <f>ROUNDDOWN(D21*G21,1)</f>
        <v>0</v>
      </c>
      <c r="I21" s="17">
        <v>0</v>
      </c>
      <c r="J21" s="17">
        <f>ROUNDDOWN(D21*I21,1)</f>
        <v>0</v>
      </c>
      <c r="K21" s="17">
        <f>E21+G21+I21</f>
        <v>27000</v>
      </c>
      <c r="L21" s="17">
        <f>F21+H21+J21</f>
        <v>28080</v>
      </c>
      <c r="M21" s="15"/>
      <c r="O21" s="2" t="s">
        <v>41</v>
      </c>
      <c r="P21" s="2" t="s">
        <v>438</v>
      </c>
      <c r="Q21" s="1">
        <v>1</v>
      </c>
    </row>
    <row r="22" spans="1:20" ht="22.9" customHeight="1" x14ac:dyDescent="0.3">
      <c r="A22" s="14" t="s">
        <v>493</v>
      </c>
      <c r="B22" s="14" t="s">
        <v>492</v>
      </c>
      <c r="C22" s="16" t="s">
        <v>75</v>
      </c>
      <c r="D22" s="17">
        <v>1</v>
      </c>
      <c r="E22" s="17">
        <f>일위대가목록!G39</f>
        <v>1257</v>
      </c>
      <c r="F22" s="17">
        <f>ROUNDDOWN(D22*E22,1)</f>
        <v>1257</v>
      </c>
      <c r="G22" s="17">
        <f>일위대가목록!I39</f>
        <v>9670</v>
      </c>
      <c r="H22" s="17">
        <f>ROUNDDOWN(D22*G22,1)</f>
        <v>9670</v>
      </c>
      <c r="I22" s="17">
        <f>일위대가목록!K39</f>
        <v>1407</v>
      </c>
      <c r="J22" s="17">
        <f>ROUNDDOWN(D22*I22,1)</f>
        <v>1407</v>
      </c>
      <c r="K22" s="17">
        <f>E22+G22+I22</f>
        <v>12334</v>
      </c>
      <c r="L22" s="17">
        <f>F22+H22+J22</f>
        <v>12334</v>
      </c>
      <c r="M22" s="14" t="s">
        <v>512</v>
      </c>
      <c r="P22" s="2" t="s">
        <v>438</v>
      </c>
      <c r="Q22" s="1">
        <v>1</v>
      </c>
    </row>
    <row r="23" spans="1:20" ht="22.9" customHeight="1" x14ac:dyDescent="0.3">
      <c r="A23" s="18" t="s">
        <v>439</v>
      </c>
      <c r="B23" s="19"/>
      <c r="C23" s="20"/>
      <c r="D23" s="21"/>
      <c r="E23" s="21"/>
      <c r="F23" s="21">
        <f>ROUNDDOWN(SUMIF(Q21:Q22,"1",F21:F22),0)</f>
        <v>29337</v>
      </c>
      <c r="G23" s="21"/>
      <c r="H23" s="21">
        <f>ROUNDDOWN(SUMIF(Q21:Q22,"1",H21:H22),0)</f>
        <v>9670</v>
      </c>
      <c r="I23" s="21"/>
      <c r="J23" s="21">
        <f>ROUNDDOWN(SUMIF(Q21:Q22,"1",J21:J22),0)</f>
        <v>1407</v>
      </c>
      <c r="K23" s="21"/>
      <c r="L23" s="21">
        <f>F23+H23+J23</f>
        <v>40414</v>
      </c>
      <c r="M23" s="19"/>
    </row>
    <row r="24" spans="1:20" ht="22.9" customHeight="1" x14ac:dyDescent="0.3">
      <c r="A24" s="15"/>
      <c r="B24" s="15"/>
      <c r="C24" s="22"/>
      <c r="D24" s="17"/>
      <c r="E24" s="17"/>
      <c r="F24" s="17"/>
      <c r="G24" s="17"/>
      <c r="H24" s="17"/>
      <c r="I24" s="17"/>
      <c r="J24" s="17"/>
      <c r="K24" s="17"/>
      <c r="L24" s="17"/>
      <c r="M24" s="15"/>
    </row>
    <row r="25" spans="1:20" ht="22.9" customHeight="1" x14ac:dyDescent="0.3">
      <c r="A25" s="76" t="s">
        <v>137</v>
      </c>
      <c r="B25" s="77"/>
      <c r="C25" s="77"/>
      <c r="D25" s="77"/>
      <c r="E25" s="77"/>
      <c r="F25" s="77"/>
      <c r="G25" s="77"/>
      <c r="H25" s="77"/>
      <c r="I25" s="77"/>
      <c r="J25" s="77"/>
      <c r="K25" s="77"/>
      <c r="L25" s="77"/>
      <c r="M25" s="13" t="s">
        <v>302</v>
      </c>
    </row>
    <row r="26" spans="1:20" ht="22.9" customHeight="1" x14ac:dyDescent="0.3">
      <c r="A26" s="14" t="s">
        <v>45</v>
      </c>
      <c r="B26" s="14" t="s">
        <v>413</v>
      </c>
      <c r="C26" s="16" t="s">
        <v>46</v>
      </c>
      <c r="D26" s="17">
        <v>8.6400000000000005E-2</v>
      </c>
      <c r="E26" s="17">
        <v>0</v>
      </c>
      <c r="F26" s="17">
        <f>ROUNDDOWN(D26*E26,1)</f>
        <v>0</v>
      </c>
      <c r="G26" s="17">
        <f>단가대비표!O35</f>
        <v>247188</v>
      </c>
      <c r="H26" s="17">
        <f>ROUNDDOWN(D26*G26,1)</f>
        <v>21357</v>
      </c>
      <c r="I26" s="17">
        <v>0</v>
      </c>
      <c r="J26" s="17">
        <f>ROUNDDOWN(D26*I26,1)</f>
        <v>0</v>
      </c>
      <c r="K26" s="17">
        <f t="shared" ref="K26:L28" si="5">E26+G26+I26</f>
        <v>247188</v>
      </c>
      <c r="L26" s="17">
        <f t="shared" si="5"/>
        <v>21357</v>
      </c>
      <c r="M26" s="14" t="s">
        <v>415</v>
      </c>
      <c r="O26" s="2" t="s">
        <v>52</v>
      </c>
      <c r="P26" s="2" t="s">
        <v>438</v>
      </c>
      <c r="Q26" s="1">
        <v>1</v>
      </c>
    </row>
    <row r="27" spans="1:20" ht="22.9" customHeight="1" x14ac:dyDescent="0.3">
      <c r="A27" s="14" t="s">
        <v>395</v>
      </c>
      <c r="B27" s="14" t="s">
        <v>413</v>
      </c>
      <c r="C27" s="16" t="s">
        <v>46</v>
      </c>
      <c r="D27" s="17">
        <v>2.0600000000000004E-2</v>
      </c>
      <c r="E27" s="17">
        <v>0</v>
      </c>
      <c r="F27" s="17">
        <f>ROUNDDOWN(D27*E27,1)</f>
        <v>0</v>
      </c>
      <c r="G27" s="17">
        <f>단가대비표!O28</f>
        <v>172068</v>
      </c>
      <c r="H27" s="17">
        <f>ROUNDDOWN(D27*G27,1)</f>
        <v>3544.6</v>
      </c>
      <c r="I27" s="17">
        <v>0</v>
      </c>
      <c r="J27" s="17">
        <f>ROUNDDOWN(D27*I27,1)</f>
        <v>0</v>
      </c>
      <c r="K27" s="17">
        <f t="shared" si="5"/>
        <v>172068</v>
      </c>
      <c r="L27" s="17">
        <f t="shared" si="5"/>
        <v>3544.6</v>
      </c>
      <c r="M27" s="15"/>
      <c r="O27" s="2" t="s">
        <v>52</v>
      </c>
      <c r="P27" s="2" t="s">
        <v>438</v>
      </c>
      <c r="Q27" s="1">
        <v>1</v>
      </c>
    </row>
    <row r="28" spans="1:20" ht="22.9" customHeight="1" x14ac:dyDescent="0.3">
      <c r="A28" s="14" t="s">
        <v>166</v>
      </c>
      <c r="B28" s="15" t="str">
        <f>"인력품의 "&amp;N28*100&amp;"%"</f>
        <v>인력품의 3%</v>
      </c>
      <c r="C28" s="16" t="s">
        <v>31</v>
      </c>
      <c r="D28" s="17">
        <v>1</v>
      </c>
      <c r="E28" s="17">
        <v>0</v>
      </c>
      <c r="F28" s="17">
        <v>0</v>
      </c>
      <c r="G28" s="17">
        <v>0</v>
      </c>
      <c r="H28" s="17">
        <v>0</v>
      </c>
      <c r="I28" s="17">
        <f>SUMIF(O26:O28,"02",H26:H28)</f>
        <v>24901.599999999999</v>
      </c>
      <c r="J28" s="17">
        <f>ROUNDDOWN((I28)*N28,1)</f>
        <v>747</v>
      </c>
      <c r="K28" s="17">
        <f t="shared" si="5"/>
        <v>24901.599999999999</v>
      </c>
      <c r="L28" s="17">
        <f t="shared" si="5"/>
        <v>747</v>
      </c>
      <c r="M28" s="15"/>
      <c r="N28" s="1">
        <v>0.03</v>
      </c>
      <c r="P28" s="2" t="s">
        <v>438</v>
      </c>
      <c r="Q28" s="1">
        <v>1</v>
      </c>
      <c r="R28" s="2" t="s">
        <v>63</v>
      </c>
      <c r="S28" s="2" t="s">
        <v>293</v>
      </c>
      <c r="T28" s="2" t="s">
        <v>64</v>
      </c>
    </row>
    <row r="29" spans="1:20" ht="22.9" customHeight="1" x14ac:dyDescent="0.3">
      <c r="A29" s="18" t="s">
        <v>439</v>
      </c>
      <c r="B29" s="19"/>
      <c r="C29" s="20"/>
      <c r="D29" s="21"/>
      <c r="E29" s="21"/>
      <c r="F29" s="21">
        <f>ROUNDDOWN(SUMIF(Q26:Q28,"1",F26:F28),0)</f>
        <v>0</v>
      </c>
      <c r="G29" s="21"/>
      <c r="H29" s="21">
        <f>ROUNDDOWN(SUMIF(Q26:Q28,"1",H26:H28),0)</f>
        <v>24901</v>
      </c>
      <c r="I29" s="21"/>
      <c r="J29" s="21">
        <f>ROUNDDOWN(SUMIF(Q26:Q28,"1",J26:J28),0)</f>
        <v>747</v>
      </c>
      <c r="K29" s="21"/>
      <c r="L29" s="21">
        <f>F29+H29+J29</f>
        <v>25648</v>
      </c>
      <c r="M29" s="19"/>
    </row>
    <row r="30" spans="1:20" ht="22.9" customHeight="1" x14ac:dyDescent="0.3">
      <c r="A30" s="15"/>
      <c r="B30" s="15"/>
      <c r="C30" s="22"/>
      <c r="D30" s="17"/>
      <c r="E30" s="17"/>
      <c r="F30" s="17"/>
      <c r="G30" s="17"/>
      <c r="H30" s="17"/>
      <c r="I30" s="17"/>
      <c r="J30" s="17"/>
      <c r="K30" s="17"/>
      <c r="L30" s="17"/>
      <c r="M30" s="15"/>
    </row>
    <row r="31" spans="1:20" ht="22.9" customHeight="1" x14ac:dyDescent="0.3">
      <c r="A31" s="76" t="s">
        <v>143</v>
      </c>
      <c r="B31" s="77"/>
      <c r="C31" s="77"/>
      <c r="D31" s="77"/>
      <c r="E31" s="77"/>
      <c r="F31" s="77"/>
      <c r="G31" s="77"/>
      <c r="H31" s="77"/>
      <c r="I31" s="77"/>
      <c r="J31" s="77"/>
      <c r="K31" s="77"/>
      <c r="L31" s="77"/>
      <c r="M31" s="13" t="s">
        <v>292</v>
      </c>
    </row>
    <row r="32" spans="1:20" ht="22.9" customHeight="1" x14ac:dyDescent="0.3">
      <c r="A32" s="14" t="s">
        <v>194</v>
      </c>
      <c r="B32" s="14" t="s">
        <v>207</v>
      </c>
      <c r="C32" s="16" t="s">
        <v>34</v>
      </c>
      <c r="D32" s="17">
        <v>0.4</v>
      </c>
      <c r="E32" s="17">
        <f>중기경비목록!G11</f>
        <v>11532</v>
      </c>
      <c r="F32" s="17">
        <f>ROUNDDOWN(D32*E32,1)</f>
        <v>4612.8</v>
      </c>
      <c r="G32" s="17">
        <f>중기경비목록!I11</f>
        <v>59020</v>
      </c>
      <c r="H32" s="17">
        <f>ROUNDDOWN(D32*G32,1)</f>
        <v>23608</v>
      </c>
      <c r="I32" s="17">
        <f>중기경비목록!K11</f>
        <v>14120</v>
      </c>
      <c r="J32" s="17">
        <f>ROUNDDOWN(D32*I32,1)</f>
        <v>5648</v>
      </c>
      <c r="K32" s="17">
        <f t="shared" ref="K32:L36" si="6">E32+G32+I32</f>
        <v>84672</v>
      </c>
      <c r="L32" s="17">
        <f t="shared" si="6"/>
        <v>33868.800000000003</v>
      </c>
      <c r="M32" s="14" t="s">
        <v>469</v>
      </c>
      <c r="P32" s="2" t="s">
        <v>438</v>
      </c>
      <c r="Q32" s="1">
        <v>1</v>
      </c>
    </row>
    <row r="33" spans="1:20" ht="22.9" customHeight="1" x14ac:dyDescent="0.3">
      <c r="A33" s="14" t="s">
        <v>395</v>
      </c>
      <c r="B33" s="14" t="s">
        <v>413</v>
      </c>
      <c r="C33" s="16" t="s">
        <v>46</v>
      </c>
      <c r="D33" s="17">
        <v>0.41299999999999998</v>
      </c>
      <c r="E33" s="17">
        <v>0</v>
      </c>
      <c r="F33" s="17">
        <f>ROUNDDOWN(D33*E33,1)</f>
        <v>0</v>
      </c>
      <c r="G33" s="17">
        <f>단가대비표!O28</f>
        <v>172068</v>
      </c>
      <c r="H33" s="17">
        <f>ROUNDDOWN(D33*G33,1)</f>
        <v>71064</v>
      </c>
      <c r="I33" s="17">
        <v>0</v>
      </c>
      <c r="J33" s="17">
        <f>ROUNDDOWN(D33*I33,1)</f>
        <v>0</v>
      </c>
      <c r="K33" s="17">
        <f t="shared" si="6"/>
        <v>172068</v>
      </c>
      <c r="L33" s="17">
        <f t="shared" si="6"/>
        <v>71064</v>
      </c>
      <c r="M33" s="15"/>
      <c r="O33" s="2" t="s">
        <v>52</v>
      </c>
      <c r="P33" s="2" t="s">
        <v>438</v>
      </c>
      <c r="Q33" s="1">
        <v>1</v>
      </c>
    </row>
    <row r="34" spans="1:20" ht="22.9" customHeight="1" x14ac:dyDescent="0.3">
      <c r="A34" s="14" t="s">
        <v>219</v>
      </c>
      <c r="B34" s="14" t="s">
        <v>471</v>
      </c>
      <c r="C34" s="16" t="s">
        <v>75</v>
      </c>
      <c r="D34" s="17">
        <v>7.05159</v>
      </c>
      <c r="E34" s="17">
        <f>단가산출서목록!G8</f>
        <v>223</v>
      </c>
      <c r="F34" s="17">
        <f>ROUNDDOWN(D34*E34,1)</f>
        <v>1572.5</v>
      </c>
      <c r="G34" s="17">
        <f>단가산출서목록!I8</f>
        <v>563</v>
      </c>
      <c r="H34" s="17">
        <f>ROUNDDOWN(D34*G34,1)</f>
        <v>3970</v>
      </c>
      <c r="I34" s="17">
        <f>단가산출서목록!K8</f>
        <v>234</v>
      </c>
      <c r="J34" s="17">
        <f>ROUNDDOWN(D34*I34,1)</f>
        <v>1650</v>
      </c>
      <c r="K34" s="17">
        <f t="shared" si="6"/>
        <v>1020</v>
      </c>
      <c r="L34" s="17">
        <f t="shared" si="6"/>
        <v>7192.5</v>
      </c>
      <c r="M34" s="14" t="s">
        <v>468</v>
      </c>
      <c r="P34" s="2" t="s">
        <v>438</v>
      </c>
      <c r="Q34" s="1">
        <v>1</v>
      </c>
    </row>
    <row r="35" spans="1:20" ht="22.9" customHeight="1" x14ac:dyDescent="0.3">
      <c r="A35" s="14" t="s">
        <v>290</v>
      </c>
      <c r="B35" s="14" t="s">
        <v>491</v>
      </c>
      <c r="C35" s="16" t="s">
        <v>75</v>
      </c>
      <c r="D35" s="17">
        <v>3.05</v>
      </c>
      <c r="E35" s="17">
        <f>일위대가목록!G38</f>
        <v>1486</v>
      </c>
      <c r="F35" s="17">
        <f>ROUNDDOWN(D35*E35,1)</f>
        <v>4532.3</v>
      </c>
      <c r="G35" s="17">
        <f>일위대가목록!I38</f>
        <v>8228</v>
      </c>
      <c r="H35" s="17">
        <f>ROUNDDOWN(D35*G35,1)</f>
        <v>25095.4</v>
      </c>
      <c r="I35" s="17">
        <f>일위대가목록!K38</f>
        <v>1281</v>
      </c>
      <c r="J35" s="17">
        <f>ROUNDDOWN(D35*I35,1)</f>
        <v>3907</v>
      </c>
      <c r="K35" s="17">
        <f t="shared" si="6"/>
        <v>10995</v>
      </c>
      <c r="L35" s="17">
        <f t="shared" si="6"/>
        <v>33534.699999999997</v>
      </c>
      <c r="M35" s="14" t="s">
        <v>501</v>
      </c>
      <c r="P35" s="2" t="s">
        <v>438</v>
      </c>
      <c r="Q35" s="1">
        <v>1</v>
      </c>
      <c r="T35" s="2" t="s">
        <v>222</v>
      </c>
    </row>
    <row r="36" spans="1:20" ht="22.9" customHeight="1" x14ac:dyDescent="0.3">
      <c r="A36" s="14" t="s">
        <v>220</v>
      </c>
      <c r="B36" s="14" t="s">
        <v>208</v>
      </c>
      <c r="C36" s="16" t="s">
        <v>75</v>
      </c>
      <c r="D36" s="17">
        <v>4.5999999999999996</v>
      </c>
      <c r="E36" s="17">
        <f>단가산출서목록!G7</f>
        <v>2387</v>
      </c>
      <c r="F36" s="17">
        <f>ROUNDDOWN(D36*E36,1)</f>
        <v>10980.2</v>
      </c>
      <c r="G36" s="17">
        <f>단가산출서목록!I7</f>
        <v>4255</v>
      </c>
      <c r="H36" s="17">
        <f>ROUNDDOWN(D36*G36,1)</f>
        <v>19573</v>
      </c>
      <c r="I36" s="17">
        <f>단가산출서목록!K7</f>
        <v>1560</v>
      </c>
      <c r="J36" s="17">
        <f>ROUNDDOWN(D36*I36,1)</f>
        <v>7176</v>
      </c>
      <c r="K36" s="17">
        <f t="shared" si="6"/>
        <v>8202</v>
      </c>
      <c r="L36" s="17">
        <f t="shared" si="6"/>
        <v>37729.199999999997</v>
      </c>
      <c r="M36" s="14" t="s">
        <v>459</v>
      </c>
      <c r="P36" s="2" t="s">
        <v>438</v>
      </c>
      <c r="Q36" s="1">
        <v>1</v>
      </c>
    </row>
    <row r="37" spans="1:20" ht="22.9" customHeight="1" x14ac:dyDescent="0.3">
      <c r="A37" s="18" t="s">
        <v>439</v>
      </c>
      <c r="B37" s="19"/>
      <c r="C37" s="20"/>
      <c r="D37" s="21"/>
      <c r="E37" s="21"/>
      <c r="F37" s="21">
        <f>ROUNDDOWN(SUMIF(Q32:Q36,"1",F32:F36),0)</f>
        <v>21697</v>
      </c>
      <c r="G37" s="21"/>
      <c r="H37" s="21">
        <f>ROUNDDOWN(SUMIF(Q32:Q36,"1",H32:H36),0)</f>
        <v>143310</v>
      </c>
      <c r="I37" s="21"/>
      <c r="J37" s="21">
        <f>ROUNDDOWN(SUMIF(Q32:Q36,"1",J32:J36),0)</f>
        <v>18381</v>
      </c>
      <c r="K37" s="21"/>
      <c r="L37" s="21">
        <f>F37+H37+J37</f>
        <v>183388</v>
      </c>
      <c r="M37" s="19"/>
    </row>
    <row r="38" spans="1:20" ht="22.9" customHeight="1" x14ac:dyDescent="0.3">
      <c r="A38" s="15"/>
      <c r="B38" s="15"/>
      <c r="C38" s="22"/>
      <c r="D38" s="17"/>
      <c r="E38" s="17"/>
      <c r="F38" s="17"/>
      <c r="G38" s="17"/>
      <c r="H38" s="17"/>
      <c r="I38" s="17"/>
      <c r="J38" s="17"/>
      <c r="K38" s="17"/>
      <c r="L38" s="17"/>
      <c r="M38" s="15"/>
    </row>
    <row r="39" spans="1:20" ht="22.9" customHeight="1" x14ac:dyDescent="0.3">
      <c r="A39" s="76" t="s">
        <v>351</v>
      </c>
      <c r="B39" s="77"/>
      <c r="C39" s="77"/>
      <c r="D39" s="77"/>
      <c r="E39" s="77"/>
      <c r="F39" s="77"/>
      <c r="G39" s="77"/>
      <c r="H39" s="77"/>
      <c r="I39" s="77"/>
      <c r="J39" s="77"/>
      <c r="K39" s="77"/>
      <c r="L39" s="77"/>
      <c r="M39" s="13" t="s">
        <v>489</v>
      </c>
    </row>
    <row r="40" spans="1:20" ht="22.9" customHeight="1" x14ac:dyDescent="0.3">
      <c r="A40" s="14" t="s">
        <v>28</v>
      </c>
      <c r="B40" s="14" t="s">
        <v>413</v>
      </c>
      <c r="C40" s="16" t="s">
        <v>46</v>
      </c>
      <c r="D40" s="17">
        <v>0.74073999999999995</v>
      </c>
      <c r="E40" s="17">
        <v>0</v>
      </c>
      <c r="F40" s="17">
        <f>ROUNDDOWN(D40*E40,1)</f>
        <v>0</v>
      </c>
      <c r="G40" s="17">
        <f>단가대비표!O34</f>
        <v>222306</v>
      </c>
      <c r="H40" s="17">
        <f>ROUNDDOWN(D40*G40,1)</f>
        <v>164670.9</v>
      </c>
      <c r="I40" s="17">
        <v>0</v>
      </c>
      <c r="J40" s="17">
        <f>ROUNDDOWN(D40*I40,1)</f>
        <v>0</v>
      </c>
      <c r="K40" s="17">
        <f t="shared" ref="K40:L43" si="7">E40+G40+I40</f>
        <v>222306</v>
      </c>
      <c r="L40" s="17">
        <f t="shared" si="7"/>
        <v>164670.9</v>
      </c>
      <c r="M40" s="15"/>
      <c r="O40" s="2" t="s">
        <v>52</v>
      </c>
      <c r="P40" s="2" t="s">
        <v>438</v>
      </c>
      <c r="Q40" s="1">
        <v>1</v>
      </c>
    </row>
    <row r="41" spans="1:20" ht="22.9" customHeight="1" x14ac:dyDescent="0.3">
      <c r="A41" s="14" t="s">
        <v>395</v>
      </c>
      <c r="B41" s="14" t="s">
        <v>413</v>
      </c>
      <c r="C41" s="16" t="s">
        <v>46</v>
      </c>
      <c r="D41" s="17">
        <v>0.37036999999999998</v>
      </c>
      <c r="E41" s="17">
        <v>0</v>
      </c>
      <c r="F41" s="17">
        <f>ROUNDDOWN(D41*E41,1)</f>
        <v>0</v>
      </c>
      <c r="G41" s="17">
        <f>단가대비표!O28</f>
        <v>172068</v>
      </c>
      <c r="H41" s="17">
        <f>ROUNDDOWN(D41*G41,1)</f>
        <v>63728.800000000003</v>
      </c>
      <c r="I41" s="17">
        <v>0</v>
      </c>
      <c r="J41" s="17">
        <f>ROUNDDOWN(D41*I41,1)</f>
        <v>0</v>
      </c>
      <c r="K41" s="17">
        <f t="shared" si="7"/>
        <v>172068</v>
      </c>
      <c r="L41" s="17">
        <f t="shared" si="7"/>
        <v>63728.800000000003</v>
      </c>
      <c r="M41" s="15"/>
      <c r="O41" s="2" t="s">
        <v>52</v>
      </c>
      <c r="P41" s="2" t="s">
        <v>438</v>
      </c>
      <c r="Q41" s="1">
        <v>1</v>
      </c>
    </row>
    <row r="42" spans="1:20" ht="22.9" customHeight="1" x14ac:dyDescent="0.3">
      <c r="A42" s="14" t="s">
        <v>490</v>
      </c>
      <c r="B42" s="15" t="str">
        <f>"노무비의 "&amp;N42*100&amp;"%"</f>
        <v>노무비의 1%</v>
      </c>
      <c r="C42" s="16" t="s">
        <v>31</v>
      </c>
      <c r="D42" s="17">
        <v>1</v>
      </c>
      <c r="E42" s="17">
        <f>SUMIF(O40:O43,"02",H40:H43)</f>
        <v>228399.7</v>
      </c>
      <c r="F42" s="17">
        <f>ROUNDDOWN((E42)*N42,1)</f>
        <v>2283.9</v>
      </c>
      <c r="G42" s="17">
        <v>0</v>
      </c>
      <c r="H42" s="17">
        <v>0</v>
      </c>
      <c r="I42" s="17">
        <v>0</v>
      </c>
      <c r="J42" s="17">
        <v>0</v>
      </c>
      <c r="K42" s="17">
        <f t="shared" si="7"/>
        <v>228399.7</v>
      </c>
      <c r="L42" s="17">
        <f t="shared" si="7"/>
        <v>2283.9</v>
      </c>
      <c r="M42" s="15"/>
      <c r="N42" s="1">
        <v>0.01</v>
      </c>
      <c r="P42" s="2" t="s">
        <v>438</v>
      </c>
      <c r="Q42" s="1">
        <v>1</v>
      </c>
      <c r="R42" s="2" t="s">
        <v>78</v>
      </c>
      <c r="S42" s="2" t="s">
        <v>293</v>
      </c>
      <c r="T42" s="2" t="s">
        <v>33</v>
      </c>
    </row>
    <row r="43" spans="1:20" ht="22.9" customHeight="1" x14ac:dyDescent="0.3">
      <c r="A43" s="14" t="s">
        <v>199</v>
      </c>
      <c r="B43" s="14" t="s">
        <v>444</v>
      </c>
      <c r="C43" s="16" t="s">
        <v>34</v>
      </c>
      <c r="D43" s="17">
        <v>5.9259250000000003</v>
      </c>
      <c r="E43" s="17">
        <f>중기경비목록!G5</f>
        <v>0</v>
      </c>
      <c r="F43" s="17">
        <f>ROUNDDOWN(D43*E43,1)</f>
        <v>0</v>
      </c>
      <c r="G43" s="17">
        <f>중기경비목록!I5</f>
        <v>0</v>
      </c>
      <c r="H43" s="17">
        <f>ROUNDDOWN(D43*G43,1)</f>
        <v>0</v>
      </c>
      <c r="I43" s="17">
        <f>중기경비목록!K5</f>
        <v>343</v>
      </c>
      <c r="J43" s="17">
        <f>ROUNDDOWN(D43*I43,1)</f>
        <v>2032.5</v>
      </c>
      <c r="K43" s="17">
        <f t="shared" si="7"/>
        <v>343</v>
      </c>
      <c r="L43" s="17">
        <f t="shared" si="7"/>
        <v>2032.5</v>
      </c>
      <c r="M43" s="14" t="s">
        <v>436</v>
      </c>
      <c r="P43" s="2" t="s">
        <v>438</v>
      </c>
      <c r="Q43" s="1">
        <v>1</v>
      </c>
    </row>
    <row r="44" spans="1:20" ht="22.9" customHeight="1" x14ac:dyDescent="0.3">
      <c r="A44" s="18" t="s">
        <v>439</v>
      </c>
      <c r="B44" s="19"/>
      <c r="C44" s="20"/>
      <c r="D44" s="21"/>
      <c r="E44" s="21"/>
      <c r="F44" s="21">
        <f>ROUNDDOWN(SUMIF(Q40:Q43,"1",F40:F43),0)</f>
        <v>2283</v>
      </c>
      <c r="G44" s="21"/>
      <c r="H44" s="21">
        <f>ROUNDDOWN(SUMIF(Q40:Q43,"1",H40:H43),0)</f>
        <v>228399</v>
      </c>
      <c r="I44" s="21"/>
      <c r="J44" s="21">
        <f>ROUNDDOWN(SUMIF(Q40:Q43,"1",J40:J43),0)</f>
        <v>2032</v>
      </c>
      <c r="K44" s="21"/>
      <c r="L44" s="21">
        <f>F44+H44+J44</f>
        <v>232714</v>
      </c>
      <c r="M44" s="19"/>
    </row>
    <row r="45" spans="1:20" ht="22.9" customHeight="1" x14ac:dyDescent="0.3">
      <c r="A45" s="15"/>
      <c r="B45" s="15"/>
      <c r="C45" s="22"/>
      <c r="D45" s="17"/>
      <c r="E45" s="17"/>
      <c r="F45" s="17"/>
      <c r="G45" s="17"/>
      <c r="H45" s="17"/>
      <c r="I45" s="17"/>
      <c r="J45" s="17"/>
      <c r="K45" s="17"/>
      <c r="L45" s="17"/>
      <c r="M45" s="15"/>
    </row>
    <row r="46" spans="1:20" ht="22.9" customHeight="1" x14ac:dyDescent="0.3">
      <c r="A46" s="76" t="s">
        <v>150</v>
      </c>
      <c r="B46" s="77"/>
      <c r="C46" s="77"/>
      <c r="D46" s="77"/>
      <c r="E46" s="77"/>
      <c r="F46" s="77"/>
      <c r="G46" s="77"/>
      <c r="H46" s="77"/>
      <c r="I46" s="77"/>
      <c r="J46" s="77"/>
      <c r="K46" s="77"/>
      <c r="L46" s="77"/>
      <c r="M46" s="13" t="s">
        <v>214</v>
      </c>
    </row>
    <row r="47" spans="1:20" ht="22.9" customHeight="1" x14ac:dyDescent="0.3">
      <c r="A47" s="14" t="s">
        <v>25</v>
      </c>
      <c r="B47" s="14" t="s">
        <v>413</v>
      </c>
      <c r="C47" s="16" t="s">
        <v>46</v>
      </c>
      <c r="D47" s="17">
        <v>7.4999999999999997E-3</v>
      </c>
      <c r="E47" s="17">
        <v>0</v>
      </c>
      <c r="F47" s="17">
        <f>ROUNDDOWN(D47*E47,1)</f>
        <v>0</v>
      </c>
      <c r="G47" s="17">
        <f>단가대비표!O25</f>
        <v>256883</v>
      </c>
      <c r="H47" s="17">
        <f>ROUNDDOWN(D47*G47,1)</f>
        <v>1926.6</v>
      </c>
      <c r="I47" s="17">
        <v>0</v>
      </c>
      <c r="J47" s="17">
        <f>ROUNDDOWN(D47*I47,1)</f>
        <v>0</v>
      </c>
      <c r="K47" s="17">
        <f t="shared" ref="K47:L50" si="8">E47+G47+I47</f>
        <v>256883</v>
      </c>
      <c r="L47" s="17">
        <f t="shared" si="8"/>
        <v>1926.6</v>
      </c>
      <c r="M47" s="15"/>
      <c r="O47" s="2" t="s">
        <v>52</v>
      </c>
      <c r="P47" s="2" t="s">
        <v>438</v>
      </c>
      <c r="Q47" s="1">
        <v>1</v>
      </c>
    </row>
    <row r="48" spans="1:20" ht="22.9" customHeight="1" x14ac:dyDescent="0.3">
      <c r="A48" s="14" t="s">
        <v>395</v>
      </c>
      <c r="B48" s="14" t="s">
        <v>413</v>
      </c>
      <c r="C48" s="16" t="s">
        <v>46</v>
      </c>
      <c r="D48" s="17">
        <v>2.5000000000000001E-3</v>
      </c>
      <c r="E48" s="17">
        <v>0</v>
      </c>
      <c r="F48" s="17">
        <f>ROUNDDOWN(D48*E48,1)</f>
        <v>0</v>
      </c>
      <c r="G48" s="17">
        <f>단가대비표!O28</f>
        <v>172068</v>
      </c>
      <c r="H48" s="17">
        <f>ROUNDDOWN(D48*G48,1)</f>
        <v>430.1</v>
      </c>
      <c r="I48" s="17">
        <v>0</v>
      </c>
      <c r="J48" s="17">
        <f>ROUNDDOWN(D48*I48,1)</f>
        <v>0</v>
      </c>
      <c r="K48" s="17">
        <f t="shared" si="8"/>
        <v>172068</v>
      </c>
      <c r="L48" s="17">
        <f t="shared" si="8"/>
        <v>430.1</v>
      </c>
      <c r="M48" s="15"/>
      <c r="O48" s="2" t="s">
        <v>52</v>
      </c>
      <c r="P48" s="2" t="s">
        <v>438</v>
      </c>
      <c r="Q48" s="1">
        <v>1</v>
      </c>
    </row>
    <row r="49" spans="1:20" ht="22.9" customHeight="1" x14ac:dyDescent="0.3">
      <c r="A49" s="14" t="s">
        <v>200</v>
      </c>
      <c r="B49" s="14" t="s">
        <v>448</v>
      </c>
      <c r="C49" s="16" t="s">
        <v>34</v>
      </c>
      <c r="D49" s="17">
        <v>0.02</v>
      </c>
      <c r="E49" s="17">
        <f>중기경비목록!G7</f>
        <v>12437</v>
      </c>
      <c r="F49" s="17">
        <f>ROUNDDOWN(D49*E49,1)</f>
        <v>248.7</v>
      </c>
      <c r="G49" s="17">
        <f>중기경비목록!I7</f>
        <v>59020</v>
      </c>
      <c r="H49" s="17">
        <f>ROUNDDOWN(D49*G49,1)</f>
        <v>1180.4000000000001</v>
      </c>
      <c r="I49" s="17">
        <f>중기경비목록!K7</f>
        <v>53629</v>
      </c>
      <c r="J49" s="17">
        <f>ROUNDDOWN(D49*I49,1)</f>
        <v>1072.5</v>
      </c>
      <c r="K49" s="17">
        <f t="shared" si="8"/>
        <v>125086</v>
      </c>
      <c r="L49" s="17">
        <f t="shared" si="8"/>
        <v>2501.6000000000004</v>
      </c>
      <c r="M49" s="14" t="s">
        <v>425</v>
      </c>
      <c r="P49" s="2" t="s">
        <v>438</v>
      </c>
      <c r="Q49" s="1">
        <v>1</v>
      </c>
    </row>
    <row r="50" spans="1:20" ht="22.9" customHeight="1" x14ac:dyDescent="0.3">
      <c r="A50" s="14" t="s">
        <v>166</v>
      </c>
      <c r="B50" s="15" t="str">
        <f>"인력품의 "&amp;N50*100&amp;"%"</f>
        <v>인력품의 2%</v>
      </c>
      <c r="C50" s="16" t="s">
        <v>31</v>
      </c>
      <c r="D50" s="17">
        <v>1</v>
      </c>
      <c r="E50" s="17">
        <v>0</v>
      </c>
      <c r="F50" s="17">
        <v>0</v>
      </c>
      <c r="G50" s="17">
        <v>0</v>
      </c>
      <c r="H50" s="17">
        <v>0</v>
      </c>
      <c r="I50" s="17">
        <f>SUMIF(O47:O50,"02",H47:H50)</f>
        <v>2356.6999999999998</v>
      </c>
      <c r="J50" s="17">
        <f>ROUNDDOWN((I50)*N50,1)</f>
        <v>47.1</v>
      </c>
      <c r="K50" s="17">
        <f t="shared" si="8"/>
        <v>2356.6999999999998</v>
      </c>
      <c r="L50" s="17">
        <f t="shared" si="8"/>
        <v>47.1</v>
      </c>
      <c r="M50" s="15"/>
      <c r="N50" s="1">
        <v>0.02</v>
      </c>
      <c r="P50" s="2" t="s">
        <v>438</v>
      </c>
      <c r="Q50" s="1">
        <v>1</v>
      </c>
      <c r="R50" s="2" t="s">
        <v>63</v>
      </c>
      <c r="S50" s="2" t="s">
        <v>293</v>
      </c>
      <c r="T50" s="2" t="s">
        <v>64</v>
      </c>
    </row>
    <row r="51" spans="1:20" ht="22.9" customHeight="1" x14ac:dyDescent="0.3">
      <c r="A51" s="18" t="s">
        <v>439</v>
      </c>
      <c r="B51" s="19"/>
      <c r="C51" s="20"/>
      <c r="D51" s="21"/>
      <c r="E51" s="21"/>
      <c r="F51" s="21">
        <f>ROUNDDOWN(SUMIF(Q47:Q50,"1",F47:F50),0)</f>
        <v>248</v>
      </c>
      <c r="G51" s="21"/>
      <c r="H51" s="21">
        <f>ROUNDDOWN(SUMIF(Q47:Q50,"1",H47:H50),0)</f>
        <v>3537</v>
      </c>
      <c r="I51" s="21"/>
      <c r="J51" s="21">
        <f>ROUNDDOWN(SUMIF(Q47:Q50,"1",J47:J50),0)</f>
        <v>1119</v>
      </c>
      <c r="K51" s="21"/>
      <c r="L51" s="21">
        <f>F51+H51+J51</f>
        <v>4904</v>
      </c>
      <c r="M51" s="19"/>
    </row>
    <row r="52" spans="1:20" ht="22.9" customHeight="1" x14ac:dyDescent="0.3">
      <c r="A52" s="15"/>
      <c r="B52" s="15"/>
      <c r="C52" s="22"/>
      <c r="D52" s="17"/>
      <c r="E52" s="17"/>
      <c r="F52" s="17"/>
      <c r="G52" s="17"/>
      <c r="H52" s="17"/>
      <c r="I52" s="17"/>
      <c r="J52" s="17"/>
      <c r="K52" s="17"/>
      <c r="L52" s="17"/>
      <c r="M52" s="15"/>
    </row>
    <row r="53" spans="1:20" ht="22.9" customHeight="1" x14ac:dyDescent="0.3">
      <c r="A53" s="76" t="s">
        <v>155</v>
      </c>
      <c r="B53" s="77"/>
      <c r="C53" s="77"/>
      <c r="D53" s="77"/>
      <c r="E53" s="77"/>
      <c r="F53" s="77"/>
      <c r="G53" s="77"/>
      <c r="H53" s="77"/>
      <c r="I53" s="77"/>
      <c r="J53" s="77"/>
      <c r="K53" s="77"/>
      <c r="L53" s="77"/>
      <c r="M53" s="13" t="s">
        <v>268</v>
      </c>
    </row>
    <row r="54" spans="1:20" ht="22.9" customHeight="1" x14ac:dyDescent="0.3">
      <c r="A54" s="14" t="s">
        <v>406</v>
      </c>
      <c r="B54" s="14" t="s">
        <v>413</v>
      </c>
      <c r="C54" s="16" t="s">
        <v>46</v>
      </c>
      <c r="D54" s="17">
        <v>0.03</v>
      </c>
      <c r="E54" s="17">
        <v>0</v>
      </c>
      <c r="F54" s="17">
        <f>ROUNDDOWN(D54*E54,1)</f>
        <v>0</v>
      </c>
      <c r="G54" s="17">
        <f>단가대비표!O24</f>
        <v>277642</v>
      </c>
      <c r="H54" s="17">
        <f>ROUNDDOWN(D54*G54,1)</f>
        <v>8329.2000000000007</v>
      </c>
      <c r="I54" s="17">
        <v>0</v>
      </c>
      <c r="J54" s="17">
        <f>ROUNDDOWN(D54*I54,1)</f>
        <v>0</v>
      </c>
      <c r="K54" s="17">
        <f>E54+G54+I54</f>
        <v>277642</v>
      </c>
      <c r="L54" s="17">
        <f>F54+H54+J54</f>
        <v>8329.2000000000007</v>
      </c>
      <c r="M54" s="15"/>
      <c r="O54" s="2" t="s">
        <v>52</v>
      </c>
      <c r="P54" s="2" t="s">
        <v>438</v>
      </c>
      <c r="Q54" s="1">
        <v>1</v>
      </c>
    </row>
    <row r="55" spans="1:20" ht="22.9" customHeight="1" x14ac:dyDescent="0.3">
      <c r="A55" s="14" t="s">
        <v>395</v>
      </c>
      <c r="B55" s="14" t="s">
        <v>413</v>
      </c>
      <c r="C55" s="16" t="s">
        <v>46</v>
      </c>
      <c r="D55" s="17">
        <v>2.5000000000000001E-2</v>
      </c>
      <c r="E55" s="17">
        <v>0</v>
      </c>
      <c r="F55" s="17">
        <f>ROUNDDOWN(D55*E55,1)</f>
        <v>0</v>
      </c>
      <c r="G55" s="17">
        <f>단가대비표!O28</f>
        <v>172068</v>
      </c>
      <c r="H55" s="17">
        <f>ROUNDDOWN(D55*G55,1)</f>
        <v>4301.7</v>
      </c>
      <c r="I55" s="17">
        <v>0</v>
      </c>
      <c r="J55" s="17">
        <f>ROUNDDOWN(D55*I55,1)</f>
        <v>0</v>
      </c>
      <c r="K55" s="17">
        <f>E55+G55+I55</f>
        <v>172068</v>
      </c>
      <c r="L55" s="17">
        <f>F55+H55+J55</f>
        <v>4301.7</v>
      </c>
      <c r="M55" s="15"/>
      <c r="O55" s="2" t="s">
        <v>52</v>
      </c>
      <c r="P55" s="2" t="s">
        <v>438</v>
      </c>
      <c r="Q55" s="1">
        <v>1</v>
      </c>
    </row>
    <row r="56" spans="1:20" ht="22.9" customHeight="1" x14ac:dyDescent="0.3">
      <c r="A56" s="18" t="s">
        <v>439</v>
      </c>
      <c r="B56" s="19"/>
      <c r="C56" s="20"/>
      <c r="D56" s="21"/>
      <c r="E56" s="21"/>
      <c r="F56" s="21">
        <f>ROUNDDOWN(SUMIF(Q54:Q55,"1",F54:F55),0)</f>
        <v>0</v>
      </c>
      <c r="G56" s="21"/>
      <c r="H56" s="21">
        <f>ROUNDDOWN(SUMIF(Q54:Q55,"1",H54:H55),0)</f>
        <v>12630</v>
      </c>
      <c r="I56" s="21"/>
      <c r="J56" s="21">
        <f>ROUNDDOWN(SUMIF(Q54:Q55,"1",J54:J55),0)</f>
        <v>0</v>
      </c>
      <c r="K56" s="21"/>
      <c r="L56" s="21">
        <f>F56+H56+J56</f>
        <v>12630</v>
      </c>
      <c r="M56" s="19"/>
    </row>
    <row r="57" spans="1:20" ht="22.9" customHeight="1" x14ac:dyDescent="0.3">
      <c r="A57" s="15"/>
      <c r="B57" s="15"/>
      <c r="C57" s="22"/>
      <c r="D57" s="17"/>
      <c r="E57" s="17"/>
      <c r="F57" s="17"/>
      <c r="G57" s="17"/>
      <c r="H57" s="17"/>
      <c r="I57" s="17"/>
      <c r="J57" s="17"/>
      <c r="K57" s="17"/>
      <c r="L57" s="17"/>
      <c r="M57" s="15"/>
    </row>
    <row r="58" spans="1:20" ht="22.9" customHeight="1" x14ac:dyDescent="0.3">
      <c r="A58" s="76" t="s">
        <v>134</v>
      </c>
      <c r="B58" s="77"/>
      <c r="C58" s="77"/>
      <c r="D58" s="77"/>
      <c r="E58" s="77"/>
      <c r="F58" s="77"/>
      <c r="G58" s="77"/>
      <c r="H58" s="77"/>
      <c r="I58" s="77"/>
      <c r="J58" s="77"/>
      <c r="K58" s="77"/>
      <c r="L58" s="77"/>
      <c r="M58" s="13" t="s">
        <v>268</v>
      </c>
    </row>
    <row r="59" spans="1:20" ht="22.9" customHeight="1" x14ac:dyDescent="0.3">
      <c r="A59" s="14" t="s">
        <v>406</v>
      </c>
      <c r="B59" s="14" t="s">
        <v>413</v>
      </c>
      <c r="C59" s="16" t="s">
        <v>46</v>
      </c>
      <c r="D59" s="17">
        <v>0.03</v>
      </c>
      <c r="E59" s="17">
        <v>0</v>
      </c>
      <c r="F59" s="17">
        <f>ROUNDDOWN(D59*E59,1)</f>
        <v>0</v>
      </c>
      <c r="G59" s="17">
        <f>단가대비표!O24</f>
        <v>277642</v>
      </c>
      <c r="H59" s="17">
        <f>ROUNDDOWN(D59*G59,1)</f>
        <v>8329.2000000000007</v>
      </c>
      <c r="I59" s="17">
        <v>0</v>
      </c>
      <c r="J59" s="17">
        <f>ROUNDDOWN(D59*I59,1)</f>
        <v>0</v>
      </c>
      <c r="K59" s="17">
        <f>E59+G59+I59</f>
        <v>277642</v>
      </c>
      <c r="L59" s="17">
        <f>F59+H59+J59</f>
        <v>8329.2000000000007</v>
      </c>
      <c r="M59" s="15"/>
      <c r="O59" s="2" t="s">
        <v>52</v>
      </c>
      <c r="P59" s="2" t="s">
        <v>438</v>
      </c>
      <c r="Q59" s="1">
        <v>1</v>
      </c>
    </row>
    <row r="60" spans="1:20" ht="22.9" customHeight="1" x14ac:dyDescent="0.3">
      <c r="A60" s="14" t="s">
        <v>395</v>
      </c>
      <c r="B60" s="14" t="s">
        <v>413</v>
      </c>
      <c r="C60" s="16" t="s">
        <v>46</v>
      </c>
      <c r="D60" s="17">
        <v>2.5000000000000001E-2</v>
      </c>
      <c r="E60" s="17">
        <v>0</v>
      </c>
      <c r="F60" s="17">
        <f>ROUNDDOWN(D60*E60,1)</f>
        <v>0</v>
      </c>
      <c r="G60" s="17">
        <f>단가대비표!O28</f>
        <v>172068</v>
      </c>
      <c r="H60" s="17">
        <f>ROUNDDOWN(D60*G60,1)</f>
        <v>4301.7</v>
      </c>
      <c r="I60" s="17">
        <v>0</v>
      </c>
      <c r="J60" s="17">
        <f>ROUNDDOWN(D60*I60,1)</f>
        <v>0</v>
      </c>
      <c r="K60" s="17">
        <f>E60+G60+I60</f>
        <v>172068</v>
      </c>
      <c r="L60" s="17">
        <f>F60+H60+J60</f>
        <v>4301.7</v>
      </c>
      <c r="M60" s="15"/>
      <c r="O60" s="2" t="s">
        <v>52</v>
      </c>
      <c r="P60" s="2" t="s">
        <v>438</v>
      </c>
      <c r="Q60" s="1">
        <v>1</v>
      </c>
    </row>
    <row r="61" spans="1:20" ht="22.9" customHeight="1" x14ac:dyDescent="0.3">
      <c r="A61" s="18" t="s">
        <v>439</v>
      </c>
      <c r="B61" s="19"/>
      <c r="C61" s="20"/>
      <c r="D61" s="21"/>
      <c r="E61" s="21"/>
      <c r="F61" s="21">
        <f>ROUNDDOWN(SUMIF(Q59:Q60,"1",F59:F60),0)</f>
        <v>0</v>
      </c>
      <c r="G61" s="21"/>
      <c r="H61" s="21">
        <f>ROUNDDOWN(SUMIF(Q59:Q60,"1",H59:H60),0)</f>
        <v>12630</v>
      </c>
      <c r="I61" s="21"/>
      <c r="J61" s="21">
        <f>ROUNDDOWN(SUMIF(Q59:Q60,"1",J59:J60),0)</f>
        <v>0</v>
      </c>
      <c r="K61" s="21"/>
      <c r="L61" s="21">
        <f>F61+H61+J61</f>
        <v>12630</v>
      </c>
      <c r="M61" s="19"/>
    </row>
    <row r="62" spans="1:20" ht="22.9" customHeight="1" x14ac:dyDescent="0.3">
      <c r="A62" s="15"/>
      <c r="B62" s="15"/>
      <c r="C62" s="22"/>
      <c r="D62" s="17"/>
      <c r="E62" s="17"/>
      <c r="F62" s="17"/>
      <c r="G62" s="17"/>
      <c r="H62" s="17"/>
      <c r="I62" s="17"/>
      <c r="J62" s="17"/>
      <c r="K62" s="17"/>
      <c r="L62" s="17"/>
      <c r="M62" s="15"/>
    </row>
    <row r="63" spans="1:20" ht="22.9" customHeight="1" x14ac:dyDescent="0.3">
      <c r="A63" s="76" t="s">
        <v>152</v>
      </c>
      <c r="B63" s="77"/>
      <c r="C63" s="77"/>
      <c r="D63" s="77"/>
      <c r="E63" s="77"/>
      <c r="F63" s="77"/>
      <c r="G63" s="77"/>
      <c r="H63" s="77"/>
      <c r="I63" s="77"/>
      <c r="J63" s="77"/>
      <c r="K63" s="77"/>
      <c r="L63" s="77"/>
      <c r="M63" s="13" t="s">
        <v>288</v>
      </c>
    </row>
    <row r="64" spans="1:20" ht="22.9" customHeight="1" x14ac:dyDescent="0.3">
      <c r="A64" s="14" t="s">
        <v>406</v>
      </c>
      <c r="B64" s="14" t="s">
        <v>413</v>
      </c>
      <c r="C64" s="16" t="s">
        <v>46</v>
      </c>
      <c r="D64" s="17">
        <v>1.7000000000000001E-2</v>
      </c>
      <c r="E64" s="17">
        <v>0</v>
      </c>
      <c r="F64" s="17">
        <f>ROUNDDOWN(D64*E64,1)</f>
        <v>0</v>
      </c>
      <c r="G64" s="17">
        <f>단가대비표!O24</f>
        <v>277642</v>
      </c>
      <c r="H64" s="17">
        <f>ROUNDDOWN(D64*G64,1)</f>
        <v>4719.8999999999996</v>
      </c>
      <c r="I64" s="17">
        <v>0</v>
      </c>
      <c r="J64" s="17">
        <f>ROUNDDOWN(D64*I64,1)</f>
        <v>0</v>
      </c>
      <c r="K64" s="17">
        <f t="shared" ref="K64:L66" si="9">E64+G64+I64</f>
        <v>277642</v>
      </c>
      <c r="L64" s="17">
        <f t="shared" si="9"/>
        <v>4719.8999999999996</v>
      </c>
      <c r="M64" s="15"/>
      <c r="O64" s="2" t="s">
        <v>52</v>
      </c>
      <c r="P64" s="2" t="s">
        <v>438</v>
      </c>
      <c r="Q64" s="1">
        <v>1</v>
      </c>
    </row>
    <row r="65" spans="1:20" ht="22.9" customHeight="1" x14ac:dyDescent="0.3">
      <c r="A65" s="14" t="s">
        <v>395</v>
      </c>
      <c r="B65" s="14" t="s">
        <v>413</v>
      </c>
      <c r="C65" s="16" t="s">
        <v>46</v>
      </c>
      <c r="D65" s="17">
        <v>1.8E-3</v>
      </c>
      <c r="E65" s="17">
        <v>0</v>
      </c>
      <c r="F65" s="17">
        <f>ROUNDDOWN(D65*E65,1)</f>
        <v>0</v>
      </c>
      <c r="G65" s="17">
        <f>단가대비표!O28</f>
        <v>172068</v>
      </c>
      <c r="H65" s="17">
        <f>ROUNDDOWN(D65*G65,1)</f>
        <v>309.7</v>
      </c>
      <c r="I65" s="17">
        <v>0</v>
      </c>
      <c r="J65" s="17">
        <f>ROUNDDOWN(D65*I65,1)</f>
        <v>0</v>
      </c>
      <c r="K65" s="17">
        <f t="shared" si="9"/>
        <v>172068</v>
      </c>
      <c r="L65" s="17">
        <f t="shared" si="9"/>
        <v>309.7</v>
      </c>
      <c r="M65" s="15"/>
      <c r="O65" s="2" t="s">
        <v>52</v>
      </c>
      <c r="P65" s="2" t="s">
        <v>438</v>
      </c>
      <c r="Q65" s="1">
        <v>1</v>
      </c>
    </row>
    <row r="66" spans="1:20" ht="22.9" customHeight="1" x14ac:dyDescent="0.3">
      <c r="A66" s="14" t="s">
        <v>289</v>
      </c>
      <c r="B66" s="15" t="str">
        <f>"인력품의 "&amp;N66*100&amp;"%"</f>
        <v>인력품의 2%</v>
      </c>
      <c r="C66" s="16" t="s">
        <v>31</v>
      </c>
      <c r="D66" s="17">
        <v>1</v>
      </c>
      <c r="E66" s="17">
        <v>0</v>
      </c>
      <c r="F66" s="17">
        <v>0</v>
      </c>
      <c r="G66" s="17">
        <v>0</v>
      </c>
      <c r="H66" s="17">
        <v>0</v>
      </c>
      <c r="I66" s="17">
        <f>SUMIF(O64:O66,"02",H64:H66)</f>
        <v>5029.5999999999995</v>
      </c>
      <c r="J66" s="17">
        <f>ROUNDDOWN((I66)*N66,1)</f>
        <v>100.5</v>
      </c>
      <c r="K66" s="17">
        <f t="shared" si="9"/>
        <v>5029.5999999999995</v>
      </c>
      <c r="L66" s="17">
        <f t="shared" si="9"/>
        <v>100.5</v>
      </c>
      <c r="M66" s="15"/>
      <c r="N66" s="1">
        <v>0.02</v>
      </c>
      <c r="P66" s="2" t="s">
        <v>438</v>
      </c>
      <c r="Q66" s="1">
        <v>1</v>
      </c>
      <c r="R66" s="2" t="s">
        <v>63</v>
      </c>
      <c r="S66" s="2" t="s">
        <v>293</v>
      </c>
      <c r="T66" s="2" t="s">
        <v>64</v>
      </c>
    </row>
    <row r="67" spans="1:20" ht="22.9" customHeight="1" x14ac:dyDescent="0.3">
      <c r="A67" s="18" t="s">
        <v>439</v>
      </c>
      <c r="B67" s="19"/>
      <c r="C67" s="20"/>
      <c r="D67" s="21"/>
      <c r="E67" s="21"/>
      <c r="F67" s="21">
        <f>ROUNDDOWN(SUMIF(Q64:Q66,"1",F64:F66),0)</f>
        <v>0</v>
      </c>
      <c r="G67" s="21"/>
      <c r="H67" s="21">
        <f>ROUNDDOWN(SUMIF(Q64:Q66,"1",H64:H66),0)</f>
        <v>5029</v>
      </c>
      <c r="I67" s="21"/>
      <c r="J67" s="21">
        <f>ROUNDDOWN(SUMIF(Q64:Q66,"1",J64:J66),0)</f>
        <v>100</v>
      </c>
      <c r="K67" s="21"/>
      <c r="L67" s="21">
        <f>F67+H67+J67</f>
        <v>5129</v>
      </c>
      <c r="M67" s="19"/>
    </row>
    <row r="68" spans="1:20" ht="22.9" customHeight="1" x14ac:dyDescent="0.3">
      <c r="A68" s="15"/>
      <c r="B68" s="15"/>
      <c r="C68" s="22"/>
      <c r="D68" s="17"/>
      <c r="E68" s="17"/>
      <c r="F68" s="17"/>
      <c r="G68" s="17"/>
      <c r="H68" s="17"/>
      <c r="I68" s="17"/>
      <c r="J68" s="17"/>
      <c r="K68" s="17"/>
      <c r="L68" s="17"/>
      <c r="M68" s="15"/>
    </row>
    <row r="69" spans="1:20" ht="22.9" customHeight="1" x14ac:dyDescent="0.3">
      <c r="A69" s="76" t="s">
        <v>352</v>
      </c>
      <c r="B69" s="77"/>
      <c r="C69" s="77"/>
      <c r="D69" s="77"/>
      <c r="E69" s="77"/>
      <c r="F69" s="77"/>
      <c r="G69" s="77"/>
      <c r="H69" s="77"/>
      <c r="I69" s="77"/>
      <c r="J69" s="77"/>
      <c r="K69" s="77"/>
      <c r="L69" s="77"/>
      <c r="M69" s="13" t="s">
        <v>494</v>
      </c>
    </row>
    <row r="70" spans="1:20" ht="22.9" customHeight="1" x14ac:dyDescent="0.3">
      <c r="A70" s="14" t="s">
        <v>39</v>
      </c>
      <c r="B70" s="14" t="s">
        <v>413</v>
      </c>
      <c r="C70" s="16" t="s">
        <v>46</v>
      </c>
      <c r="D70" s="17">
        <v>0.01</v>
      </c>
      <c r="E70" s="17">
        <v>0</v>
      </c>
      <c r="F70" s="17">
        <f>ROUNDDOWN(D70*E70,1)</f>
        <v>0</v>
      </c>
      <c r="G70" s="17">
        <f>단가대비표!O26</f>
        <v>227614</v>
      </c>
      <c r="H70" s="17">
        <f>ROUNDDOWN(D70*G70,1)</f>
        <v>2276.1</v>
      </c>
      <c r="I70" s="17">
        <v>0</v>
      </c>
      <c r="J70" s="17">
        <f>ROUNDDOWN(D70*I70,1)</f>
        <v>0</v>
      </c>
      <c r="K70" s="17">
        <f>E70+G70+I70</f>
        <v>227614</v>
      </c>
      <c r="L70" s="17">
        <f>F70+H70+J70</f>
        <v>2276.1</v>
      </c>
      <c r="M70" s="15"/>
      <c r="O70" s="2" t="s">
        <v>41</v>
      </c>
      <c r="P70" s="2" t="s">
        <v>438</v>
      </c>
      <c r="Q70" s="1">
        <v>1</v>
      </c>
    </row>
    <row r="71" spans="1:20" ht="22.9" customHeight="1" x14ac:dyDescent="0.3">
      <c r="A71" s="14" t="s">
        <v>395</v>
      </c>
      <c r="B71" s="14" t="s">
        <v>413</v>
      </c>
      <c r="C71" s="16" t="s">
        <v>46</v>
      </c>
      <c r="D71" s="17">
        <v>7.000000000000001E-3</v>
      </c>
      <c r="E71" s="17">
        <v>0</v>
      </c>
      <c r="F71" s="17">
        <f>ROUNDDOWN(D71*E71,1)</f>
        <v>0</v>
      </c>
      <c r="G71" s="17">
        <f>단가대비표!O28</f>
        <v>172068</v>
      </c>
      <c r="H71" s="17">
        <f>ROUNDDOWN(D71*G71,1)</f>
        <v>1204.4000000000001</v>
      </c>
      <c r="I71" s="17">
        <v>0</v>
      </c>
      <c r="J71" s="17">
        <f>ROUNDDOWN(D71*I71,1)</f>
        <v>0</v>
      </c>
      <c r="K71" s="17">
        <f>E71+G71+I71</f>
        <v>172068</v>
      </c>
      <c r="L71" s="17">
        <f>F71+H71+J71</f>
        <v>1204.4000000000001</v>
      </c>
      <c r="M71" s="15"/>
      <c r="O71" s="2" t="s">
        <v>41</v>
      </c>
      <c r="P71" s="2" t="s">
        <v>438</v>
      </c>
      <c r="Q71" s="1">
        <v>1</v>
      </c>
    </row>
    <row r="72" spans="1:20" ht="22.9" customHeight="1" x14ac:dyDescent="0.3">
      <c r="A72" s="18" t="s">
        <v>439</v>
      </c>
      <c r="B72" s="19"/>
      <c r="C72" s="20"/>
      <c r="D72" s="21"/>
      <c r="E72" s="21"/>
      <c r="F72" s="21">
        <f>ROUNDDOWN(SUMIF(Q70:Q71,"1",F70:F71),0)</f>
        <v>0</v>
      </c>
      <c r="G72" s="21"/>
      <c r="H72" s="21">
        <f>ROUNDDOWN(SUMIF(Q70:Q71,"1",H70:H71),0)</f>
        <v>3480</v>
      </c>
      <c r="I72" s="21"/>
      <c r="J72" s="21">
        <f>ROUNDDOWN(SUMIF(Q70:Q71,"1",J70:J71),0)</f>
        <v>0</v>
      </c>
      <c r="K72" s="21"/>
      <c r="L72" s="21">
        <f>F72+H72+J72</f>
        <v>3480</v>
      </c>
      <c r="M72" s="19"/>
    </row>
    <row r="73" spans="1:20" ht="22.9" customHeight="1" x14ac:dyDescent="0.3">
      <c r="A73" s="15"/>
      <c r="B73" s="15"/>
      <c r="C73" s="22"/>
      <c r="D73" s="17"/>
      <c r="E73" s="17"/>
      <c r="F73" s="17"/>
      <c r="G73" s="17"/>
      <c r="H73" s="17"/>
      <c r="I73" s="17"/>
      <c r="J73" s="17"/>
      <c r="K73" s="17"/>
      <c r="L73" s="17"/>
      <c r="M73" s="15"/>
    </row>
    <row r="74" spans="1:20" ht="22.9" customHeight="1" x14ac:dyDescent="0.3">
      <c r="A74" s="76" t="s">
        <v>141</v>
      </c>
      <c r="B74" s="77"/>
      <c r="C74" s="77"/>
      <c r="D74" s="77"/>
      <c r="E74" s="77"/>
      <c r="F74" s="77"/>
      <c r="G74" s="77"/>
      <c r="H74" s="77"/>
      <c r="I74" s="77"/>
      <c r="J74" s="77"/>
      <c r="K74" s="77"/>
      <c r="L74" s="77"/>
      <c r="M74" s="13" t="s">
        <v>291</v>
      </c>
    </row>
    <row r="75" spans="1:20" ht="22.9" customHeight="1" x14ac:dyDescent="0.3">
      <c r="A75" s="14" t="s">
        <v>45</v>
      </c>
      <c r="B75" s="14" t="s">
        <v>413</v>
      </c>
      <c r="C75" s="16" t="s">
        <v>46</v>
      </c>
      <c r="D75" s="17">
        <v>6.2600000000000003E-2</v>
      </c>
      <c r="E75" s="17">
        <v>0</v>
      </c>
      <c r="F75" s="17">
        <f>ROUNDDOWN(D75*E75,1)</f>
        <v>0</v>
      </c>
      <c r="G75" s="17">
        <f>단가대비표!O35</f>
        <v>247188</v>
      </c>
      <c r="H75" s="17">
        <f>ROUNDDOWN(D75*G75,1)</f>
        <v>15473.9</v>
      </c>
      <c r="I75" s="17">
        <v>0</v>
      </c>
      <c r="J75" s="17">
        <f>ROUNDDOWN(D75*I75,1)</f>
        <v>0</v>
      </c>
      <c r="K75" s="17">
        <f t="shared" ref="K75:L77" si="10">E75+G75+I75</f>
        <v>247188</v>
      </c>
      <c r="L75" s="17">
        <f t="shared" si="10"/>
        <v>15473.9</v>
      </c>
      <c r="M75" s="14" t="s">
        <v>415</v>
      </c>
      <c r="O75" s="2" t="s">
        <v>52</v>
      </c>
      <c r="P75" s="2" t="s">
        <v>438</v>
      </c>
      <c r="Q75" s="1">
        <v>1</v>
      </c>
    </row>
    <row r="76" spans="1:20" ht="22.9" customHeight="1" x14ac:dyDescent="0.3">
      <c r="A76" s="14" t="s">
        <v>395</v>
      </c>
      <c r="B76" s="14" t="s">
        <v>413</v>
      </c>
      <c r="C76" s="16" t="s">
        <v>46</v>
      </c>
      <c r="D76" s="17">
        <v>1.2800000000000001E-2</v>
      </c>
      <c r="E76" s="17">
        <v>0</v>
      </c>
      <c r="F76" s="17">
        <f>ROUNDDOWN(D76*E76,1)</f>
        <v>0</v>
      </c>
      <c r="G76" s="17">
        <f>단가대비표!O28</f>
        <v>172068</v>
      </c>
      <c r="H76" s="17">
        <f>ROUNDDOWN(D76*G76,1)</f>
        <v>2202.4</v>
      </c>
      <c r="I76" s="17">
        <v>0</v>
      </c>
      <c r="J76" s="17">
        <f>ROUNDDOWN(D76*I76,1)</f>
        <v>0</v>
      </c>
      <c r="K76" s="17">
        <f t="shared" si="10"/>
        <v>172068</v>
      </c>
      <c r="L76" s="17">
        <f t="shared" si="10"/>
        <v>2202.4</v>
      </c>
      <c r="M76" s="15"/>
      <c r="O76" s="2" t="s">
        <v>52</v>
      </c>
      <c r="P76" s="2" t="s">
        <v>438</v>
      </c>
      <c r="Q76" s="1">
        <v>1</v>
      </c>
    </row>
    <row r="77" spans="1:20" ht="22.9" customHeight="1" x14ac:dyDescent="0.3">
      <c r="A77" s="14" t="s">
        <v>166</v>
      </c>
      <c r="B77" s="15" t="str">
        <f>"인력품의 "&amp;N77*100&amp;"%"</f>
        <v>인력품의 3%</v>
      </c>
      <c r="C77" s="16" t="s">
        <v>31</v>
      </c>
      <c r="D77" s="17">
        <v>1</v>
      </c>
      <c r="E77" s="17">
        <v>0</v>
      </c>
      <c r="F77" s="17">
        <v>0</v>
      </c>
      <c r="G77" s="17">
        <v>0</v>
      </c>
      <c r="H77" s="17">
        <v>0</v>
      </c>
      <c r="I77" s="17">
        <f>SUMIF(O75:O77,"02",H75:H77)</f>
        <v>17676.3</v>
      </c>
      <c r="J77" s="17">
        <f>ROUNDDOWN((I77)*N77,1)</f>
        <v>530.20000000000005</v>
      </c>
      <c r="K77" s="17">
        <f t="shared" si="10"/>
        <v>17676.3</v>
      </c>
      <c r="L77" s="17">
        <f t="shared" si="10"/>
        <v>530.20000000000005</v>
      </c>
      <c r="M77" s="15"/>
      <c r="N77" s="1">
        <v>0.03</v>
      </c>
      <c r="P77" s="2" t="s">
        <v>438</v>
      </c>
      <c r="Q77" s="1">
        <v>1</v>
      </c>
      <c r="R77" s="2" t="s">
        <v>63</v>
      </c>
      <c r="S77" s="2" t="s">
        <v>293</v>
      </c>
      <c r="T77" s="2" t="s">
        <v>64</v>
      </c>
    </row>
    <row r="78" spans="1:20" ht="22.9" customHeight="1" x14ac:dyDescent="0.3">
      <c r="A78" s="18" t="s">
        <v>439</v>
      </c>
      <c r="B78" s="19"/>
      <c r="C78" s="20"/>
      <c r="D78" s="21"/>
      <c r="E78" s="21"/>
      <c r="F78" s="21">
        <f>ROUNDDOWN(SUMIF(Q75:Q77,"1",F75:F77),0)</f>
        <v>0</v>
      </c>
      <c r="G78" s="21"/>
      <c r="H78" s="21">
        <f>ROUNDDOWN(SUMIF(Q75:Q77,"1",H75:H77),0)</f>
        <v>17676</v>
      </c>
      <c r="I78" s="21"/>
      <c r="J78" s="21">
        <f>ROUNDDOWN(SUMIF(Q75:Q77,"1",J75:J77),0)</f>
        <v>530</v>
      </c>
      <c r="K78" s="21"/>
      <c r="L78" s="21">
        <f>F78+H78+J78</f>
        <v>18206</v>
      </c>
      <c r="M78" s="19"/>
    </row>
    <row r="79" spans="1:20" ht="22.9" customHeight="1" x14ac:dyDescent="0.3">
      <c r="A79" s="15"/>
      <c r="B79" s="15"/>
      <c r="C79" s="22"/>
      <c r="D79" s="17"/>
      <c r="E79" s="17"/>
      <c r="F79" s="17"/>
      <c r="G79" s="17"/>
      <c r="H79" s="17"/>
      <c r="I79" s="17"/>
      <c r="J79" s="17"/>
      <c r="K79" s="17"/>
      <c r="L79" s="17"/>
      <c r="M79" s="15"/>
    </row>
    <row r="80" spans="1:20" ht="22.9" customHeight="1" x14ac:dyDescent="0.3">
      <c r="A80" s="76" t="s">
        <v>144</v>
      </c>
      <c r="B80" s="77"/>
      <c r="C80" s="77"/>
      <c r="D80" s="77"/>
      <c r="E80" s="77"/>
      <c r="F80" s="77"/>
      <c r="G80" s="77"/>
      <c r="H80" s="77"/>
      <c r="I80" s="77"/>
      <c r="J80" s="77"/>
      <c r="K80" s="77"/>
      <c r="L80" s="77"/>
      <c r="M80" s="13" t="s">
        <v>294</v>
      </c>
    </row>
    <row r="81" spans="1:20" ht="22.9" customHeight="1" x14ac:dyDescent="0.3">
      <c r="A81" s="14" t="s">
        <v>45</v>
      </c>
      <c r="B81" s="14" t="s">
        <v>413</v>
      </c>
      <c r="C81" s="16" t="s">
        <v>46</v>
      </c>
      <c r="D81" s="17">
        <v>4.9399999999999999E-2</v>
      </c>
      <c r="E81" s="17">
        <v>0</v>
      </c>
      <c r="F81" s="17">
        <f>ROUNDDOWN(D81*E81,1)</f>
        <v>0</v>
      </c>
      <c r="G81" s="17">
        <f>단가대비표!O35</f>
        <v>247188</v>
      </c>
      <c r="H81" s="17">
        <f>ROUNDDOWN(D81*G81,1)</f>
        <v>12211</v>
      </c>
      <c r="I81" s="17">
        <v>0</v>
      </c>
      <c r="J81" s="17">
        <f>ROUNDDOWN(D81*I81,1)</f>
        <v>0</v>
      </c>
      <c r="K81" s="17">
        <f t="shared" ref="K81:L83" si="11">E81+G81+I81</f>
        <v>247188</v>
      </c>
      <c r="L81" s="17">
        <f t="shared" si="11"/>
        <v>12211</v>
      </c>
      <c r="M81" s="14" t="s">
        <v>415</v>
      </c>
      <c r="O81" s="2" t="s">
        <v>52</v>
      </c>
      <c r="P81" s="2" t="s">
        <v>438</v>
      </c>
      <c r="Q81" s="1">
        <v>1</v>
      </c>
    </row>
    <row r="82" spans="1:20" ht="22.9" customHeight="1" x14ac:dyDescent="0.3">
      <c r="A82" s="14" t="s">
        <v>395</v>
      </c>
      <c r="B82" s="14" t="s">
        <v>413</v>
      </c>
      <c r="C82" s="16" t="s">
        <v>46</v>
      </c>
      <c r="D82" s="17">
        <v>1.0999999999999999E-2</v>
      </c>
      <c r="E82" s="17">
        <v>0</v>
      </c>
      <c r="F82" s="17">
        <f>ROUNDDOWN(D82*E82,1)</f>
        <v>0</v>
      </c>
      <c r="G82" s="17">
        <f>단가대비표!O28</f>
        <v>172068</v>
      </c>
      <c r="H82" s="17">
        <f>ROUNDDOWN(D82*G82,1)</f>
        <v>1892.7</v>
      </c>
      <c r="I82" s="17">
        <v>0</v>
      </c>
      <c r="J82" s="17">
        <f>ROUNDDOWN(D82*I82,1)</f>
        <v>0</v>
      </c>
      <c r="K82" s="17">
        <f t="shared" si="11"/>
        <v>172068</v>
      </c>
      <c r="L82" s="17">
        <f t="shared" si="11"/>
        <v>1892.7</v>
      </c>
      <c r="M82" s="15"/>
      <c r="O82" s="2" t="s">
        <v>52</v>
      </c>
      <c r="P82" s="2" t="s">
        <v>438</v>
      </c>
      <c r="Q82" s="1">
        <v>1</v>
      </c>
    </row>
    <row r="83" spans="1:20" ht="22.9" customHeight="1" x14ac:dyDescent="0.3">
      <c r="A83" s="14" t="s">
        <v>166</v>
      </c>
      <c r="B83" s="15" t="str">
        <f>"인력품의 "&amp;N83*100&amp;"%"</f>
        <v>인력품의 2%</v>
      </c>
      <c r="C83" s="16" t="s">
        <v>31</v>
      </c>
      <c r="D83" s="17">
        <v>1</v>
      </c>
      <c r="E83" s="17">
        <v>0</v>
      </c>
      <c r="F83" s="17">
        <v>0</v>
      </c>
      <c r="G83" s="17">
        <v>0</v>
      </c>
      <c r="H83" s="17">
        <v>0</v>
      </c>
      <c r="I83" s="17">
        <f>SUMIF(O81:O83,"02",H81:H83)</f>
        <v>14103.7</v>
      </c>
      <c r="J83" s="17">
        <f>ROUNDDOWN((I83)*N83,1)</f>
        <v>282</v>
      </c>
      <c r="K83" s="17">
        <f t="shared" si="11"/>
        <v>14103.7</v>
      </c>
      <c r="L83" s="17">
        <f t="shared" si="11"/>
        <v>282</v>
      </c>
      <c r="M83" s="15"/>
      <c r="N83" s="1">
        <v>0.02</v>
      </c>
      <c r="P83" s="2" t="s">
        <v>438</v>
      </c>
      <c r="Q83" s="1">
        <v>1</v>
      </c>
      <c r="R83" s="2" t="s">
        <v>63</v>
      </c>
      <c r="S83" s="2" t="s">
        <v>293</v>
      </c>
      <c r="T83" s="2" t="s">
        <v>64</v>
      </c>
    </row>
    <row r="84" spans="1:20" ht="22.9" customHeight="1" x14ac:dyDescent="0.3">
      <c r="A84" s="18" t="s">
        <v>439</v>
      </c>
      <c r="B84" s="19"/>
      <c r="C84" s="20"/>
      <c r="D84" s="21"/>
      <c r="E84" s="21"/>
      <c r="F84" s="21">
        <f>ROUNDDOWN(SUMIF(Q81:Q83,"1",F81:F83),0)</f>
        <v>0</v>
      </c>
      <c r="G84" s="21"/>
      <c r="H84" s="21">
        <f>ROUNDDOWN(SUMIF(Q81:Q83,"1",H81:H83),0)</f>
        <v>14103</v>
      </c>
      <c r="I84" s="21"/>
      <c r="J84" s="21">
        <f>ROUNDDOWN(SUMIF(Q81:Q83,"1",J81:J83),0)</f>
        <v>282</v>
      </c>
      <c r="K84" s="21"/>
      <c r="L84" s="21">
        <f>F84+H84+J84</f>
        <v>14385</v>
      </c>
      <c r="M84" s="19"/>
    </row>
    <row r="85" spans="1:20" ht="22.9" customHeight="1" x14ac:dyDescent="0.3">
      <c r="A85" s="15"/>
      <c r="B85" s="15"/>
      <c r="C85" s="22"/>
      <c r="D85" s="17"/>
      <c r="E85" s="17"/>
      <c r="F85" s="17"/>
      <c r="G85" s="17"/>
      <c r="H85" s="17"/>
      <c r="I85" s="17"/>
      <c r="J85" s="17"/>
      <c r="K85" s="17"/>
      <c r="L85" s="17"/>
      <c r="M85" s="15"/>
    </row>
    <row r="86" spans="1:20" ht="22.9" customHeight="1" x14ac:dyDescent="0.3">
      <c r="A86" s="76" t="s">
        <v>145</v>
      </c>
      <c r="B86" s="77"/>
      <c r="C86" s="77"/>
      <c r="D86" s="77"/>
      <c r="E86" s="77"/>
      <c r="F86" s="77"/>
      <c r="G86" s="77"/>
      <c r="H86" s="77"/>
      <c r="I86" s="77"/>
      <c r="J86" s="77"/>
      <c r="K86" s="77"/>
      <c r="L86" s="77"/>
      <c r="M86" s="13" t="s">
        <v>294</v>
      </c>
    </row>
    <row r="87" spans="1:20" ht="22.9" customHeight="1" x14ac:dyDescent="0.3">
      <c r="A87" s="14" t="s">
        <v>45</v>
      </c>
      <c r="B87" s="14" t="s">
        <v>413</v>
      </c>
      <c r="C87" s="16" t="s">
        <v>46</v>
      </c>
      <c r="D87" s="17">
        <v>7.6200000000000004E-2</v>
      </c>
      <c r="E87" s="17">
        <v>0</v>
      </c>
      <c r="F87" s="17">
        <f>ROUNDDOWN(D87*E87,1)</f>
        <v>0</v>
      </c>
      <c r="G87" s="17">
        <f>단가대비표!O35</f>
        <v>247188</v>
      </c>
      <c r="H87" s="17">
        <f>ROUNDDOWN(D87*G87,1)</f>
        <v>18835.7</v>
      </c>
      <c r="I87" s="17">
        <v>0</v>
      </c>
      <c r="J87" s="17">
        <f>ROUNDDOWN(D87*I87,1)</f>
        <v>0</v>
      </c>
      <c r="K87" s="17">
        <f t="shared" ref="K87:L89" si="12">E87+G87+I87</f>
        <v>247188</v>
      </c>
      <c r="L87" s="17">
        <f t="shared" si="12"/>
        <v>18835.7</v>
      </c>
      <c r="M87" s="14" t="s">
        <v>415</v>
      </c>
      <c r="O87" s="2" t="s">
        <v>52</v>
      </c>
      <c r="P87" s="2" t="s">
        <v>438</v>
      </c>
      <c r="Q87" s="1">
        <v>1</v>
      </c>
    </row>
    <row r="88" spans="1:20" ht="22.9" customHeight="1" x14ac:dyDescent="0.3">
      <c r="A88" s="14" t="s">
        <v>395</v>
      </c>
      <c r="B88" s="14" t="s">
        <v>413</v>
      </c>
      <c r="C88" s="16" t="s">
        <v>46</v>
      </c>
      <c r="D88" s="17">
        <v>1.7000000000000001E-2</v>
      </c>
      <c r="E88" s="17">
        <v>0</v>
      </c>
      <c r="F88" s="17">
        <f>ROUNDDOWN(D88*E88,1)</f>
        <v>0</v>
      </c>
      <c r="G88" s="17">
        <f>단가대비표!O28</f>
        <v>172068</v>
      </c>
      <c r="H88" s="17">
        <f>ROUNDDOWN(D88*G88,1)</f>
        <v>2925.1</v>
      </c>
      <c r="I88" s="17">
        <v>0</v>
      </c>
      <c r="J88" s="17">
        <f>ROUNDDOWN(D88*I88,1)</f>
        <v>0</v>
      </c>
      <c r="K88" s="17">
        <f t="shared" si="12"/>
        <v>172068</v>
      </c>
      <c r="L88" s="17">
        <f t="shared" si="12"/>
        <v>2925.1</v>
      </c>
      <c r="M88" s="15"/>
      <c r="O88" s="2" t="s">
        <v>52</v>
      </c>
      <c r="P88" s="2" t="s">
        <v>438</v>
      </c>
      <c r="Q88" s="1">
        <v>1</v>
      </c>
    </row>
    <row r="89" spans="1:20" ht="22.9" customHeight="1" x14ac:dyDescent="0.3">
      <c r="A89" s="14" t="s">
        <v>166</v>
      </c>
      <c r="B89" s="15" t="str">
        <f>"인력품의 "&amp;N89*100&amp;"%"</f>
        <v>인력품의 2%</v>
      </c>
      <c r="C89" s="16" t="s">
        <v>31</v>
      </c>
      <c r="D89" s="17">
        <v>1</v>
      </c>
      <c r="E89" s="17">
        <v>0</v>
      </c>
      <c r="F89" s="17">
        <v>0</v>
      </c>
      <c r="G89" s="17">
        <v>0</v>
      </c>
      <c r="H89" s="17">
        <v>0</v>
      </c>
      <c r="I89" s="17">
        <f>SUMIF(O87:O89,"02",H87:H89)</f>
        <v>21760.799999999999</v>
      </c>
      <c r="J89" s="17">
        <f>ROUNDDOWN((I89)*N89,1)</f>
        <v>435.2</v>
      </c>
      <c r="K89" s="17">
        <f t="shared" si="12"/>
        <v>21760.799999999999</v>
      </c>
      <c r="L89" s="17">
        <f t="shared" si="12"/>
        <v>435.2</v>
      </c>
      <c r="M89" s="15"/>
      <c r="N89" s="1">
        <v>0.02</v>
      </c>
      <c r="P89" s="2" t="s">
        <v>438</v>
      </c>
      <c r="Q89" s="1">
        <v>1</v>
      </c>
      <c r="R89" s="2" t="s">
        <v>63</v>
      </c>
      <c r="S89" s="2" t="s">
        <v>293</v>
      </c>
      <c r="T89" s="2" t="s">
        <v>64</v>
      </c>
    </row>
    <row r="90" spans="1:20" ht="22.9" customHeight="1" x14ac:dyDescent="0.3">
      <c r="A90" s="18" t="s">
        <v>439</v>
      </c>
      <c r="B90" s="19"/>
      <c r="C90" s="20"/>
      <c r="D90" s="21"/>
      <c r="E90" s="21"/>
      <c r="F90" s="21">
        <f>ROUNDDOWN(SUMIF(Q87:Q89,"1",F87:F89),0)</f>
        <v>0</v>
      </c>
      <c r="G90" s="21"/>
      <c r="H90" s="21">
        <f>ROUNDDOWN(SUMIF(Q87:Q89,"1",H87:H89),0)</f>
        <v>21760</v>
      </c>
      <c r="I90" s="21"/>
      <c r="J90" s="21">
        <f>ROUNDDOWN(SUMIF(Q87:Q89,"1",J87:J89),0)</f>
        <v>435</v>
      </c>
      <c r="K90" s="21"/>
      <c r="L90" s="21">
        <f>F90+H90+J90</f>
        <v>22195</v>
      </c>
      <c r="M90" s="19"/>
    </row>
    <row r="91" spans="1:20" ht="22.9" customHeight="1" x14ac:dyDescent="0.3">
      <c r="A91" s="15"/>
      <c r="B91" s="15"/>
      <c r="C91" s="22"/>
      <c r="D91" s="17"/>
      <c r="E91" s="17"/>
      <c r="F91" s="17"/>
      <c r="G91" s="17"/>
      <c r="H91" s="17"/>
      <c r="I91" s="17"/>
      <c r="J91" s="17"/>
      <c r="K91" s="17"/>
      <c r="L91" s="17"/>
      <c r="M91" s="15"/>
    </row>
    <row r="92" spans="1:20" ht="22.9" customHeight="1" x14ac:dyDescent="0.3">
      <c r="A92" s="76" t="s">
        <v>139</v>
      </c>
      <c r="B92" s="77"/>
      <c r="C92" s="77"/>
      <c r="D92" s="77"/>
      <c r="E92" s="77"/>
      <c r="F92" s="77"/>
      <c r="G92" s="77"/>
      <c r="H92" s="77"/>
      <c r="I92" s="77"/>
      <c r="J92" s="77"/>
      <c r="K92" s="77"/>
      <c r="L92" s="77"/>
      <c r="M92" s="13" t="s">
        <v>302</v>
      </c>
    </row>
    <row r="93" spans="1:20" ht="22.9" customHeight="1" x14ac:dyDescent="0.3">
      <c r="A93" s="14" t="s">
        <v>45</v>
      </c>
      <c r="B93" s="14" t="s">
        <v>413</v>
      </c>
      <c r="C93" s="16" t="s">
        <v>46</v>
      </c>
      <c r="D93" s="17">
        <v>0.13159999999999999</v>
      </c>
      <c r="E93" s="17">
        <v>0</v>
      </c>
      <c r="F93" s="17">
        <f>ROUNDDOWN(D93*E93,1)</f>
        <v>0</v>
      </c>
      <c r="G93" s="17">
        <f>단가대비표!O35</f>
        <v>247188</v>
      </c>
      <c r="H93" s="17">
        <f>ROUNDDOWN(D93*G93,1)</f>
        <v>32529.9</v>
      </c>
      <c r="I93" s="17">
        <v>0</v>
      </c>
      <c r="J93" s="17">
        <f>ROUNDDOWN(D93*I93,1)</f>
        <v>0</v>
      </c>
      <c r="K93" s="17">
        <f t="shared" ref="K93:L95" si="13">E93+G93+I93</f>
        <v>247188</v>
      </c>
      <c r="L93" s="17">
        <f t="shared" si="13"/>
        <v>32529.9</v>
      </c>
      <c r="M93" s="14" t="s">
        <v>415</v>
      </c>
      <c r="O93" s="2" t="s">
        <v>52</v>
      </c>
      <c r="P93" s="2" t="s">
        <v>438</v>
      </c>
      <c r="Q93" s="1">
        <v>1</v>
      </c>
    </row>
    <row r="94" spans="1:20" ht="22.9" customHeight="1" x14ac:dyDescent="0.3">
      <c r="A94" s="14" t="s">
        <v>395</v>
      </c>
      <c r="B94" s="14" t="s">
        <v>413</v>
      </c>
      <c r="C94" s="16" t="s">
        <v>46</v>
      </c>
      <c r="D94" s="17">
        <v>3.1399999999999997E-2</v>
      </c>
      <c r="E94" s="17">
        <v>0</v>
      </c>
      <c r="F94" s="17">
        <f>ROUNDDOWN(D94*E94,1)</f>
        <v>0</v>
      </c>
      <c r="G94" s="17">
        <f>단가대비표!O28</f>
        <v>172068</v>
      </c>
      <c r="H94" s="17">
        <f>ROUNDDOWN(D94*G94,1)</f>
        <v>5402.9</v>
      </c>
      <c r="I94" s="17">
        <v>0</v>
      </c>
      <c r="J94" s="17">
        <f>ROUNDDOWN(D94*I94,1)</f>
        <v>0</v>
      </c>
      <c r="K94" s="17">
        <f t="shared" si="13"/>
        <v>172068</v>
      </c>
      <c r="L94" s="17">
        <f t="shared" si="13"/>
        <v>5402.9</v>
      </c>
      <c r="M94" s="15"/>
      <c r="O94" s="2" t="s">
        <v>52</v>
      </c>
      <c r="P94" s="2" t="s">
        <v>438</v>
      </c>
      <c r="Q94" s="1">
        <v>1</v>
      </c>
    </row>
    <row r="95" spans="1:20" ht="22.9" customHeight="1" x14ac:dyDescent="0.3">
      <c r="A95" s="14" t="s">
        <v>166</v>
      </c>
      <c r="B95" s="15" t="str">
        <f>"인력품의 "&amp;N95*100&amp;"%"</f>
        <v>인력품의 3%</v>
      </c>
      <c r="C95" s="16" t="s">
        <v>31</v>
      </c>
      <c r="D95" s="17">
        <v>1</v>
      </c>
      <c r="E95" s="17">
        <v>0</v>
      </c>
      <c r="F95" s="17">
        <v>0</v>
      </c>
      <c r="G95" s="17">
        <v>0</v>
      </c>
      <c r="H95" s="17">
        <v>0</v>
      </c>
      <c r="I95" s="17">
        <f>SUMIF(O93:O95,"02",H93:H95)</f>
        <v>37932.800000000003</v>
      </c>
      <c r="J95" s="17">
        <f>ROUNDDOWN((I95)*N95,1)</f>
        <v>1137.9000000000001</v>
      </c>
      <c r="K95" s="17">
        <f t="shared" si="13"/>
        <v>37932.800000000003</v>
      </c>
      <c r="L95" s="17">
        <f t="shared" si="13"/>
        <v>1137.9000000000001</v>
      </c>
      <c r="M95" s="15"/>
      <c r="N95" s="1">
        <v>0.03</v>
      </c>
      <c r="P95" s="2" t="s">
        <v>438</v>
      </c>
      <c r="Q95" s="1">
        <v>1</v>
      </c>
      <c r="R95" s="2" t="s">
        <v>63</v>
      </c>
      <c r="S95" s="2" t="s">
        <v>293</v>
      </c>
      <c r="T95" s="2" t="s">
        <v>64</v>
      </c>
    </row>
    <row r="96" spans="1:20" ht="22.9" customHeight="1" x14ac:dyDescent="0.3">
      <c r="A96" s="18" t="s">
        <v>439</v>
      </c>
      <c r="B96" s="19"/>
      <c r="C96" s="20"/>
      <c r="D96" s="21"/>
      <c r="E96" s="21"/>
      <c r="F96" s="21">
        <f>ROUNDDOWN(SUMIF(Q93:Q95,"1",F93:F95),0)</f>
        <v>0</v>
      </c>
      <c r="G96" s="21"/>
      <c r="H96" s="21">
        <f>ROUNDDOWN(SUMIF(Q93:Q95,"1",H93:H95),0)</f>
        <v>37932</v>
      </c>
      <c r="I96" s="21"/>
      <c r="J96" s="21">
        <f>ROUNDDOWN(SUMIF(Q93:Q95,"1",J93:J95),0)</f>
        <v>1137</v>
      </c>
      <c r="K96" s="21"/>
      <c r="L96" s="21">
        <f>F96+H96+J96</f>
        <v>39069</v>
      </c>
      <c r="M96" s="19"/>
    </row>
    <row r="97" spans="1:17" ht="22.9" customHeight="1" x14ac:dyDescent="0.3">
      <c r="A97" s="15"/>
      <c r="B97" s="15"/>
      <c r="C97" s="22"/>
      <c r="D97" s="17"/>
      <c r="E97" s="17"/>
      <c r="F97" s="17"/>
      <c r="G97" s="17"/>
      <c r="H97" s="17"/>
      <c r="I97" s="17"/>
      <c r="J97" s="17"/>
      <c r="K97" s="17"/>
      <c r="L97" s="17"/>
      <c r="M97" s="15"/>
    </row>
    <row r="98" spans="1:17" ht="22.9" customHeight="1" x14ac:dyDescent="0.3">
      <c r="A98" s="76" t="s">
        <v>0</v>
      </c>
      <c r="B98" s="77"/>
      <c r="C98" s="77"/>
      <c r="D98" s="77"/>
      <c r="E98" s="77"/>
      <c r="F98" s="77"/>
      <c r="G98" s="77"/>
      <c r="H98" s="77"/>
      <c r="I98" s="77"/>
      <c r="J98" s="77"/>
      <c r="K98" s="77"/>
      <c r="L98" s="77"/>
      <c r="M98" s="23"/>
    </row>
    <row r="99" spans="1:17" ht="22.9" customHeight="1" x14ac:dyDescent="0.3">
      <c r="A99" s="14" t="s">
        <v>395</v>
      </c>
      <c r="B99" s="14" t="s">
        <v>413</v>
      </c>
      <c r="C99" s="16" t="s">
        <v>46</v>
      </c>
      <c r="D99" s="17">
        <v>0.4</v>
      </c>
      <c r="E99" s="17">
        <v>0</v>
      </c>
      <c r="F99" s="17">
        <f>ROUNDDOWN(D99*E99,1)</f>
        <v>0</v>
      </c>
      <c r="G99" s="17">
        <f>단가대비표!O28</f>
        <v>172068</v>
      </c>
      <c r="H99" s="17">
        <f>ROUNDDOWN(D99*G99,1)</f>
        <v>68827.199999999997</v>
      </c>
      <c r="I99" s="17">
        <v>0</v>
      </c>
      <c r="J99" s="17">
        <f>ROUNDDOWN(D99*I99,1)</f>
        <v>0</v>
      </c>
      <c r="K99" s="17">
        <f>E99+G99+I99</f>
        <v>172068</v>
      </c>
      <c r="L99" s="17">
        <f>F99+H99+J99</f>
        <v>68827.199999999997</v>
      </c>
      <c r="M99" s="15"/>
      <c r="O99" s="2" t="s">
        <v>52</v>
      </c>
      <c r="P99" s="2" t="s">
        <v>438</v>
      </c>
      <c r="Q99" s="1">
        <v>1</v>
      </c>
    </row>
    <row r="100" spans="1:17" ht="22.9" customHeight="1" x14ac:dyDescent="0.3">
      <c r="A100" s="18" t="s">
        <v>439</v>
      </c>
      <c r="B100" s="19"/>
      <c r="C100" s="20"/>
      <c r="D100" s="21"/>
      <c r="E100" s="21"/>
      <c r="F100" s="21">
        <f>ROUNDDOWN(SUMIF(Q99:Q99,"1",F99:F99),0)</f>
        <v>0</v>
      </c>
      <c r="G100" s="21"/>
      <c r="H100" s="21">
        <f>ROUNDDOWN(SUMIF(Q99:Q99,"1",H99:H99),0)</f>
        <v>68827</v>
      </c>
      <c r="I100" s="21"/>
      <c r="J100" s="21">
        <f>ROUNDDOWN(SUMIF(Q99:Q99,"1",J99:J99),0)</f>
        <v>0</v>
      </c>
      <c r="K100" s="21"/>
      <c r="L100" s="21">
        <f>F100+H100+J100</f>
        <v>68827</v>
      </c>
      <c r="M100" s="19"/>
    </row>
    <row r="101" spans="1:17" ht="22.9" customHeight="1" x14ac:dyDescent="0.3">
      <c r="A101" s="15"/>
      <c r="B101" s="15"/>
      <c r="C101" s="22"/>
      <c r="D101" s="17"/>
      <c r="E101" s="17"/>
      <c r="F101" s="17"/>
      <c r="G101" s="17"/>
      <c r="H101" s="17"/>
      <c r="I101" s="17"/>
      <c r="J101" s="17"/>
      <c r="K101" s="17"/>
      <c r="L101" s="17"/>
      <c r="M101" s="15"/>
    </row>
    <row r="102" spans="1:17" ht="22.9" customHeight="1" x14ac:dyDescent="0.3">
      <c r="A102" s="76" t="s">
        <v>136</v>
      </c>
      <c r="B102" s="77"/>
      <c r="C102" s="77"/>
      <c r="D102" s="77"/>
      <c r="E102" s="77"/>
      <c r="F102" s="77"/>
      <c r="G102" s="77"/>
      <c r="H102" s="77"/>
      <c r="I102" s="77"/>
      <c r="J102" s="77"/>
      <c r="K102" s="77"/>
      <c r="L102" s="77"/>
      <c r="M102" s="23"/>
    </row>
    <row r="103" spans="1:17" ht="22.9" customHeight="1" x14ac:dyDescent="0.3">
      <c r="A103" s="14" t="s">
        <v>27</v>
      </c>
      <c r="B103" s="14" t="s">
        <v>413</v>
      </c>
      <c r="C103" s="16" t="s">
        <v>46</v>
      </c>
      <c r="D103" s="17">
        <v>0.13880000000000001</v>
      </c>
      <c r="E103" s="17">
        <v>0</v>
      </c>
      <c r="F103" s="17">
        <f>ROUNDDOWN(D103*E103,1)</f>
        <v>0</v>
      </c>
      <c r="G103" s="17">
        <f>단가대비표!O31</f>
        <v>218908</v>
      </c>
      <c r="H103" s="17">
        <f>ROUNDDOWN(D103*G103,1)</f>
        <v>30384.400000000001</v>
      </c>
      <c r="I103" s="17">
        <v>0</v>
      </c>
      <c r="J103" s="17">
        <f>ROUNDDOWN(D103*I103,1)</f>
        <v>0</v>
      </c>
      <c r="K103" s="17">
        <f>E103+G103+I103</f>
        <v>218908</v>
      </c>
      <c r="L103" s="17">
        <f>F103+H103+J103</f>
        <v>30384.400000000001</v>
      </c>
      <c r="M103" s="15"/>
      <c r="O103" s="2" t="s">
        <v>52</v>
      </c>
      <c r="P103" s="2" t="s">
        <v>438</v>
      </c>
      <c r="Q103" s="1">
        <v>1</v>
      </c>
    </row>
    <row r="104" spans="1:17" ht="22.9" customHeight="1" x14ac:dyDescent="0.3">
      <c r="A104" s="14" t="s">
        <v>395</v>
      </c>
      <c r="B104" s="14" t="s">
        <v>413</v>
      </c>
      <c r="C104" s="16" t="s">
        <v>46</v>
      </c>
      <c r="D104" s="17">
        <v>0.04</v>
      </c>
      <c r="E104" s="17">
        <v>0</v>
      </c>
      <c r="F104" s="17">
        <f>ROUNDDOWN(D104*E104,1)</f>
        <v>0</v>
      </c>
      <c r="G104" s="17">
        <f>단가대비표!O28</f>
        <v>172068</v>
      </c>
      <c r="H104" s="17">
        <f>ROUNDDOWN(D104*G104,1)</f>
        <v>6882.7</v>
      </c>
      <c r="I104" s="17">
        <v>0</v>
      </c>
      <c r="J104" s="17">
        <f>ROUNDDOWN(D104*I104,1)</f>
        <v>0</v>
      </c>
      <c r="K104" s="17">
        <f>E104+G104+I104</f>
        <v>172068</v>
      </c>
      <c r="L104" s="17">
        <f>F104+H104+J104</f>
        <v>6882.7</v>
      </c>
      <c r="M104" s="15"/>
      <c r="O104" s="2" t="s">
        <v>52</v>
      </c>
      <c r="P104" s="2" t="s">
        <v>438</v>
      </c>
      <c r="Q104" s="1">
        <v>1</v>
      </c>
    </row>
    <row r="105" spans="1:17" ht="22.9" customHeight="1" x14ac:dyDescent="0.3">
      <c r="A105" s="18" t="s">
        <v>439</v>
      </c>
      <c r="B105" s="19"/>
      <c r="C105" s="20"/>
      <c r="D105" s="21"/>
      <c r="E105" s="21"/>
      <c r="F105" s="21">
        <f>ROUNDDOWN(SUMIF(Q103:Q104,"1",F103:F104),0)</f>
        <v>0</v>
      </c>
      <c r="G105" s="21"/>
      <c r="H105" s="21">
        <f>ROUNDDOWN(SUMIF(Q103:Q104,"1",H103:H104),0)</f>
        <v>37267</v>
      </c>
      <c r="I105" s="21"/>
      <c r="J105" s="21">
        <f>ROUNDDOWN(SUMIF(Q103:Q104,"1",J103:J104),0)</f>
        <v>0</v>
      </c>
      <c r="K105" s="21"/>
      <c r="L105" s="21">
        <f>F105+H105+J105</f>
        <v>37267</v>
      </c>
      <c r="M105" s="19"/>
    </row>
    <row r="106" spans="1:17" ht="22.9" customHeight="1" x14ac:dyDescent="0.3">
      <c r="A106" s="15"/>
      <c r="B106" s="15"/>
      <c r="C106" s="22"/>
      <c r="D106" s="17"/>
      <c r="E106" s="17"/>
      <c r="F106" s="17"/>
      <c r="G106" s="17"/>
      <c r="H106" s="17"/>
      <c r="I106" s="17"/>
      <c r="J106" s="17"/>
      <c r="K106" s="17"/>
      <c r="L106" s="17"/>
      <c r="M106" s="15"/>
    </row>
    <row r="107" spans="1:17" ht="22.9" customHeight="1" x14ac:dyDescent="0.3">
      <c r="A107" s="76" t="s">
        <v>356</v>
      </c>
      <c r="B107" s="77"/>
      <c r="C107" s="77"/>
      <c r="D107" s="77"/>
      <c r="E107" s="77"/>
      <c r="F107" s="77"/>
      <c r="G107" s="77"/>
      <c r="H107" s="77"/>
      <c r="I107" s="77"/>
      <c r="J107" s="77"/>
      <c r="K107" s="77"/>
      <c r="L107" s="77"/>
      <c r="M107" s="13" t="s">
        <v>494</v>
      </c>
    </row>
    <row r="108" spans="1:17" ht="22.9" customHeight="1" x14ac:dyDescent="0.3">
      <c r="A108" s="14" t="s">
        <v>39</v>
      </c>
      <c r="B108" s="14" t="s">
        <v>413</v>
      </c>
      <c r="C108" s="16" t="s">
        <v>46</v>
      </c>
      <c r="D108" s="17">
        <v>8.0000000000000002E-3</v>
      </c>
      <c r="E108" s="17">
        <v>0</v>
      </c>
      <c r="F108" s="17">
        <f>ROUNDDOWN(D108*E108,1)</f>
        <v>0</v>
      </c>
      <c r="G108" s="17">
        <f>단가대비표!O26</f>
        <v>227614</v>
      </c>
      <c r="H108" s="17">
        <f>ROUNDDOWN(D108*G108,1)</f>
        <v>1820.9</v>
      </c>
      <c r="I108" s="17">
        <v>0</v>
      </c>
      <c r="J108" s="17">
        <f>ROUNDDOWN(D108*I108,1)</f>
        <v>0</v>
      </c>
      <c r="K108" s="17">
        <f>E108+G108+I108</f>
        <v>227614</v>
      </c>
      <c r="L108" s="17">
        <f>F108+H108+J108</f>
        <v>1820.9</v>
      </c>
      <c r="M108" s="15"/>
      <c r="O108" s="2" t="s">
        <v>41</v>
      </c>
      <c r="P108" s="2" t="s">
        <v>438</v>
      </c>
      <c r="Q108" s="1">
        <v>1</v>
      </c>
    </row>
    <row r="109" spans="1:17" ht="22.9" customHeight="1" x14ac:dyDescent="0.3">
      <c r="A109" s="14" t="s">
        <v>395</v>
      </c>
      <c r="B109" s="14" t="s">
        <v>413</v>
      </c>
      <c r="C109" s="16" t="s">
        <v>46</v>
      </c>
      <c r="D109" s="17">
        <v>5.0000000000000001E-3</v>
      </c>
      <c r="E109" s="17">
        <v>0</v>
      </c>
      <c r="F109" s="17">
        <f>ROUNDDOWN(D109*E109,1)</f>
        <v>0</v>
      </c>
      <c r="G109" s="17">
        <f>단가대비표!O28</f>
        <v>172068</v>
      </c>
      <c r="H109" s="17">
        <f>ROUNDDOWN(D109*G109,1)</f>
        <v>860.3</v>
      </c>
      <c r="I109" s="17">
        <v>0</v>
      </c>
      <c r="J109" s="17">
        <f>ROUNDDOWN(D109*I109,1)</f>
        <v>0</v>
      </c>
      <c r="K109" s="17">
        <f>E109+G109+I109</f>
        <v>172068</v>
      </c>
      <c r="L109" s="17">
        <f>F109+H109+J109</f>
        <v>860.3</v>
      </c>
      <c r="M109" s="15"/>
      <c r="O109" s="2" t="s">
        <v>41</v>
      </c>
      <c r="P109" s="2" t="s">
        <v>438</v>
      </c>
      <c r="Q109" s="1">
        <v>1</v>
      </c>
    </row>
    <row r="110" spans="1:17" ht="22.9" customHeight="1" x14ac:dyDescent="0.3">
      <c r="A110" s="18" t="s">
        <v>439</v>
      </c>
      <c r="B110" s="19"/>
      <c r="C110" s="20"/>
      <c r="D110" s="21"/>
      <c r="E110" s="21"/>
      <c r="F110" s="21">
        <f>ROUNDDOWN(SUMIF(Q108:Q109,"1",F108:F109),0)</f>
        <v>0</v>
      </c>
      <c r="G110" s="21"/>
      <c r="H110" s="21">
        <f>ROUNDDOWN(SUMIF(Q108:Q109,"1",H108:H109),0)</f>
        <v>2681</v>
      </c>
      <c r="I110" s="21"/>
      <c r="J110" s="21">
        <f>ROUNDDOWN(SUMIF(Q108:Q109,"1",J108:J109),0)</f>
        <v>0</v>
      </c>
      <c r="K110" s="21"/>
      <c r="L110" s="21">
        <f>F110+H110+J110</f>
        <v>2681</v>
      </c>
      <c r="M110" s="19"/>
    </row>
    <row r="111" spans="1:17" ht="22.9" customHeight="1" x14ac:dyDescent="0.3">
      <c r="A111" s="15"/>
      <c r="B111" s="15"/>
      <c r="C111" s="22"/>
      <c r="D111" s="17"/>
      <c r="E111" s="17"/>
      <c r="F111" s="17"/>
      <c r="G111" s="17"/>
      <c r="H111" s="17"/>
      <c r="I111" s="17"/>
      <c r="J111" s="17"/>
      <c r="K111" s="17"/>
      <c r="L111" s="17"/>
      <c r="M111" s="15"/>
    </row>
    <row r="112" spans="1:17" ht="22.9" customHeight="1" x14ac:dyDescent="0.3">
      <c r="A112" s="76" t="s">
        <v>316</v>
      </c>
      <c r="B112" s="77"/>
      <c r="C112" s="77"/>
      <c r="D112" s="77"/>
      <c r="E112" s="77"/>
      <c r="F112" s="77"/>
      <c r="G112" s="77"/>
      <c r="H112" s="77"/>
      <c r="I112" s="77"/>
      <c r="J112" s="77"/>
      <c r="K112" s="77"/>
      <c r="L112" s="77"/>
      <c r="M112" s="23"/>
    </row>
    <row r="113" spans="1:20" ht="22.9" customHeight="1" x14ac:dyDescent="0.3">
      <c r="A113" s="14" t="s">
        <v>406</v>
      </c>
      <c r="B113" s="14" t="s">
        <v>413</v>
      </c>
      <c r="C113" s="16" t="s">
        <v>46</v>
      </c>
      <c r="D113" s="17">
        <v>0.01</v>
      </c>
      <c r="E113" s="17">
        <v>0</v>
      </c>
      <c r="F113" s="17">
        <f>ROUNDDOWN(D113*E113,1)</f>
        <v>0</v>
      </c>
      <c r="G113" s="17">
        <f>단가대비표!O24</f>
        <v>277642</v>
      </c>
      <c r="H113" s="17">
        <f>ROUNDDOWN(D113*G113,1)</f>
        <v>2776.4</v>
      </c>
      <c r="I113" s="17">
        <v>0</v>
      </c>
      <c r="J113" s="17">
        <f>ROUNDDOWN(D113*I113,1)</f>
        <v>0</v>
      </c>
      <c r="K113" s="17">
        <f t="shared" ref="K113:L115" si="14">E113+G113+I113</f>
        <v>277642</v>
      </c>
      <c r="L113" s="17">
        <f t="shared" si="14"/>
        <v>2776.4</v>
      </c>
      <c r="M113" s="15"/>
      <c r="O113" s="2" t="s">
        <v>52</v>
      </c>
      <c r="P113" s="2" t="s">
        <v>438</v>
      </c>
      <c r="Q113" s="1">
        <v>1</v>
      </c>
    </row>
    <row r="114" spans="1:20" ht="22.9" customHeight="1" x14ac:dyDescent="0.3">
      <c r="A114" s="14" t="s">
        <v>395</v>
      </c>
      <c r="B114" s="14" t="s">
        <v>413</v>
      </c>
      <c r="C114" s="16" t="s">
        <v>46</v>
      </c>
      <c r="D114" s="17">
        <v>5.0000000000000001E-3</v>
      </c>
      <c r="E114" s="17">
        <v>0</v>
      </c>
      <c r="F114" s="17">
        <f>ROUNDDOWN(D114*E114,1)</f>
        <v>0</v>
      </c>
      <c r="G114" s="17">
        <f>단가대비표!O28</f>
        <v>172068</v>
      </c>
      <c r="H114" s="17">
        <f>ROUNDDOWN(D114*G114,1)</f>
        <v>860.3</v>
      </c>
      <c r="I114" s="17">
        <v>0</v>
      </c>
      <c r="J114" s="17">
        <f>ROUNDDOWN(D114*I114,1)</f>
        <v>0</v>
      </c>
      <c r="K114" s="17">
        <f t="shared" si="14"/>
        <v>172068</v>
      </c>
      <c r="L114" s="17">
        <f t="shared" si="14"/>
        <v>860.3</v>
      </c>
      <c r="M114" s="15"/>
      <c r="O114" s="2" t="s">
        <v>52</v>
      </c>
      <c r="P114" s="2" t="s">
        <v>438</v>
      </c>
      <c r="Q114" s="1">
        <v>1</v>
      </c>
    </row>
    <row r="115" spans="1:20" ht="22.9" customHeight="1" x14ac:dyDescent="0.3">
      <c r="A115" s="14" t="s">
        <v>508</v>
      </c>
      <c r="B115" s="15" t="str">
        <f>"인력품의 "&amp;N115*100&amp;"%"</f>
        <v>인력품의 2%</v>
      </c>
      <c r="C115" s="16" t="s">
        <v>31</v>
      </c>
      <c r="D115" s="17">
        <v>1</v>
      </c>
      <c r="E115" s="17">
        <v>0</v>
      </c>
      <c r="F115" s="17">
        <v>0</v>
      </c>
      <c r="G115" s="17">
        <v>0</v>
      </c>
      <c r="H115" s="17">
        <v>0</v>
      </c>
      <c r="I115" s="17">
        <f>SUMIF(O113:O115,"02",H113:H115)</f>
        <v>3636.7</v>
      </c>
      <c r="J115" s="17">
        <f>ROUNDDOWN((I115)*N115,1)</f>
        <v>72.7</v>
      </c>
      <c r="K115" s="17">
        <f t="shared" si="14"/>
        <v>3636.7</v>
      </c>
      <c r="L115" s="17">
        <f t="shared" si="14"/>
        <v>72.7</v>
      </c>
      <c r="M115" s="15"/>
      <c r="N115" s="1">
        <v>0.02</v>
      </c>
      <c r="P115" s="2" t="s">
        <v>438</v>
      </c>
      <c r="Q115" s="1">
        <v>1</v>
      </c>
      <c r="R115" s="2" t="s">
        <v>63</v>
      </c>
      <c r="S115" s="2" t="s">
        <v>293</v>
      </c>
      <c r="T115" s="2" t="s">
        <v>64</v>
      </c>
    </row>
    <row r="116" spans="1:20" ht="22.9" customHeight="1" x14ac:dyDescent="0.3">
      <c r="A116" s="18" t="s">
        <v>439</v>
      </c>
      <c r="B116" s="19"/>
      <c r="C116" s="20"/>
      <c r="D116" s="21"/>
      <c r="E116" s="21"/>
      <c r="F116" s="21">
        <f>ROUNDDOWN(SUMIF(Q113:Q115,"1",F113:F115),0)</f>
        <v>0</v>
      </c>
      <c r="G116" s="21"/>
      <c r="H116" s="21">
        <f>ROUNDDOWN(SUMIF(Q113:Q115,"1",H113:H115),0)</f>
        <v>3636</v>
      </c>
      <c r="I116" s="21"/>
      <c r="J116" s="21">
        <f>ROUNDDOWN(SUMIF(Q113:Q115,"1",J113:J115),0)</f>
        <v>72</v>
      </c>
      <c r="K116" s="21"/>
      <c r="L116" s="21">
        <f>F116+H116+J116</f>
        <v>3708</v>
      </c>
      <c r="M116" s="19"/>
    </row>
    <row r="117" spans="1:20" ht="22.9" customHeight="1" x14ac:dyDescent="0.3">
      <c r="A117" s="15"/>
      <c r="B117" s="15"/>
      <c r="C117" s="22"/>
      <c r="D117" s="17"/>
      <c r="E117" s="17"/>
      <c r="F117" s="17"/>
      <c r="G117" s="17"/>
      <c r="H117" s="17"/>
      <c r="I117" s="17"/>
      <c r="J117" s="17"/>
      <c r="K117" s="17"/>
      <c r="L117" s="17"/>
      <c r="M117" s="15"/>
    </row>
    <row r="118" spans="1:20" ht="22.9" customHeight="1" x14ac:dyDescent="0.3">
      <c r="A118" s="76" t="s">
        <v>153</v>
      </c>
      <c r="B118" s="77"/>
      <c r="C118" s="77"/>
      <c r="D118" s="77"/>
      <c r="E118" s="77"/>
      <c r="F118" s="77"/>
      <c r="G118" s="77"/>
      <c r="H118" s="77"/>
      <c r="I118" s="77"/>
      <c r="J118" s="77"/>
      <c r="K118" s="77"/>
      <c r="L118" s="77"/>
      <c r="M118" s="13" t="s">
        <v>484</v>
      </c>
    </row>
    <row r="119" spans="1:20" ht="22.9" customHeight="1" x14ac:dyDescent="0.3">
      <c r="A119" s="14" t="s">
        <v>25</v>
      </c>
      <c r="B119" s="14" t="s">
        <v>413</v>
      </c>
      <c r="C119" s="16" t="s">
        <v>46</v>
      </c>
      <c r="D119" s="17">
        <v>8.0000000000000002E-3</v>
      </c>
      <c r="E119" s="17">
        <v>0</v>
      </c>
      <c r="F119" s="17">
        <f>ROUNDDOWN(D119*E119,1)</f>
        <v>0</v>
      </c>
      <c r="G119" s="17">
        <f>단가대비표!O25</f>
        <v>256883</v>
      </c>
      <c r="H119" s="17">
        <f>ROUNDDOWN(D119*G119,1)</f>
        <v>2055</v>
      </c>
      <c r="I119" s="17">
        <v>0</v>
      </c>
      <c r="J119" s="17">
        <f>ROUNDDOWN(D119*I119,1)</f>
        <v>0</v>
      </c>
      <c r="K119" s="17">
        <f t="shared" ref="K119:L121" si="15">E119+G119+I119</f>
        <v>256883</v>
      </c>
      <c r="L119" s="17">
        <f t="shared" si="15"/>
        <v>2055</v>
      </c>
      <c r="M119" s="15"/>
      <c r="O119" s="2" t="s">
        <v>52</v>
      </c>
      <c r="P119" s="2" t="s">
        <v>438</v>
      </c>
      <c r="Q119" s="1">
        <v>1</v>
      </c>
    </row>
    <row r="120" spans="1:20" ht="22.9" customHeight="1" x14ac:dyDescent="0.3">
      <c r="A120" s="14" t="s">
        <v>395</v>
      </c>
      <c r="B120" s="14" t="s">
        <v>413</v>
      </c>
      <c r="C120" s="16" t="s">
        <v>46</v>
      </c>
      <c r="D120" s="17">
        <v>4.0000000000000001E-3</v>
      </c>
      <c r="E120" s="17">
        <v>0</v>
      </c>
      <c r="F120" s="17">
        <f>ROUNDDOWN(D120*E120,1)</f>
        <v>0</v>
      </c>
      <c r="G120" s="17">
        <f>단가대비표!O28</f>
        <v>172068</v>
      </c>
      <c r="H120" s="17">
        <f>ROUNDDOWN(D120*G120,1)</f>
        <v>688.2</v>
      </c>
      <c r="I120" s="17">
        <v>0</v>
      </c>
      <c r="J120" s="17">
        <f>ROUNDDOWN(D120*I120,1)</f>
        <v>0</v>
      </c>
      <c r="K120" s="17">
        <f t="shared" si="15"/>
        <v>172068</v>
      </c>
      <c r="L120" s="17">
        <f t="shared" si="15"/>
        <v>688.2</v>
      </c>
      <c r="M120" s="15"/>
      <c r="O120" s="2" t="s">
        <v>52</v>
      </c>
      <c r="P120" s="2" t="s">
        <v>438</v>
      </c>
      <c r="Q120" s="1">
        <v>1</v>
      </c>
    </row>
    <row r="121" spans="1:20" ht="22.9" customHeight="1" x14ac:dyDescent="0.3">
      <c r="A121" s="14" t="s">
        <v>508</v>
      </c>
      <c r="B121" s="15" t="str">
        <f>"인력품의 "&amp;N121*100&amp;"%"</f>
        <v>인력품의 2%</v>
      </c>
      <c r="C121" s="16" t="s">
        <v>31</v>
      </c>
      <c r="D121" s="17">
        <v>1</v>
      </c>
      <c r="E121" s="17">
        <f>SUMIF(O119:O121,"02",H119:H121)</f>
        <v>2743.2</v>
      </c>
      <c r="F121" s="17">
        <f>ROUNDDOWN((E121)*N121,1)</f>
        <v>54.8</v>
      </c>
      <c r="G121" s="17">
        <v>0</v>
      </c>
      <c r="H121" s="17">
        <v>0</v>
      </c>
      <c r="I121" s="17">
        <v>0</v>
      </c>
      <c r="J121" s="17">
        <v>0</v>
      </c>
      <c r="K121" s="17">
        <f t="shared" si="15"/>
        <v>2743.2</v>
      </c>
      <c r="L121" s="17">
        <f t="shared" si="15"/>
        <v>54.8</v>
      </c>
      <c r="M121" s="15"/>
      <c r="N121" s="1">
        <v>0.02</v>
      </c>
      <c r="P121" s="2" t="s">
        <v>438</v>
      </c>
      <c r="Q121" s="1">
        <v>1</v>
      </c>
      <c r="R121" s="2" t="s">
        <v>78</v>
      </c>
      <c r="S121" s="2" t="s">
        <v>293</v>
      </c>
      <c r="T121" s="2" t="s">
        <v>33</v>
      </c>
    </row>
    <row r="122" spans="1:20" ht="22.9" customHeight="1" x14ac:dyDescent="0.3">
      <c r="A122" s="18" t="s">
        <v>439</v>
      </c>
      <c r="B122" s="19"/>
      <c r="C122" s="20"/>
      <c r="D122" s="21"/>
      <c r="E122" s="21"/>
      <c r="F122" s="21">
        <f>ROUNDDOWN(SUMIF(Q119:Q121,"1",F119:F121),0)</f>
        <v>54</v>
      </c>
      <c r="G122" s="21"/>
      <c r="H122" s="21">
        <f>ROUNDDOWN(SUMIF(Q119:Q121,"1",H119:H121),0)</f>
        <v>2743</v>
      </c>
      <c r="I122" s="21"/>
      <c r="J122" s="21">
        <f>ROUNDDOWN(SUMIF(Q119:Q121,"1",J119:J121),0)</f>
        <v>0</v>
      </c>
      <c r="K122" s="21"/>
      <c r="L122" s="21">
        <f>F122+H122+J122</f>
        <v>2797</v>
      </c>
      <c r="M122" s="19"/>
    </row>
    <row r="123" spans="1:20" ht="22.9" customHeight="1" x14ac:dyDescent="0.3">
      <c r="A123" s="15"/>
      <c r="B123" s="15"/>
      <c r="C123" s="22"/>
      <c r="D123" s="17"/>
      <c r="E123" s="17"/>
      <c r="F123" s="17"/>
      <c r="G123" s="17"/>
      <c r="H123" s="17"/>
      <c r="I123" s="17"/>
      <c r="J123" s="17"/>
      <c r="K123" s="17"/>
      <c r="L123" s="17"/>
      <c r="M123" s="15"/>
    </row>
    <row r="124" spans="1:20" ht="22.9" customHeight="1" x14ac:dyDescent="0.3">
      <c r="A124" s="76" t="s">
        <v>355</v>
      </c>
      <c r="B124" s="77"/>
      <c r="C124" s="77"/>
      <c r="D124" s="77"/>
      <c r="E124" s="77"/>
      <c r="F124" s="77"/>
      <c r="G124" s="77"/>
      <c r="H124" s="77"/>
      <c r="I124" s="77"/>
      <c r="J124" s="77"/>
      <c r="K124" s="77"/>
      <c r="L124" s="77"/>
      <c r="M124" s="23"/>
    </row>
    <row r="125" spans="1:20" ht="22.9" customHeight="1" x14ac:dyDescent="0.3">
      <c r="A125" s="14" t="s">
        <v>395</v>
      </c>
      <c r="B125" s="14" t="s">
        <v>413</v>
      </c>
      <c r="C125" s="16" t="s">
        <v>46</v>
      </c>
      <c r="D125" s="17">
        <v>0.04</v>
      </c>
      <c r="E125" s="17">
        <v>0</v>
      </c>
      <c r="F125" s="17">
        <f>ROUNDDOWN(D125*E125,1)</f>
        <v>0</v>
      </c>
      <c r="G125" s="17">
        <f>단가대비표!O28</f>
        <v>172068</v>
      </c>
      <c r="H125" s="17">
        <f>ROUNDDOWN(D125*G125,1)</f>
        <v>6882.7</v>
      </c>
      <c r="I125" s="17">
        <v>0</v>
      </c>
      <c r="J125" s="17">
        <f>ROUNDDOWN(D125*I125,1)</f>
        <v>0</v>
      </c>
      <c r="K125" s="17">
        <f>E125+G125+I125</f>
        <v>172068</v>
      </c>
      <c r="L125" s="17">
        <f>F125+H125+J125</f>
        <v>6882.7</v>
      </c>
      <c r="M125" s="15"/>
      <c r="O125" s="2" t="s">
        <v>52</v>
      </c>
      <c r="P125" s="2" t="s">
        <v>438</v>
      </c>
      <c r="Q125" s="1">
        <v>1</v>
      </c>
    </row>
    <row r="126" spans="1:20" ht="22.9" customHeight="1" x14ac:dyDescent="0.3">
      <c r="A126" s="18" t="s">
        <v>439</v>
      </c>
      <c r="B126" s="19"/>
      <c r="C126" s="20"/>
      <c r="D126" s="21"/>
      <c r="E126" s="21"/>
      <c r="F126" s="21">
        <f>ROUNDDOWN(SUMIF(Q125:Q125,"1",F125:F125),0)</f>
        <v>0</v>
      </c>
      <c r="G126" s="21"/>
      <c r="H126" s="21">
        <f>ROUNDDOWN(SUMIF(Q125:Q125,"1",H125:H125),0)</f>
        <v>6882</v>
      </c>
      <c r="I126" s="21"/>
      <c r="J126" s="21">
        <f>ROUNDDOWN(SUMIF(Q125:Q125,"1",J125:J125),0)</f>
        <v>0</v>
      </c>
      <c r="K126" s="21"/>
      <c r="L126" s="21">
        <f>F126+H126+J126</f>
        <v>6882</v>
      </c>
      <c r="M126" s="19"/>
    </row>
    <row r="127" spans="1:20" ht="22.9" customHeight="1" x14ac:dyDescent="0.3">
      <c r="A127" s="15"/>
      <c r="B127" s="15"/>
      <c r="C127" s="22"/>
      <c r="D127" s="17"/>
      <c r="E127" s="17"/>
      <c r="F127" s="17"/>
      <c r="G127" s="17"/>
      <c r="H127" s="17"/>
      <c r="I127" s="17"/>
      <c r="J127" s="17"/>
      <c r="K127" s="17"/>
      <c r="L127" s="17"/>
      <c r="M127" s="15"/>
    </row>
    <row r="128" spans="1:20" ht="22.9" customHeight="1" x14ac:dyDescent="0.3">
      <c r="A128" s="76" t="s">
        <v>353</v>
      </c>
      <c r="B128" s="77"/>
      <c r="C128" s="77"/>
      <c r="D128" s="77"/>
      <c r="E128" s="77"/>
      <c r="F128" s="77"/>
      <c r="G128" s="77"/>
      <c r="H128" s="77"/>
      <c r="I128" s="77"/>
      <c r="J128" s="77"/>
      <c r="K128" s="77"/>
      <c r="L128" s="77"/>
      <c r="M128" s="13" t="s">
        <v>288</v>
      </c>
    </row>
    <row r="129" spans="1:20" ht="22.9" customHeight="1" x14ac:dyDescent="0.3">
      <c r="A129" s="14" t="s">
        <v>22</v>
      </c>
      <c r="B129" s="14" t="s">
        <v>413</v>
      </c>
      <c r="C129" s="16" t="s">
        <v>46</v>
      </c>
      <c r="D129" s="17">
        <v>3.6999999999999998E-2</v>
      </c>
      <c r="E129" s="17">
        <v>0</v>
      </c>
      <c r="F129" s="17">
        <f>ROUNDDOWN(D129*E129,1)</f>
        <v>0</v>
      </c>
      <c r="G129" s="17">
        <f>단가대비표!O36</f>
        <v>290939</v>
      </c>
      <c r="H129" s="17">
        <f>ROUNDDOWN(D129*G129,1)</f>
        <v>10764.7</v>
      </c>
      <c r="I129" s="17">
        <v>0</v>
      </c>
      <c r="J129" s="17">
        <f>ROUNDDOWN(D129*I129,1)</f>
        <v>0</v>
      </c>
      <c r="K129" s="17">
        <f t="shared" ref="K129:L131" si="16">E129+G129+I129</f>
        <v>290939</v>
      </c>
      <c r="L129" s="17">
        <f t="shared" si="16"/>
        <v>10764.7</v>
      </c>
      <c r="M129" s="15"/>
      <c r="O129" s="2" t="s">
        <v>52</v>
      </c>
      <c r="P129" s="2" t="s">
        <v>438</v>
      </c>
      <c r="Q129" s="1">
        <v>1</v>
      </c>
    </row>
    <row r="130" spans="1:20" ht="22.9" customHeight="1" x14ac:dyDescent="0.3">
      <c r="A130" s="14" t="s">
        <v>395</v>
      </c>
      <c r="B130" s="14" t="s">
        <v>413</v>
      </c>
      <c r="C130" s="16" t="s">
        <v>46</v>
      </c>
      <c r="D130" s="17">
        <v>2.4E-2</v>
      </c>
      <c r="E130" s="17">
        <v>0</v>
      </c>
      <c r="F130" s="17">
        <f>ROUNDDOWN(D130*E130,1)</f>
        <v>0</v>
      </c>
      <c r="G130" s="17">
        <f>단가대비표!O28</f>
        <v>172068</v>
      </c>
      <c r="H130" s="17">
        <f>ROUNDDOWN(D130*G130,1)</f>
        <v>4129.6000000000004</v>
      </c>
      <c r="I130" s="17">
        <v>0</v>
      </c>
      <c r="J130" s="17">
        <f>ROUNDDOWN(D130*I130,1)</f>
        <v>0</v>
      </c>
      <c r="K130" s="17">
        <f t="shared" si="16"/>
        <v>172068</v>
      </c>
      <c r="L130" s="17">
        <f t="shared" si="16"/>
        <v>4129.6000000000004</v>
      </c>
      <c r="M130" s="15"/>
      <c r="O130" s="2" t="s">
        <v>52</v>
      </c>
      <c r="P130" s="2" t="s">
        <v>438</v>
      </c>
      <c r="Q130" s="1">
        <v>1</v>
      </c>
    </row>
    <row r="131" spans="1:20" ht="22.9" customHeight="1" x14ac:dyDescent="0.3">
      <c r="A131" s="14" t="s">
        <v>289</v>
      </c>
      <c r="B131" s="15" t="str">
        <f>"인력품의 "&amp;N131*100&amp;"%"</f>
        <v>인력품의 6%</v>
      </c>
      <c r="C131" s="16" t="s">
        <v>31</v>
      </c>
      <c r="D131" s="17">
        <v>1</v>
      </c>
      <c r="E131" s="17">
        <v>0</v>
      </c>
      <c r="F131" s="17">
        <v>0</v>
      </c>
      <c r="G131" s="17">
        <v>0</v>
      </c>
      <c r="H131" s="17">
        <v>0</v>
      </c>
      <c r="I131" s="17">
        <f>SUMIF(O129:O131,"02",H129:H131)</f>
        <v>14894.300000000001</v>
      </c>
      <c r="J131" s="17">
        <f>ROUNDDOWN((I131)*N131,1)</f>
        <v>893.6</v>
      </c>
      <c r="K131" s="17">
        <f t="shared" si="16"/>
        <v>14894.300000000001</v>
      </c>
      <c r="L131" s="17">
        <f t="shared" si="16"/>
        <v>893.6</v>
      </c>
      <c r="M131" s="15"/>
      <c r="N131" s="1">
        <v>0.06</v>
      </c>
      <c r="P131" s="2" t="s">
        <v>438</v>
      </c>
      <c r="Q131" s="1">
        <v>1</v>
      </c>
      <c r="R131" s="2" t="s">
        <v>63</v>
      </c>
      <c r="S131" s="2" t="s">
        <v>293</v>
      </c>
      <c r="T131" s="2" t="s">
        <v>64</v>
      </c>
    </row>
    <row r="132" spans="1:20" ht="22.9" customHeight="1" x14ac:dyDescent="0.3">
      <c r="A132" s="18" t="s">
        <v>439</v>
      </c>
      <c r="B132" s="19"/>
      <c r="C132" s="20"/>
      <c r="D132" s="21"/>
      <c r="E132" s="21"/>
      <c r="F132" s="21">
        <f>ROUNDDOWN(SUMIF(Q129:Q131,"1",F129:F131),0)</f>
        <v>0</v>
      </c>
      <c r="G132" s="21"/>
      <c r="H132" s="21">
        <f>ROUNDDOWN(SUMIF(Q129:Q131,"1",H129:H131),0)</f>
        <v>14894</v>
      </c>
      <c r="I132" s="21"/>
      <c r="J132" s="21">
        <f>ROUNDDOWN(SUMIF(Q129:Q131,"1",J129:J131),0)</f>
        <v>893</v>
      </c>
      <c r="K132" s="21"/>
      <c r="L132" s="21">
        <f>F132+H132+J132</f>
        <v>15787</v>
      </c>
      <c r="M132" s="19"/>
    </row>
    <row r="133" spans="1:20" ht="22.9" customHeight="1" x14ac:dyDescent="0.3">
      <c r="A133" s="15"/>
      <c r="B133" s="15"/>
      <c r="C133" s="22"/>
      <c r="D133" s="17"/>
      <c r="E133" s="17"/>
      <c r="F133" s="17"/>
      <c r="G133" s="17"/>
      <c r="H133" s="17"/>
      <c r="I133" s="17"/>
      <c r="J133" s="17"/>
      <c r="K133" s="17"/>
      <c r="L133" s="17"/>
      <c r="M133" s="15"/>
    </row>
    <row r="134" spans="1:20" ht="22.9" customHeight="1" x14ac:dyDescent="0.3">
      <c r="A134" s="76" t="s">
        <v>354</v>
      </c>
      <c r="B134" s="77"/>
      <c r="C134" s="77"/>
      <c r="D134" s="77"/>
      <c r="E134" s="77"/>
      <c r="F134" s="77"/>
      <c r="G134" s="77"/>
      <c r="H134" s="77"/>
      <c r="I134" s="77"/>
      <c r="J134" s="77"/>
      <c r="K134" s="77"/>
      <c r="L134" s="77"/>
      <c r="M134" s="13" t="s">
        <v>288</v>
      </c>
    </row>
    <row r="135" spans="1:20" ht="22.9" customHeight="1" x14ac:dyDescent="0.3">
      <c r="A135" s="14" t="s">
        <v>22</v>
      </c>
      <c r="B135" s="14" t="s">
        <v>413</v>
      </c>
      <c r="C135" s="16" t="s">
        <v>46</v>
      </c>
      <c r="D135" s="17">
        <v>4.1000000000000002E-2</v>
      </c>
      <c r="E135" s="17">
        <v>0</v>
      </c>
      <c r="F135" s="17">
        <f>ROUNDDOWN(D135*E135,1)</f>
        <v>0</v>
      </c>
      <c r="G135" s="17">
        <f>단가대비표!O36</f>
        <v>290939</v>
      </c>
      <c r="H135" s="17">
        <f>ROUNDDOWN(D135*G135,1)</f>
        <v>11928.4</v>
      </c>
      <c r="I135" s="17">
        <v>0</v>
      </c>
      <c r="J135" s="17">
        <f>ROUNDDOWN(D135*I135,1)</f>
        <v>0</v>
      </c>
      <c r="K135" s="17">
        <f t="shared" ref="K135:L137" si="17">E135+G135+I135</f>
        <v>290939</v>
      </c>
      <c r="L135" s="17">
        <f t="shared" si="17"/>
        <v>11928.4</v>
      </c>
      <c r="M135" s="15"/>
      <c r="O135" s="2" t="s">
        <v>52</v>
      </c>
      <c r="P135" s="2" t="s">
        <v>438</v>
      </c>
      <c r="Q135" s="1">
        <v>1</v>
      </c>
    </row>
    <row r="136" spans="1:20" ht="22.9" customHeight="1" x14ac:dyDescent="0.3">
      <c r="A136" s="14" t="s">
        <v>395</v>
      </c>
      <c r="B136" s="14" t="s">
        <v>413</v>
      </c>
      <c r="C136" s="16" t="s">
        <v>46</v>
      </c>
      <c r="D136" s="17">
        <v>2.7000000000000003E-2</v>
      </c>
      <c r="E136" s="17">
        <v>0</v>
      </c>
      <c r="F136" s="17">
        <f>ROUNDDOWN(D136*E136,1)</f>
        <v>0</v>
      </c>
      <c r="G136" s="17">
        <f>단가대비표!O28</f>
        <v>172068</v>
      </c>
      <c r="H136" s="17">
        <f>ROUNDDOWN(D136*G136,1)</f>
        <v>4645.8</v>
      </c>
      <c r="I136" s="17">
        <v>0</v>
      </c>
      <c r="J136" s="17">
        <f>ROUNDDOWN(D136*I136,1)</f>
        <v>0</v>
      </c>
      <c r="K136" s="17">
        <f t="shared" si="17"/>
        <v>172068</v>
      </c>
      <c r="L136" s="17">
        <f t="shared" si="17"/>
        <v>4645.8</v>
      </c>
      <c r="M136" s="15"/>
      <c r="O136" s="2" t="s">
        <v>52</v>
      </c>
      <c r="P136" s="2" t="s">
        <v>438</v>
      </c>
      <c r="Q136" s="1">
        <v>1</v>
      </c>
    </row>
    <row r="137" spans="1:20" ht="22.9" customHeight="1" x14ac:dyDescent="0.3">
      <c r="A137" s="14" t="s">
        <v>289</v>
      </c>
      <c r="B137" s="15" t="str">
        <f>"인력품의 "&amp;N137*100&amp;"%"</f>
        <v>인력품의 6%</v>
      </c>
      <c r="C137" s="16" t="s">
        <v>31</v>
      </c>
      <c r="D137" s="17">
        <v>1</v>
      </c>
      <c r="E137" s="17">
        <v>0</v>
      </c>
      <c r="F137" s="17">
        <v>0</v>
      </c>
      <c r="G137" s="17">
        <v>0</v>
      </c>
      <c r="H137" s="17">
        <v>0</v>
      </c>
      <c r="I137" s="17">
        <f>SUMIF(O135:O137,"02",H135:H137)</f>
        <v>16574.2</v>
      </c>
      <c r="J137" s="17">
        <f>ROUNDDOWN((I137)*N137,1)</f>
        <v>994.4</v>
      </c>
      <c r="K137" s="17">
        <f t="shared" si="17"/>
        <v>16574.2</v>
      </c>
      <c r="L137" s="17">
        <f t="shared" si="17"/>
        <v>994.4</v>
      </c>
      <c r="M137" s="15"/>
      <c r="N137" s="1">
        <v>0.06</v>
      </c>
      <c r="P137" s="2" t="s">
        <v>438</v>
      </c>
      <c r="Q137" s="1">
        <v>1</v>
      </c>
      <c r="R137" s="2" t="s">
        <v>63</v>
      </c>
      <c r="S137" s="2" t="s">
        <v>293</v>
      </c>
      <c r="T137" s="2" t="s">
        <v>64</v>
      </c>
    </row>
    <row r="138" spans="1:20" ht="22.9" customHeight="1" x14ac:dyDescent="0.3">
      <c r="A138" s="18" t="s">
        <v>439</v>
      </c>
      <c r="B138" s="19"/>
      <c r="C138" s="20"/>
      <c r="D138" s="21"/>
      <c r="E138" s="21"/>
      <c r="F138" s="21">
        <f>ROUNDDOWN(SUMIF(Q135:Q137,"1",F135:F137),0)</f>
        <v>0</v>
      </c>
      <c r="G138" s="21"/>
      <c r="H138" s="21">
        <f>ROUNDDOWN(SUMIF(Q135:Q137,"1",H135:H137),0)</f>
        <v>16574</v>
      </c>
      <c r="I138" s="21"/>
      <c r="J138" s="21">
        <f>ROUNDDOWN(SUMIF(Q135:Q137,"1",J135:J137),0)</f>
        <v>994</v>
      </c>
      <c r="K138" s="21"/>
      <c r="L138" s="21">
        <f>F138+H138+J138</f>
        <v>17568</v>
      </c>
      <c r="M138" s="19"/>
    </row>
    <row r="139" spans="1:20" ht="22.9" customHeight="1" x14ac:dyDescent="0.3">
      <c r="A139" s="15"/>
      <c r="B139" s="15"/>
      <c r="C139" s="22"/>
      <c r="D139" s="17"/>
      <c r="E139" s="17"/>
      <c r="F139" s="17"/>
      <c r="G139" s="17"/>
      <c r="H139" s="17"/>
      <c r="I139" s="17"/>
      <c r="J139" s="17"/>
      <c r="K139" s="17"/>
      <c r="L139" s="17"/>
      <c r="M139" s="15"/>
    </row>
    <row r="140" spans="1:20" ht="22.9" customHeight="1" x14ac:dyDescent="0.3">
      <c r="A140" s="76" t="s">
        <v>131</v>
      </c>
      <c r="B140" s="77"/>
      <c r="C140" s="77"/>
      <c r="D140" s="77"/>
      <c r="E140" s="77"/>
      <c r="F140" s="77"/>
      <c r="G140" s="77"/>
      <c r="H140" s="77"/>
      <c r="I140" s="77"/>
      <c r="J140" s="77"/>
      <c r="K140" s="77"/>
      <c r="L140" s="77"/>
      <c r="M140" s="23"/>
    </row>
    <row r="141" spans="1:20" ht="22.9" customHeight="1" x14ac:dyDescent="0.3">
      <c r="A141" s="14" t="s">
        <v>395</v>
      </c>
      <c r="B141" s="14" t="s">
        <v>413</v>
      </c>
      <c r="C141" s="16" t="s">
        <v>46</v>
      </c>
      <c r="D141" s="17">
        <v>0.12</v>
      </c>
      <c r="E141" s="17">
        <v>0</v>
      </c>
      <c r="F141" s="17">
        <f>ROUNDDOWN(D141*E141,1)</f>
        <v>0</v>
      </c>
      <c r="G141" s="17">
        <f>단가대비표!O28</f>
        <v>172068</v>
      </c>
      <c r="H141" s="17">
        <f>ROUNDDOWN(D141*G141,1)</f>
        <v>20648.099999999999</v>
      </c>
      <c r="I141" s="17">
        <v>0</v>
      </c>
      <c r="J141" s="17">
        <f>ROUNDDOWN(D141*I141,1)</f>
        <v>0</v>
      </c>
      <c r="K141" s="17">
        <f>E141+G141+I141</f>
        <v>172068</v>
      </c>
      <c r="L141" s="17">
        <f>F141+H141+J141</f>
        <v>20648.099999999999</v>
      </c>
      <c r="M141" s="15"/>
      <c r="O141" s="2" t="s">
        <v>52</v>
      </c>
      <c r="P141" s="2" t="s">
        <v>438</v>
      </c>
      <c r="Q141" s="1">
        <v>1</v>
      </c>
    </row>
    <row r="142" spans="1:20" ht="22.9" customHeight="1" x14ac:dyDescent="0.3">
      <c r="A142" s="18" t="s">
        <v>439</v>
      </c>
      <c r="B142" s="19"/>
      <c r="C142" s="20"/>
      <c r="D142" s="21"/>
      <c r="E142" s="21"/>
      <c r="F142" s="21">
        <f>ROUNDDOWN(SUMIF(Q141:Q141,"1",F141:F141),0)</f>
        <v>0</v>
      </c>
      <c r="G142" s="21"/>
      <c r="H142" s="21">
        <f>ROUNDDOWN(SUMIF(Q141:Q141,"1",H141:H141),0)</f>
        <v>20648</v>
      </c>
      <c r="I142" s="21"/>
      <c r="J142" s="21">
        <f>ROUNDDOWN(SUMIF(Q141:Q141,"1",J141:J141),0)</f>
        <v>0</v>
      </c>
      <c r="K142" s="21"/>
      <c r="L142" s="21">
        <f>F142+H142+J142</f>
        <v>20648</v>
      </c>
      <c r="M142" s="19"/>
    </row>
    <row r="143" spans="1:20" ht="22.9" customHeight="1" x14ac:dyDescent="0.3">
      <c r="A143" s="15"/>
      <c r="B143" s="15"/>
      <c r="C143" s="22"/>
      <c r="D143" s="17"/>
      <c r="E143" s="17"/>
      <c r="F143" s="17"/>
      <c r="G143" s="17"/>
      <c r="H143" s="17"/>
      <c r="I143" s="17"/>
      <c r="J143" s="17"/>
      <c r="K143" s="17"/>
      <c r="L143" s="17"/>
      <c r="M143" s="15"/>
    </row>
    <row r="144" spans="1:20" ht="22.9" customHeight="1" x14ac:dyDescent="0.3">
      <c r="A144" s="76" t="s">
        <v>1</v>
      </c>
      <c r="B144" s="77"/>
      <c r="C144" s="77"/>
      <c r="D144" s="77"/>
      <c r="E144" s="77"/>
      <c r="F144" s="77"/>
      <c r="G144" s="77"/>
      <c r="H144" s="77"/>
      <c r="I144" s="77"/>
      <c r="J144" s="77"/>
      <c r="K144" s="77"/>
      <c r="L144" s="77"/>
      <c r="M144" s="13" t="s">
        <v>502</v>
      </c>
    </row>
    <row r="145" spans="1:20" ht="22.9" customHeight="1" x14ac:dyDescent="0.3">
      <c r="A145" s="14" t="s">
        <v>25</v>
      </c>
      <c r="B145" s="14" t="s">
        <v>413</v>
      </c>
      <c r="C145" s="16" t="s">
        <v>46</v>
      </c>
      <c r="D145" s="17">
        <v>6.0000000000000001E-3</v>
      </c>
      <c r="E145" s="17">
        <v>0</v>
      </c>
      <c r="F145" s="17">
        <f>ROUNDDOWN(D145*E145,1)</f>
        <v>0</v>
      </c>
      <c r="G145" s="17">
        <f>단가대비표!O25</f>
        <v>256883</v>
      </c>
      <c r="H145" s="17">
        <f>ROUNDDOWN(D145*G145,1)</f>
        <v>1541.2</v>
      </c>
      <c r="I145" s="17">
        <v>0</v>
      </c>
      <c r="J145" s="17">
        <f>ROUNDDOWN(D145*I145,1)</f>
        <v>0</v>
      </c>
      <c r="K145" s="17">
        <f>E145+G145+I145</f>
        <v>256883</v>
      </c>
      <c r="L145" s="17">
        <f>F145+H145+J145</f>
        <v>1541.2</v>
      </c>
      <c r="M145" s="15"/>
      <c r="O145" s="2" t="s">
        <v>52</v>
      </c>
      <c r="P145" s="2" t="s">
        <v>438</v>
      </c>
      <c r="Q145" s="1">
        <v>1</v>
      </c>
    </row>
    <row r="146" spans="1:20" ht="22.9" customHeight="1" x14ac:dyDescent="0.3">
      <c r="A146" s="14" t="s">
        <v>395</v>
      </c>
      <c r="B146" s="14" t="s">
        <v>413</v>
      </c>
      <c r="C146" s="16" t="s">
        <v>46</v>
      </c>
      <c r="D146" s="17">
        <v>4.0000000000000001E-3</v>
      </c>
      <c r="E146" s="17">
        <v>0</v>
      </c>
      <c r="F146" s="17">
        <f>ROUNDDOWN(D146*E146,1)</f>
        <v>0</v>
      </c>
      <c r="G146" s="17">
        <f>단가대비표!O28</f>
        <v>172068</v>
      </c>
      <c r="H146" s="17">
        <f>ROUNDDOWN(D146*G146,1)</f>
        <v>688.2</v>
      </c>
      <c r="I146" s="17">
        <v>0</v>
      </c>
      <c r="J146" s="17">
        <f>ROUNDDOWN(D146*I146,1)</f>
        <v>0</v>
      </c>
      <c r="K146" s="17">
        <f>E146+G146+I146</f>
        <v>172068</v>
      </c>
      <c r="L146" s="17">
        <f>F146+H146+J146</f>
        <v>688.2</v>
      </c>
      <c r="M146" s="15"/>
      <c r="O146" s="2" t="s">
        <v>52</v>
      </c>
      <c r="P146" s="2" t="s">
        <v>438</v>
      </c>
      <c r="Q146" s="1">
        <v>1</v>
      </c>
    </row>
    <row r="147" spans="1:20" ht="22.9" customHeight="1" x14ac:dyDescent="0.3">
      <c r="A147" s="18" t="s">
        <v>439</v>
      </c>
      <c r="B147" s="19"/>
      <c r="C147" s="20"/>
      <c r="D147" s="21"/>
      <c r="E147" s="21"/>
      <c r="F147" s="21">
        <f>ROUNDDOWN(SUMIF(Q145:Q146,"1",F145:F146),0)</f>
        <v>0</v>
      </c>
      <c r="G147" s="21"/>
      <c r="H147" s="21">
        <f>ROUNDDOWN(SUMIF(Q145:Q146,"1",H145:H146),0)</f>
        <v>2229</v>
      </c>
      <c r="I147" s="21"/>
      <c r="J147" s="21">
        <f>ROUNDDOWN(SUMIF(Q145:Q146,"1",J145:J146),0)</f>
        <v>0</v>
      </c>
      <c r="K147" s="21"/>
      <c r="L147" s="21">
        <f>F147+H147+J147</f>
        <v>2229</v>
      </c>
      <c r="M147" s="19"/>
    </row>
    <row r="148" spans="1:20" ht="22.9" customHeight="1" x14ac:dyDescent="0.3">
      <c r="A148" s="15"/>
      <c r="B148" s="15"/>
      <c r="C148" s="22"/>
      <c r="D148" s="17"/>
      <c r="E148" s="17"/>
      <c r="F148" s="17"/>
      <c r="G148" s="17"/>
      <c r="H148" s="17"/>
      <c r="I148" s="17"/>
      <c r="J148" s="17"/>
      <c r="K148" s="17"/>
      <c r="L148" s="17"/>
      <c r="M148" s="15"/>
    </row>
    <row r="149" spans="1:20" ht="22.9" customHeight="1" x14ac:dyDescent="0.3">
      <c r="A149" s="76" t="s">
        <v>203</v>
      </c>
      <c r="B149" s="77"/>
      <c r="C149" s="77"/>
      <c r="D149" s="77"/>
      <c r="E149" s="77"/>
      <c r="F149" s="77"/>
      <c r="G149" s="77"/>
      <c r="H149" s="77"/>
      <c r="I149" s="77"/>
      <c r="J149" s="77"/>
      <c r="K149" s="77"/>
      <c r="L149" s="77"/>
      <c r="M149" s="13" t="s">
        <v>506</v>
      </c>
    </row>
    <row r="150" spans="1:20" ht="22.9" customHeight="1" x14ac:dyDescent="0.3">
      <c r="A150" s="14" t="s">
        <v>25</v>
      </c>
      <c r="B150" s="14" t="s">
        <v>413</v>
      </c>
      <c r="C150" s="16" t="s">
        <v>46</v>
      </c>
      <c r="D150" s="17">
        <v>2.1050000000000001E-3</v>
      </c>
      <c r="E150" s="17">
        <v>0</v>
      </c>
      <c r="F150" s="17">
        <f>ROUNDDOWN(D150*E150,1)</f>
        <v>0</v>
      </c>
      <c r="G150" s="17">
        <f>단가대비표!O25</f>
        <v>256883</v>
      </c>
      <c r="H150" s="17">
        <f>ROUNDDOWN(D150*G150,1)</f>
        <v>540.70000000000005</v>
      </c>
      <c r="I150" s="17">
        <v>0</v>
      </c>
      <c r="J150" s="17">
        <f>ROUNDDOWN(D150*I150,1)</f>
        <v>0</v>
      </c>
      <c r="K150" s="17">
        <f>E150+G150+I150</f>
        <v>256883</v>
      </c>
      <c r="L150" s="17">
        <f>F150+H150+J150</f>
        <v>540.70000000000005</v>
      </c>
      <c r="M150" s="15"/>
      <c r="O150" s="2" t="s">
        <v>52</v>
      </c>
      <c r="P150" s="2" t="s">
        <v>438</v>
      </c>
      <c r="Q150" s="1">
        <v>1</v>
      </c>
    </row>
    <row r="151" spans="1:20" ht="22.9" customHeight="1" x14ac:dyDescent="0.3">
      <c r="A151" s="14" t="s">
        <v>395</v>
      </c>
      <c r="B151" s="14" t="s">
        <v>413</v>
      </c>
      <c r="C151" s="16" t="s">
        <v>46</v>
      </c>
      <c r="D151" s="17">
        <v>1.052E-3</v>
      </c>
      <c r="E151" s="17">
        <v>0</v>
      </c>
      <c r="F151" s="17">
        <f>ROUNDDOWN(D151*E151,1)</f>
        <v>0</v>
      </c>
      <c r="G151" s="17">
        <f>단가대비표!O28</f>
        <v>172068</v>
      </c>
      <c r="H151" s="17">
        <f>ROUNDDOWN(D151*G151,1)</f>
        <v>181</v>
      </c>
      <c r="I151" s="17">
        <v>0</v>
      </c>
      <c r="J151" s="17">
        <f>ROUNDDOWN(D151*I151,1)</f>
        <v>0</v>
      </c>
      <c r="K151" s="17">
        <f>E151+G151+I151</f>
        <v>172068</v>
      </c>
      <c r="L151" s="17">
        <f>F151+H151+J151</f>
        <v>181</v>
      </c>
      <c r="M151" s="15"/>
      <c r="O151" s="2" t="s">
        <v>52</v>
      </c>
      <c r="P151" s="2" t="s">
        <v>438</v>
      </c>
      <c r="Q151" s="1">
        <v>1</v>
      </c>
    </row>
    <row r="152" spans="1:20" ht="22.9" customHeight="1" x14ac:dyDescent="0.3">
      <c r="A152" s="18" t="s">
        <v>439</v>
      </c>
      <c r="B152" s="19"/>
      <c r="C152" s="20"/>
      <c r="D152" s="21"/>
      <c r="E152" s="21"/>
      <c r="F152" s="21">
        <f>ROUNDDOWN(SUMIF(Q150:Q151,"1",F150:F151),0)</f>
        <v>0</v>
      </c>
      <c r="G152" s="21"/>
      <c r="H152" s="21">
        <f>ROUNDDOWN(SUMIF(Q150:Q151,"1",H150:H151),0)</f>
        <v>721</v>
      </c>
      <c r="I152" s="21"/>
      <c r="J152" s="21">
        <f>ROUNDDOWN(SUMIF(Q150:Q151,"1",J150:J151),0)</f>
        <v>0</v>
      </c>
      <c r="K152" s="21"/>
      <c r="L152" s="21">
        <f>F152+H152+J152</f>
        <v>721</v>
      </c>
      <c r="M152" s="19"/>
    </row>
    <row r="153" spans="1:20" ht="22.9" customHeight="1" x14ac:dyDescent="0.3">
      <c r="A153" s="15"/>
      <c r="B153" s="15"/>
      <c r="C153" s="22"/>
      <c r="D153" s="17"/>
      <c r="E153" s="17"/>
      <c r="F153" s="17"/>
      <c r="G153" s="17"/>
      <c r="H153" s="17"/>
      <c r="I153" s="17"/>
      <c r="J153" s="17"/>
      <c r="K153" s="17"/>
      <c r="L153" s="17"/>
      <c r="M153" s="15"/>
    </row>
    <row r="154" spans="1:20" ht="22.9" customHeight="1" x14ac:dyDescent="0.3">
      <c r="A154" s="76" t="s">
        <v>309</v>
      </c>
      <c r="B154" s="77"/>
      <c r="C154" s="77"/>
      <c r="D154" s="77"/>
      <c r="E154" s="77"/>
      <c r="F154" s="77"/>
      <c r="G154" s="77"/>
      <c r="H154" s="77"/>
      <c r="I154" s="77"/>
      <c r="J154" s="77"/>
      <c r="K154" s="77"/>
      <c r="L154" s="77"/>
      <c r="M154" s="13" t="s">
        <v>481</v>
      </c>
    </row>
    <row r="155" spans="1:20" ht="22.9" customHeight="1" x14ac:dyDescent="0.3">
      <c r="A155" s="14" t="s">
        <v>407</v>
      </c>
      <c r="B155" s="14" t="s">
        <v>413</v>
      </c>
      <c r="C155" s="16" t="s">
        <v>46</v>
      </c>
      <c r="D155" s="17">
        <v>0.04</v>
      </c>
      <c r="E155" s="17">
        <v>0</v>
      </c>
      <c r="F155" s="17">
        <f>ROUNDDOWN(D155*E155,1)</f>
        <v>0</v>
      </c>
      <c r="G155" s="17">
        <f>단가대비표!O37</f>
        <v>226122</v>
      </c>
      <c r="H155" s="17">
        <f>ROUNDDOWN(D155*G155,1)</f>
        <v>9044.7999999999993</v>
      </c>
      <c r="I155" s="17">
        <v>0</v>
      </c>
      <c r="J155" s="17">
        <f>ROUNDDOWN(D155*I155,1)</f>
        <v>0</v>
      </c>
      <c r="K155" s="17">
        <f t="shared" ref="K155:L159" si="18">E155+G155+I155</f>
        <v>226122</v>
      </c>
      <c r="L155" s="17">
        <f t="shared" si="18"/>
        <v>9044.7999999999993</v>
      </c>
      <c r="M155" s="15"/>
      <c r="O155" s="2" t="s">
        <v>52</v>
      </c>
      <c r="P155" s="2" t="s">
        <v>438</v>
      </c>
      <c r="Q155" s="1">
        <v>1</v>
      </c>
    </row>
    <row r="156" spans="1:20" ht="22.9" customHeight="1" x14ac:dyDescent="0.3">
      <c r="A156" s="14" t="s">
        <v>395</v>
      </c>
      <c r="B156" s="14" t="s">
        <v>413</v>
      </c>
      <c r="C156" s="16" t="s">
        <v>46</v>
      </c>
      <c r="D156" s="17">
        <v>0.02</v>
      </c>
      <c r="E156" s="17">
        <v>0</v>
      </c>
      <c r="F156" s="17">
        <f>ROUNDDOWN(D156*E156,1)</f>
        <v>0</v>
      </c>
      <c r="G156" s="17">
        <f>단가대비표!O28</f>
        <v>172068</v>
      </c>
      <c r="H156" s="17">
        <f>ROUNDDOWN(D156*G156,1)</f>
        <v>3441.3</v>
      </c>
      <c r="I156" s="17">
        <v>0</v>
      </c>
      <c r="J156" s="17">
        <f>ROUNDDOWN(D156*I156,1)</f>
        <v>0</v>
      </c>
      <c r="K156" s="17">
        <f t="shared" si="18"/>
        <v>172068</v>
      </c>
      <c r="L156" s="17">
        <f t="shared" si="18"/>
        <v>3441.3</v>
      </c>
      <c r="M156" s="15"/>
      <c r="O156" s="2" t="s">
        <v>52</v>
      </c>
      <c r="P156" s="2" t="s">
        <v>438</v>
      </c>
      <c r="Q156" s="1">
        <v>1</v>
      </c>
    </row>
    <row r="157" spans="1:20" ht="22.9" customHeight="1" x14ac:dyDescent="0.3">
      <c r="A157" s="14" t="s">
        <v>452</v>
      </c>
      <c r="B157" s="14" t="s">
        <v>479</v>
      </c>
      <c r="C157" s="16" t="s">
        <v>34</v>
      </c>
      <c r="D157" s="17">
        <v>0.16</v>
      </c>
      <c r="E157" s="17">
        <f>중기경비목록!G17</f>
        <v>37481</v>
      </c>
      <c r="F157" s="17">
        <f>ROUNDDOWN(D157*E157,1)</f>
        <v>5996.9</v>
      </c>
      <c r="G157" s="17">
        <f>중기경비목록!I17</f>
        <v>59020</v>
      </c>
      <c r="H157" s="17">
        <f>ROUNDDOWN(D157*G157,1)</f>
        <v>9443.2000000000007</v>
      </c>
      <c r="I157" s="17">
        <f>중기경비목록!K17</f>
        <v>48478</v>
      </c>
      <c r="J157" s="17">
        <f>ROUNDDOWN(D157*I157,1)</f>
        <v>7756.4</v>
      </c>
      <c r="K157" s="17">
        <f t="shared" si="18"/>
        <v>144979</v>
      </c>
      <c r="L157" s="17">
        <f t="shared" si="18"/>
        <v>23196.5</v>
      </c>
      <c r="M157" s="14" t="s">
        <v>454</v>
      </c>
      <c r="P157" s="2" t="s">
        <v>438</v>
      </c>
      <c r="Q157" s="1">
        <v>1</v>
      </c>
    </row>
    <row r="158" spans="1:20" ht="22.9" customHeight="1" x14ac:dyDescent="0.3">
      <c r="A158" s="14" t="s">
        <v>193</v>
      </c>
      <c r="B158" s="14" t="s">
        <v>461</v>
      </c>
      <c r="C158" s="16" t="s">
        <v>34</v>
      </c>
      <c r="D158" s="17">
        <v>0.16</v>
      </c>
      <c r="E158" s="17">
        <f>중기경비목록!G16</f>
        <v>20619</v>
      </c>
      <c r="F158" s="17">
        <f>ROUNDDOWN(D158*E158,1)</f>
        <v>3299</v>
      </c>
      <c r="G158" s="17">
        <f>중기경비목록!I16</f>
        <v>59020</v>
      </c>
      <c r="H158" s="17">
        <f>ROUNDDOWN(D158*G158,1)</f>
        <v>9443.2000000000007</v>
      </c>
      <c r="I158" s="17">
        <f>중기경비목록!K16</f>
        <v>23423</v>
      </c>
      <c r="J158" s="17">
        <f>ROUNDDOWN(D158*I158,1)</f>
        <v>3747.6</v>
      </c>
      <c r="K158" s="17">
        <f t="shared" si="18"/>
        <v>103062</v>
      </c>
      <c r="L158" s="17">
        <f t="shared" si="18"/>
        <v>16489.8</v>
      </c>
      <c r="M158" s="14" t="s">
        <v>453</v>
      </c>
      <c r="P158" s="2" t="s">
        <v>438</v>
      </c>
      <c r="Q158" s="1">
        <v>1</v>
      </c>
    </row>
    <row r="159" spans="1:20" ht="22.9" customHeight="1" x14ac:dyDescent="0.3">
      <c r="A159" s="14" t="s">
        <v>166</v>
      </c>
      <c r="B159" s="15" t="str">
        <f>"인력품의 "&amp;N159*100&amp;"%"</f>
        <v>인력품의 4%</v>
      </c>
      <c r="C159" s="16" t="s">
        <v>31</v>
      </c>
      <c r="D159" s="17">
        <v>1</v>
      </c>
      <c r="E159" s="17">
        <v>0</v>
      </c>
      <c r="F159" s="17">
        <v>0</v>
      </c>
      <c r="G159" s="17">
        <v>0</v>
      </c>
      <c r="H159" s="17">
        <v>0</v>
      </c>
      <c r="I159" s="17">
        <f>SUMIF(O155:O159,"02",H155:H159)</f>
        <v>12486.099999999999</v>
      </c>
      <c r="J159" s="17">
        <f>ROUNDDOWN((I159)*N159,1)</f>
        <v>499.4</v>
      </c>
      <c r="K159" s="17">
        <f t="shared" si="18"/>
        <v>12486.099999999999</v>
      </c>
      <c r="L159" s="17">
        <f t="shared" si="18"/>
        <v>499.4</v>
      </c>
      <c r="M159" s="15"/>
      <c r="N159" s="1">
        <v>0.04</v>
      </c>
      <c r="P159" s="2" t="s">
        <v>438</v>
      </c>
      <c r="Q159" s="1">
        <v>1</v>
      </c>
      <c r="R159" s="2" t="s">
        <v>63</v>
      </c>
      <c r="S159" s="2" t="s">
        <v>293</v>
      </c>
      <c r="T159" s="2" t="s">
        <v>64</v>
      </c>
    </row>
    <row r="160" spans="1:20" ht="22.9" customHeight="1" x14ac:dyDescent="0.3">
      <c r="A160" s="18" t="s">
        <v>439</v>
      </c>
      <c r="B160" s="19"/>
      <c r="C160" s="20"/>
      <c r="D160" s="21"/>
      <c r="E160" s="21"/>
      <c r="F160" s="21">
        <f>ROUNDDOWN(SUMIF(Q155:Q159,"1",F155:F159),0)</f>
        <v>9295</v>
      </c>
      <c r="G160" s="21"/>
      <c r="H160" s="21">
        <f>ROUNDDOWN(SUMIF(Q155:Q159,"1",H155:H159),0)</f>
        <v>31372</v>
      </c>
      <c r="I160" s="21"/>
      <c r="J160" s="21">
        <f>ROUNDDOWN(SUMIF(Q155:Q159,"1",J155:J159),0)</f>
        <v>12003</v>
      </c>
      <c r="K160" s="21"/>
      <c r="L160" s="21">
        <f>F160+H160+J160</f>
        <v>52670</v>
      </c>
      <c r="M160" s="19"/>
    </row>
    <row r="161" spans="1:20" ht="22.9" customHeight="1" x14ac:dyDescent="0.3">
      <c r="A161" s="15"/>
      <c r="B161" s="15"/>
      <c r="C161" s="22"/>
      <c r="D161" s="17"/>
      <c r="E161" s="17"/>
      <c r="F161" s="17"/>
      <c r="G161" s="17"/>
      <c r="H161" s="17"/>
      <c r="I161" s="17"/>
      <c r="J161" s="17"/>
      <c r="K161" s="17"/>
      <c r="L161" s="17"/>
      <c r="M161" s="15"/>
    </row>
    <row r="162" spans="1:20" ht="22.9" customHeight="1" x14ac:dyDescent="0.3">
      <c r="A162" s="76" t="s">
        <v>202</v>
      </c>
      <c r="B162" s="77"/>
      <c r="C162" s="77"/>
      <c r="D162" s="77"/>
      <c r="E162" s="77"/>
      <c r="F162" s="77"/>
      <c r="G162" s="77"/>
      <c r="H162" s="77"/>
      <c r="I162" s="77"/>
      <c r="J162" s="77"/>
      <c r="K162" s="77"/>
      <c r="L162" s="77"/>
      <c r="M162" s="13" t="s">
        <v>481</v>
      </c>
    </row>
    <row r="163" spans="1:20" ht="22.9" customHeight="1" x14ac:dyDescent="0.3">
      <c r="A163" s="14" t="s">
        <v>43</v>
      </c>
      <c r="B163" s="14" t="s">
        <v>413</v>
      </c>
      <c r="C163" s="16" t="s">
        <v>46</v>
      </c>
      <c r="D163" s="17">
        <v>2.2221999999999999E-2</v>
      </c>
      <c r="E163" s="17">
        <v>0</v>
      </c>
      <c r="F163" s="17">
        <f>ROUNDDOWN(D163*E163,1)</f>
        <v>0</v>
      </c>
      <c r="G163" s="17">
        <f>단가대비표!O30</f>
        <v>282536</v>
      </c>
      <c r="H163" s="17">
        <f>ROUNDDOWN(D163*G163,1)</f>
        <v>6278.5</v>
      </c>
      <c r="I163" s="17">
        <v>0</v>
      </c>
      <c r="J163" s="17">
        <f>ROUNDDOWN(D163*I163,1)</f>
        <v>0</v>
      </c>
      <c r="K163" s="17">
        <f t="shared" ref="K163:L170" si="19">E163+G163+I163</f>
        <v>282536</v>
      </c>
      <c r="L163" s="17">
        <f t="shared" si="19"/>
        <v>6278.5</v>
      </c>
      <c r="M163" s="14" t="s">
        <v>414</v>
      </c>
      <c r="O163" s="2" t="s">
        <v>52</v>
      </c>
      <c r="P163" s="2" t="s">
        <v>438</v>
      </c>
      <c r="Q163" s="1">
        <v>1</v>
      </c>
    </row>
    <row r="164" spans="1:20" ht="22.9" customHeight="1" x14ac:dyDescent="0.3">
      <c r="A164" s="14" t="s">
        <v>407</v>
      </c>
      <c r="B164" s="14" t="s">
        <v>413</v>
      </c>
      <c r="C164" s="16" t="s">
        <v>46</v>
      </c>
      <c r="D164" s="17">
        <v>4.4443999999999997E-2</v>
      </c>
      <c r="E164" s="17">
        <v>0</v>
      </c>
      <c r="F164" s="17">
        <f>ROUNDDOWN(D164*E164,1)</f>
        <v>0</v>
      </c>
      <c r="G164" s="17">
        <f>단가대비표!O37</f>
        <v>226122</v>
      </c>
      <c r="H164" s="17">
        <f>ROUNDDOWN(D164*G164,1)</f>
        <v>10049.700000000001</v>
      </c>
      <c r="I164" s="17">
        <v>0</v>
      </c>
      <c r="J164" s="17">
        <f>ROUNDDOWN(D164*I164,1)</f>
        <v>0</v>
      </c>
      <c r="K164" s="17">
        <f t="shared" si="19"/>
        <v>226122</v>
      </c>
      <c r="L164" s="17">
        <f t="shared" si="19"/>
        <v>10049.700000000001</v>
      </c>
      <c r="M164" s="15"/>
      <c r="O164" s="2" t="s">
        <v>52</v>
      </c>
      <c r="P164" s="2" t="s">
        <v>438</v>
      </c>
      <c r="Q164" s="1">
        <v>1</v>
      </c>
    </row>
    <row r="165" spans="1:20" ht="22.9" customHeight="1" x14ac:dyDescent="0.3">
      <c r="A165" s="14" t="s">
        <v>395</v>
      </c>
      <c r="B165" s="14" t="s">
        <v>413</v>
      </c>
      <c r="C165" s="16" t="s">
        <v>46</v>
      </c>
      <c r="D165" s="17">
        <v>2.2221999999999999E-2</v>
      </c>
      <c r="E165" s="17">
        <v>0</v>
      </c>
      <c r="F165" s="17">
        <f>ROUNDDOWN(D165*E165,1)</f>
        <v>0</v>
      </c>
      <c r="G165" s="17">
        <f>단가대비표!O28</f>
        <v>172068</v>
      </c>
      <c r="H165" s="17">
        <f>ROUNDDOWN(D165*G165,1)</f>
        <v>3823.6</v>
      </c>
      <c r="I165" s="17">
        <v>0</v>
      </c>
      <c r="J165" s="17">
        <f>ROUNDDOWN(D165*I165,1)</f>
        <v>0</v>
      </c>
      <c r="K165" s="17">
        <f t="shared" si="19"/>
        <v>172068</v>
      </c>
      <c r="L165" s="17">
        <f t="shared" si="19"/>
        <v>3823.6</v>
      </c>
      <c r="M165" s="15"/>
      <c r="O165" s="2" t="s">
        <v>52</v>
      </c>
      <c r="P165" s="2" t="s">
        <v>438</v>
      </c>
      <c r="Q165" s="1">
        <v>1</v>
      </c>
    </row>
    <row r="166" spans="1:20" ht="22.9" customHeight="1" x14ac:dyDescent="0.3">
      <c r="A166" s="14" t="s">
        <v>452</v>
      </c>
      <c r="B166" s="14" t="s">
        <v>479</v>
      </c>
      <c r="C166" s="16" t="s">
        <v>34</v>
      </c>
      <c r="D166" s="17">
        <v>0.17777699999999999</v>
      </c>
      <c r="E166" s="17">
        <f>중기경비목록!G17</f>
        <v>37481</v>
      </c>
      <c r="F166" s="17">
        <f>ROUNDDOWN(D166*E166,1)</f>
        <v>6663.2</v>
      </c>
      <c r="G166" s="17">
        <f>중기경비목록!I17</f>
        <v>59020</v>
      </c>
      <c r="H166" s="17">
        <f>ROUNDDOWN(D166*G166,1)</f>
        <v>10492.3</v>
      </c>
      <c r="I166" s="17">
        <f>중기경비목록!K17</f>
        <v>48478</v>
      </c>
      <c r="J166" s="17">
        <f>ROUNDDOWN(D166*I166,1)</f>
        <v>8618.2000000000007</v>
      </c>
      <c r="K166" s="17">
        <f t="shared" si="19"/>
        <v>144979</v>
      </c>
      <c r="L166" s="17">
        <f t="shared" si="19"/>
        <v>25773.7</v>
      </c>
      <c r="M166" s="14" t="s">
        <v>454</v>
      </c>
      <c r="P166" s="2" t="s">
        <v>438</v>
      </c>
      <c r="Q166" s="1">
        <v>1</v>
      </c>
    </row>
    <row r="167" spans="1:20" ht="22.9" customHeight="1" x14ac:dyDescent="0.3">
      <c r="A167" s="14" t="s">
        <v>193</v>
      </c>
      <c r="B167" s="14" t="s">
        <v>461</v>
      </c>
      <c r="C167" s="16" t="s">
        <v>34</v>
      </c>
      <c r="D167" s="17">
        <v>0.17777699999999999</v>
      </c>
      <c r="E167" s="17">
        <f>중기경비목록!G16</f>
        <v>20619</v>
      </c>
      <c r="F167" s="17">
        <f>ROUNDDOWN(D167*E167,1)</f>
        <v>3665.5</v>
      </c>
      <c r="G167" s="17">
        <f>중기경비목록!I16</f>
        <v>59020</v>
      </c>
      <c r="H167" s="17">
        <f>ROUNDDOWN(D167*G167,1)</f>
        <v>10492.3</v>
      </c>
      <c r="I167" s="17">
        <f>중기경비목록!K16</f>
        <v>23423</v>
      </c>
      <c r="J167" s="17">
        <f>ROUNDDOWN(D167*I167,1)</f>
        <v>4164</v>
      </c>
      <c r="K167" s="17">
        <f t="shared" si="19"/>
        <v>103062</v>
      </c>
      <c r="L167" s="17">
        <f t="shared" si="19"/>
        <v>18321.8</v>
      </c>
      <c r="M167" s="14" t="s">
        <v>453</v>
      </c>
      <c r="P167" s="2" t="s">
        <v>438</v>
      </c>
      <c r="Q167" s="1">
        <v>1</v>
      </c>
    </row>
    <row r="168" spans="1:20" ht="22.9" customHeight="1" x14ac:dyDescent="0.3">
      <c r="A168" s="14" t="s">
        <v>166</v>
      </c>
      <c r="B168" s="15" t="str">
        <f>"인력품의 "&amp;N168*100&amp;"%"</f>
        <v>인력품의 4%</v>
      </c>
      <c r="C168" s="16" t="s">
        <v>31</v>
      </c>
      <c r="D168" s="17">
        <v>1</v>
      </c>
      <c r="E168" s="17">
        <v>0</v>
      </c>
      <c r="F168" s="17">
        <v>0</v>
      </c>
      <c r="G168" s="17">
        <v>0</v>
      </c>
      <c r="H168" s="17">
        <v>0</v>
      </c>
      <c r="I168" s="17">
        <f>SUMIF(O163:O170,"02",H163:H170)</f>
        <v>20151.8</v>
      </c>
      <c r="J168" s="17">
        <f>ROUNDDOWN((I168)*N168,1)</f>
        <v>806</v>
      </c>
      <c r="K168" s="17">
        <f t="shared" si="19"/>
        <v>20151.8</v>
      </c>
      <c r="L168" s="17">
        <f t="shared" si="19"/>
        <v>806</v>
      </c>
      <c r="M168" s="15"/>
      <c r="N168" s="1">
        <v>0.04</v>
      </c>
      <c r="P168" s="2" t="s">
        <v>438</v>
      </c>
      <c r="Q168" s="1">
        <v>1</v>
      </c>
      <c r="R168" s="2" t="s">
        <v>63</v>
      </c>
      <c r="S168" s="2" t="s">
        <v>293</v>
      </c>
      <c r="T168" s="2" t="s">
        <v>64</v>
      </c>
    </row>
    <row r="169" spans="1:20" ht="22.9" customHeight="1" x14ac:dyDescent="0.3">
      <c r="A169" s="14" t="s">
        <v>382</v>
      </c>
      <c r="B169" s="14" t="s">
        <v>276</v>
      </c>
      <c r="C169" s="16" t="s">
        <v>14</v>
      </c>
      <c r="D169" s="17">
        <v>135</v>
      </c>
      <c r="E169" s="17">
        <f>단가대비표!O17</f>
        <v>2.5</v>
      </c>
      <c r="F169" s="17">
        <f>ROUNDDOWN(D169*E169,1)</f>
        <v>337.5</v>
      </c>
      <c r="G169" s="17">
        <v>0</v>
      </c>
      <c r="H169" s="17">
        <f>ROUNDDOWN(D169*G169,1)</f>
        <v>0</v>
      </c>
      <c r="I169" s="17">
        <v>0</v>
      </c>
      <c r="J169" s="17">
        <f>ROUNDDOWN(D169*I169,1)</f>
        <v>0</v>
      </c>
      <c r="K169" s="17">
        <f t="shared" si="19"/>
        <v>2.5</v>
      </c>
      <c r="L169" s="17">
        <f t="shared" si="19"/>
        <v>337.5</v>
      </c>
      <c r="M169" s="15"/>
      <c r="O169" s="2" t="s">
        <v>41</v>
      </c>
      <c r="P169" s="2" t="s">
        <v>438</v>
      </c>
      <c r="Q169" s="1">
        <v>1</v>
      </c>
    </row>
    <row r="170" spans="1:20" ht="22.9" customHeight="1" x14ac:dyDescent="0.3">
      <c r="A170" s="14" t="s">
        <v>367</v>
      </c>
      <c r="B170" s="14" t="s">
        <v>279</v>
      </c>
      <c r="C170" s="16" t="s">
        <v>9</v>
      </c>
      <c r="D170" s="17">
        <v>0.05</v>
      </c>
      <c r="E170" s="17">
        <f>단가대비표!O18</f>
        <v>30000</v>
      </c>
      <c r="F170" s="17">
        <f>ROUNDDOWN(D170*E170,1)</f>
        <v>1500</v>
      </c>
      <c r="G170" s="17">
        <v>0</v>
      </c>
      <c r="H170" s="17">
        <f>ROUNDDOWN(D170*G170,1)</f>
        <v>0</v>
      </c>
      <c r="I170" s="17">
        <v>0</v>
      </c>
      <c r="J170" s="17">
        <f>ROUNDDOWN(D170*I170,1)</f>
        <v>0</v>
      </c>
      <c r="K170" s="17">
        <f t="shared" si="19"/>
        <v>30000</v>
      </c>
      <c r="L170" s="17">
        <f t="shared" si="19"/>
        <v>1500</v>
      </c>
      <c r="M170" s="14" t="s">
        <v>278</v>
      </c>
      <c r="O170" s="2" t="s">
        <v>41</v>
      </c>
      <c r="P170" s="2" t="s">
        <v>438</v>
      </c>
      <c r="Q170" s="1">
        <v>1</v>
      </c>
    </row>
    <row r="171" spans="1:20" ht="22.9" customHeight="1" x14ac:dyDescent="0.3">
      <c r="A171" s="18" t="s">
        <v>439</v>
      </c>
      <c r="B171" s="19"/>
      <c r="C171" s="20"/>
      <c r="D171" s="21"/>
      <c r="E171" s="21"/>
      <c r="F171" s="21">
        <f>ROUNDDOWN(SUMIF(Q163:Q170,"1",F163:F170),0)</f>
        <v>12166</v>
      </c>
      <c r="G171" s="21"/>
      <c r="H171" s="21">
        <f>ROUNDDOWN(SUMIF(Q163:Q170,"1",H163:H170),0)</f>
        <v>41136</v>
      </c>
      <c r="I171" s="21"/>
      <c r="J171" s="21">
        <f>ROUNDDOWN(SUMIF(Q163:Q170,"1",J163:J170),0)</f>
        <v>13588</v>
      </c>
      <c r="K171" s="21"/>
      <c r="L171" s="21">
        <f>F171+H171+J171</f>
        <v>66890</v>
      </c>
      <c r="M171" s="19"/>
    </row>
    <row r="172" spans="1:20" ht="22.9" customHeight="1" x14ac:dyDescent="0.3">
      <c r="A172" s="15"/>
      <c r="B172" s="15"/>
      <c r="C172" s="22"/>
      <c r="D172" s="17"/>
      <c r="E172" s="17"/>
      <c r="F172" s="17"/>
      <c r="G172" s="17"/>
      <c r="H172" s="17"/>
      <c r="I172" s="17"/>
      <c r="J172" s="17"/>
      <c r="K172" s="17"/>
      <c r="L172" s="17"/>
      <c r="M172" s="15"/>
    </row>
    <row r="173" spans="1:20" ht="22.9" customHeight="1" x14ac:dyDescent="0.3">
      <c r="A173" s="76" t="s">
        <v>128</v>
      </c>
      <c r="B173" s="77"/>
      <c r="C173" s="77"/>
      <c r="D173" s="77"/>
      <c r="E173" s="77"/>
      <c r="F173" s="77"/>
      <c r="G173" s="77"/>
      <c r="H173" s="77"/>
      <c r="I173" s="77"/>
      <c r="J173" s="77"/>
      <c r="K173" s="77"/>
      <c r="L173" s="77"/>
      <c r="M173" s="13" t="s">
        <v>507</v>
      </c>
    </row>
    <row r="174" spans="1:20" ht="22.9" customHeight="1" x14ac:dyDescent="0.3">
      <c r="A174" s="14" t="s">
        <v>503</v>
      </c>
      <c r="B174" s="14" t="s">
        <v>495</v>
      </c>
      <c r="C174" s="16" t="s">
        <v>75</v>
      </c>
      <c r="D174" s="17">
        <v>1</v>
      </c>
      <c r="E174" s="17">
        <v>0</v>
      </c>
      <c r="F174" s="17">
        <f>ROUNDDOWN(D174*E174,1)</f>
        <v>0</v>
      </c>
      <c r="G174" s="17">
        <v>0</v>
      </c>
      <c r="H174" s="17">
        <f>ROUNDDOWN(D174*G174,1)</f>
        <v>0</v>
      </c>
      <c r="I174" s="17">
        <v>24420</v>
      </c>
      <c r="J174" s="17">
        <f>ROUNDDOWN(D174*I174,1)</f>
        <v>24420</v>
      </c>
      <c r="K174" s="17">
        <f>E174+G174+I174</f>
        <v>24420</v>
      </c>
      <c r="L174" s="17">
        <f>F174+H174+J174</f>
        <v>24420</v>
      </c>
      <c r="M174" s="15"/>
      <c r="P174" s="2" t="s">
        <v>438</v>
      </c>
      <c r="Q174" s="1">
        <v>1</v>
      </c>
    </row>
    <row r="175" spans="1:20" ht="22.9" customHeight="1" x14ac:dyDescent="0.3">
      <c r="A175" s="18" t="s">
        <v>439</v>
      </c>
      <c r="B175" s="19"/>
      <c r="C175" s="20"/>
      <c r="D175" s="21"/>
      <c r="E175" s="21"/>
      <c r="F175" s="21">
        <f>ROUNDDOWN(SUMIF(Q174:Q174,"1",F174:F174),0)</f>
        <v>0</v>
      </c>
      <c r="G175" s="21"/>
      <c r="H175" s="21">
        <f>ROUNDDOWN(SUMIF(Q174:Q174,"1",H174:H174),0)</f>
        <v>0</v>
      </c>
      <c r="I175" s="21"/>
      <c r="J175" s="21">
        <f>ROUNDDOWN(SUMIF(Q174:Q174,"1",J174:J174),0)</f>
        <v>24420</v>
      </c>
      <c r="K175" s="21"/>
      <c r="L175" s="21">
        <f>F175+H175+J175</f>
        <v>24420</v>
      </c>
      <c r="M175" s="19"/>
    </row>
    <row r="176" spans="1:20" ht="22.9" customHeight="1" x14ac:dyDescent="0.3">
      <c r="A176" s="15"/>
      <c r="B176" s="15"/>
      <c r="C176" s="22"/>
      <c r="D176" s="17"/>
      <c r="E176" s="17"/>
      <c r="F176" s="17"/>
      <c r="G176" s="17"/>
      <c r="H176" s="17"/>
      <c r="I176" s="17"/>
      <c r="J176" s="17"/>
      <c r="K176" s="17"/>
      <c r="L176" s="17"/>
      <c r="M176" s="15"/>
    </row>
    <row r="177" spans="1:17" ht="22.9" customHeight="1" x14ac:dyDescent="0.3">
      <c r="A177" s="76" t="s">
        <v>318</v>
      </c>
      <c r="B177" s="77"/>
      <c r="C177" s="77"/>
      <c r="D177" s="77"/>
      <c r="E177" s="77"/>
      <c r="F177" s="77"/>
      <c r="G177" s="77"/>
      <c r="H177" s="77"/>
      <c r="I177" s="77"/>
      <c r="J177" s="77"/>
      <c r="K177" s="77"/>
      <c r="L177" s="77"/>
      <c r="M177" s="13" t="s">
        <v>507</v>
      </c>
    </row>
    <row r="178" spans="1:17" ht="22.9" customHeight="1" x14ac:dyDescent="0.3">
      <c r="A178" s="14" t="s">
        <v>503</v>
      </c>
      <c r="B178" s="14" t="s">
        <v>495</v>
      </c>
      <c r="C178" s="16" t="s">
        <v>75</v>
      </c>
      <c r="D178" s="17">
        <v>1</v>
      </c>
      <c r="E178" s="17">
        <v>0</v>
      </c>
      <c r="F178" s="17">
        <f>ROUNDDOWN(D178*E178,1)</f>
        <v>0</v>
      </c>
      <c r="G178" s="17">
        <v>0</v>
      </c>
      <c r="H178" s="17">
        <f>ROUNDDOWN(D178*G178,1)</f>
        <v>0</v>
      </c>
      <c r="I178" s="17">
        <v>15130</v>
      </c>
      <c r="J178" s="17">
        <f>ROUNDDOWN(D178*I178,1)</f>
        <v>15130</v>
      </c>
      <c r="K178" s="17">
        <f>E178+G178+I178</f>
        <v>15130</v>
      </c>
      <c r="L178" s="17">
        <f>F178+H178+J178</f>
        <v>15130</v>
      </c>
      <c r="M178" s="15"/>
      <c r="P178" s="2" t="s">
        <v>438</v>
      </c>
      <c r="Q178" s="1">
        <v>1</v>
      </c>
    </row>
    <row r="179" spans="1:17" ht="22.9" customHeight="1" x14ac:dyDescent="0.3">
      <c r="A179" s="18" t="s">
        <v>439</v>
      </c>
      <c r="B179" s="19"/>
      <c r="C179" s="20"/>
      <c r="D179" s="21"/>
      <c r="E179" s="21"/>
      <c r="F179" s="21">
        <f>ROUNDDOWN(SUMIF(Q178:Q178,"1",F178:F178),0)</f>
        <v>0</v>
      </c>
      <c r="G179" s="21"/>
      <c r="H179" s="21">
        <f>ROUNDDOWN(SUMIF(Q178:Q178,"1",H178:H178),0)</f>
        <v>0</v>
      </c>
      <c r="I179" s="21"/>
      <c r="J179" s="21">
        <f>ROUNDDOWN(SUMIF(Q178:Q178,"1",J178:J178),0)</f>
        <v>15130</v>
      </c>
      <c r="K179" s="21"/>
      <c r="L179" s="21">
        <f>F179+H179+J179</f>
        <v>15130</v>
      </c>
      <c r="M179" s="19"/>
    </row>
    <row r="180" spans="1:17" ht="22.9" customHeight="1" x14ac:dyDescent="0.3">
      <c r="A180" s="15"/>
      <c r="B180" s="15"/>
      <c r="C180" s="22"/>
      <c r="D180" s="17"/>
      <c r="E180" s="17"/>
      <c r="F180" s="17"/>
      <c r="G180" s="17"/>
      <c r="H180" s="17"/>
      <c r="I180" s="17"/>
      <c r="J180" s="17"/>
      <c r="K180" s="17"/>
      <c r="L180" s="17"/>
      <c r="M180" s="15"/>
    </row>
    <row r="181" spans="1:17" ht="22.9" customHeight="1" x14ac:dyDescent="0.3">
      <c r="A181" s="76" t="s">
        <v>132</v>
      </c>
      <c r="B181" s="77"/>
      <c r="C181" s="77"/>
      <c r="D181" s="77"/>
      <c r="E181" s="77"/>
      <c r="F181" s="77"/>
      <c r="G181" s="77"/>
      <c r="H181" s="77"/>
      <c r="I181" s="77"/>
      <c r="J181" s="77"/>
      <c r="K181" s="77"/>
      <c r="L181" s="77"/>
      <c r="M181" s="13" t="s">
        <v>218</v>
      </c>
    </row>
    <row r="182" spans="1:17" ht="22.9" customHeight="1" x14ac:dyDescent="0.3">
      <c r="A182" s="14" t="s">
        <v>485</v>
      </c>
      <c r="B182" s="15"/>
      <c r="C182" s="16" t="s">
        <v>30</v>
      </c>
      <c r="D182" s="17">
        <v>0</v>
      </c>
      <c r="E182" s="17">
        <v>0</v>
      </c>
      <c r="F182" s="17">
        <f t="shared" ref="F182:F190" si="20">ROUNDDOWN(D182*E182,1)</f>
        <v>0</v>
      </c>
      <c r="G182" s="17">
        <v>0</v>
      </c>
      <c r="H182" s="17">
        <f t="shared" ref="H182:H190" si="21">ROUNDDOWN(D182*G182,1)</f>
        <v>0</v>
      </c>
      <c r="I182" s="17">
        <v>0</v>
      </c>
      <c r="J182" s="17">
        <f t="shared" ref="J182:J190" si="22">ROUNDDOWN(D182*I182,1)</f>
        <v>0</v>
      </c>
      <c r="K182" s="17">
        <f t="shared" ref="K182:K190" si="23">E182+G182+I182</f>
        <v>0</v>
      </c>
      <c r="L182" s="17">
        <f t="shared" ref="L182:L190" si="24">F182+H182+J182</f>
        <v>0</v>
      </c>
      <c r="M182" s="15"/>
    </row>
    <row r="183" spans="1:17" ht="22.9" customHeight="1" x14ac:dyDescent="0.3">
      <c r="A183" s="14" t="s">
        <v>395</v>
      </c>
      <c r="B183" s="14" t="s">
        <v>413</v>
      </c>
      <c r="C183" s="16" t="s">
        <v>46</v>
      </c>
      <c r="D183" s="17">
        <v>7.0000000000000007E-2</v>
      </c>
      <c r="E183" s="17">
        <v>0</v>
      </c>
      <c r="F183" s="17">
        <f t="shared" si="20"/>
        <v>0</v>
      </c>
      <c r="G183" s="17">
        <f>단가대비표!O28</f>
        <v>172068</v>
      </c>
      <c r="H183" s="17">
        <f t="shared" si="21"/>
        <v>12044.7</v>
      </c>
      <c r="I183" s="17">
        <v>0</v>
      </c>
      <c r="J183" s="17">
        <f t="shared" si="22"/>
        <v>0</v>
      </c>
      <c r="K183" s="17">
        <f t="shared" si="23"/>
        <v>172068</v>
      </c>
      <c r="L183" s="17">
        <f t="shared" si="24"/>
        <v>12044.7</v>
      </c>
      <c r="M183" s="15"/>
      <c r="O183" s="2" t="s">
        <v>52</v>
      </c>
      <c r="P183" s="2" t="s">
        <v>438</v>
      </c>
      <c r="Q183" s="1">
        <v>1</v>
      </c>
    </row>
    <row r="184" spans="1:17" ht="22.9" customHeight="1" x14ac:dyDescent="0.3">
      <c r="A184" s="14" t="s">
        <v>38</v>
      </c>
      <c r="B184" s="14" t="s">
        <v>413</v>
      </c>
      <c r="C184" s="16" t="s">
        <v>46</v>
      </c>
      <c r="D184" s="17">
        <v>1.0999999999999999E-2</v>
      </c>
      <c r="E184" s="17">
        <v>0</v>
      </c>
      <c r="F184" s="17">
        <f t="shared" si="20"/>
        <v>0</v>
      </c>
      <c r="G184" s="17">
        <f>단가대비표!O27</f>
        <v>253243</v>
      </c>
      <c r="H184" s="17">
        <f t="shared" si="21"/>
        <v>2785.6</v>
      </c>
      <c r="I184" s="17">
        <v>0</v>
      </c>
      <c r="J184" s="17">
        <f t="shared" si="22"/>
        <v>0</v>
      </c>
      <c r="K184" s="17">
        <f t="shared" si="23"/>
        <v>253243</v>
      </c>
      <c r="L184" s="17">
        <f t="shared" si="24"/>
        <v>2785.6</v>
      </c>
      <c r="M184" s="15"/>
      <c r="O184" s="2" t="s">
        <v>52</v>
      </c>
      <c r="P184" s="2" t="s">
        <v>438</v>
      </c>
      <c r="Q184" s="1">
        <v>1</v>
      </c>
    </row>
    <row r="185" spans="1:17" ht="22.9" customHeight="1" x14ac:dyDescent="0.3">
      <c r="A185" s="14" t="s">
        <v>496</v>
      </c>
      <c r="B185" s="15"/>
      <c r="C185" s="16" t="s">
        <v>30</v>
      </c>
      <c r="D185" s="17">
        <v>0</v>
      </c>
      <c r="E185" s="17">
        <v>0</v>
      </c>
      <c r="F185" s="17">
        <f t="shared" si="20"/>
        <v>0</v>
      </c>
      <c r="G185" s="17">
        <v>0</v>
      </c>
      <c r="H185" s="17">
        <f t="shared" si="21"/>
        <v>0</v>
      </c>
      <c r="I185" s="17">
        <v>0</v>
      </c>
      <c r="J185" s="17">
        <f t="shared" si="22"/>
        <v>0</v>
      </c>
      <c r="K185" s="17">
        <f t="shared" si="23"/>
        <v>0</v>
      </c>
      <c r="L185" s="17">
        <f t="shared" si="24"/>
        <v>0</v>
      </c>
      <c r="M185" s="15"/>
    </row>
    <row r="186" spans="1:17" ht="22.9" customHeight="1" x14ac:dyDescent="0.3">
      <c r="A186" s="14" t="s">
        <v>395</v>
      </c>
      <c r="B186" s="14" t="s">
        <v>413</v>
      </c>
      <c r="C186" s="16" t="s">
        <v>46</v>
      </c>
      <c r="D186" s="17">
        <v>4.3999999999999997E-2</v>
      </c>
      <c r="E186" s="17">
        <v>0</v>
      </c>
      <c r="F186" s="17">
        <f t="shared" si="20"/>
        <v>0</v>
      </c>
      <c r="G186" s="17">
        <f>단가대비표!O28</f>
        <v>172068</v>
      </c>
      <c r="H186" s="17">
        <f t="shared" si="21"/>
        <v>7570.9</v>
      </c>
      <c r="I186" s="17">
        <v>0</v>
      </c>
      <c r="J186" s="17">
        <f t="shared" si="22"/>
        <v>0</v>
      </c>
      <c r="K186" s="17">
        <f t="shared" si="23"/>
        <v>172068</v>
      </c>
      <c r="L186" s="17">
        <f t="shared" si="24"/>
        <v>7570.9</v>
      </c>
      <c r="M186" s="15"/>
      <c r="O186" s="2" t="s">
        <v>52</v>
      </c>
      <c r="P186" s="2" t="s">
        <v>438</v>
      </c>
      <c r="Q186" s="1">
        <v>1</v>
      </c>
    </row>
    <row r="187" spans="1:17" ht="22.9" customHeight="1" x14ac:dyDescent="0.3">
      <c r="A187" s="14" t="s">
        <v>51</v>
      </c>
      <c r="B187" s="15"/>
      <c r="C187" s="16" t="s">
        <v>34</v>
      </c>
      <c r="D187" s="17">
        <v>9.2999999999999999E-2</v>
      </c>
      <c r="E187" s="17">
        <f>중기경비목록!G13</f>
        <v>0</v>
      </c>
      <c r="F187" s="17">
        <f t="shared" si="20"/>
        <v>0</v>
      </c>
      <c r="G187" s="17">
        <f>중기경비목록!I13</f>
        <v>0</v>
      </c>
      <c r="H187" s="17">
        <f t="shared" si="21"/>
        <v>0</v>
      </c>
      <c r="I187" s="17">
        <f>중기경비목록!K13</f>
        <v>481</v>
      </c>
      <c r="J187" s="17">
        <f t="shared" si="22"/>
        <v>44.7</v>
      </c>
      <c r="K187" s="17">
        <f t="shared" si="23"/>
        <v>481</v>
      </c>
      <c r="L187" s="17">
        <f t="shared" si="24"/>
        <v>44.7</v>
      </c>
      <c r="M187" s="14" t="s">
        <v>478</v>
      </c>
      <c r="P187" s="2" t="s">
        <v>438</v>
      </c>
      <c r="Q187" s="1">
        <v>1</v>
      </c>
    </row>
    <row r="188" spans="1:17" ht="22.9" customHeight="1" x14ac:dyDescent="0.3">
      <c r="A188" s="14" t="s">
        <v>381</v>
      </c>
      <c r="B188" s="14" t="s">
        <v>285</v>
      </c>
      <c r="C188" s="16" t="s">
        <v>14</v>
      </c>
      <c r="D188" s="17">
        <v>6.5000000000000002E-2</v>
      </c>
      <c r="E188" s="17">
        <f>단가대비표!O7</f>
        <v>1676</v>
      </c>
      <c r="F188" s="17">
        <f t="shared" si="20"/>
        <v>108.9</v>
      </c>
      <c r="G188" s="17">
        <v>0</v>
      </c>
      <c r="H188" s="17">
        <f t="shared" si="21"/>
        <v>0</v>
      </c>
      <c r="I188" s="17">
        <v>0</v>
      </c>
      <c r="J188" s="17">
        <f t="shared" si="22"/>
        <v>0</v>
      </c>
      <c r="K188" s="17">
        <f t="shared" si="23"/>
        <v>1676</v>
      </c>
      <c r="L188" s="17">
        <f t="shared" si="24"/>
        <v>108.9</v>
      </c>
      <c r="M188" s="15"/>
      <c r="O188" s="2" t="s">
        <v>41</v>
      </c>
      <c r="P188" s="2" t="s">
        <v>438</v>
      </c>
      <c r="Q188" s="1">
        <v>1</v>
      </c>
    </row>
    <row r="189" spans="1:17" ht="22.9" customHeight="1" x14ac:dyDescent="0.3">
      <c r="A189" s="14" t="s">
        <v>369</v>
      </c>
      <c r="B189" s="14" t="s">
        <v>370</v>
      </c>
      <c r="C189" s="16" t="s">
        <v>14</v>
      </c>
      <c r="D189" s="17">
        <v>2.6000000000000002E-2</v>
      </c>
      <c r="E189" s="17">
        <f>단가대비표!O19</f>
        <v>3971</v>
      </c>
      <c r="F189" s="17">
        <f t="shared" si="20"/>
        <v>103.2</v>
      </c>
      <c r="G189" s="17">
        <v>0</v>
      </c>
      <c r="H189" s="17">
        <f t="shared" si="21"/>
        <v>0</v>
      </c>
      <c r="I189" s="17">
        <v>0</v>
      </c>
      <c r="J189" s="17">
        <f t="shared" si="22"/>
        <v>0</v>
      </c>
      <c r="K189" s="17">
        <f t="shared" si="23"/>
        <v>3971</v>
      </c>
      <c r="L189" s="17">
        <f t="shared" si="24"/>
        <v>103.2</v>
      </c>
      <c r="M189" s="15"/>
      <c r="O189" s="2" t="s">
        <v>41</v>
      </c>
      <c r="P189" s="2" t="s">
        <v>438</v>
      </c>
      <c r="Q189" s="1">
        <v>1</v>
      </c>
    </row>
    <row r="190" spans="1:17" ht="22.9" customHeight="1" x14ac:dyDescent="0.3">
      <c r="A190" s="14" t="s">
        <v>474</v>
      </c>
      <c r="B190" s="14" t="s">
        <v>598</v>
      </c>
      <c r="C190" s="16" t="s">
        <v>77</v>
      </c>
      <c r="D190" s="17">
        <v>0.5</v>
      </c>
      <c r="E190" s="17">
        <f>단가산출서목록!G9</f>
        <v>0</v>
      </c>
      <c r="F190" s="17">
        <f t="shared" si="20"/>
        <v>0</v>
      </c>
      <c r="G190" s="17">
        <f>단가산출서목록!I9</f>
        <v>1230</v>
      </c>
      <c r="H190" s="17">
        <f t="shared" si="21"/>
        <v>615</v>
      </c>
      <c r="I190" s="17">
        <f>단가산출서목록!K9</f>
        <v>0</v>
      </c>
      <c r="J190" s="17">
        <f t="shared" si="22"/>
        <v>0</v>
      </c>
      <c r="K190" s="17">
        <f t="shared" si="23"/>
        <v>1230</v>
      </c>
      <c r="L190" s="17">
        <f t="shared" si="24"/>
        <v>615</v>
      </c>
      <c r="M190" s="14" t="s">
        <v>472</v>
      </c>
      <c r="P190" s="2" t="s">
        <v>438</v>
      </c>
      <c r="Q190" s="1">
        <v>1</v>
      </c>
    </row>
    <row r="191" spans="1:17" ht="22.9" customHeight="1" x14ac:dyDescent="0.3">
      <c r="A191" s="18" t="s">
        <v>439</v>
      </c>
      <c r="B191" s="19"/>
      <c r="C191" s="20"/>
      <c r="D191" s="21"/>
      <c r="E191" s="21"/>
      <c r="F191" s="21">
        <f>ROUNDDOWN(SUMIF(Q182:Q190,"1",F182:F190),0)</f>
        <v>212</v>
      </c>
      <c r="G191" s="21"/>
      <c r="H191" s="21">
        <f>ROUNDDOWN(SUMIF(Q182:Q190,"1",H182:H190),0)</f>
        <v>23016</v>
      </c>
      <c r="I191" s="21"/>
      <c r="J191" s="21">
        <f>ROUNDDOWN(SUMIF(Q182:Q190,"1",J182:J190),0)</f>
        <v>44</v>
      </c>
      <c r="K191" s="21"/>
      <c r="L191" s="21">
        <f>F191+H191+J191</f>
        <v>23272</v>
      </c>
      <c r="M191" s="19"/>
    </row>
    <row r="192" spans="1:17" ht="22.9" customHeight="1" x14ac:dyDescent="0.3">
      <c r="A192" s="15"/>
      <c r="B192" s="15"/>
      <c r="C192" s="22"/>
      <c r="D192" s="17"/>
      <c r="E192" s="17"/>
      <c r="F192" s="17"/>
      <c r="G192" s="17"/>
      <c r="H192" s="17"/>
      <c r="I192" s="17"/>
      <c r="J192" s="17"/>
      <c r="K192" s="17"/>
      <c r="L192" s="17"/>
      <c r="M192" s="15"/>
    </row>
    <row r="193" spans="1:20" ht="22.9" customHeight="1" x14ac:dyDescent="0.3">
      <c r="A193" s="76" t="s">
        <v>201</v>
      </c>
      <c r="B193" s="77"/>
      <c r="C193" s="77"/>
      <c r="D193" s="77"/>
      <c r="E193" s="77"/>
      <c r="F193" s="77"/>
      <c r="G193" s="77"/>
      <c r="H193" s="77"/>
      <c r="I193" s="77"/>
      <c r="J193" s="77"/>
      <c r="K193" s="77"/>
      <c r="L193" s="77"/>
      <c r="M193" s="23"/>
    </row>
    <row r="194" spans="1:20" ht="22.9" customHeight="1" x14ac:dyDescent="0.3">
      <c r="A194" s="14" t="s">
        <v>395</v>
      </c>
      <c r="B194" s="14" t="s">
        <v>413</v>
      </c>
      <c r="C194" s="16" t="s">
        <v>46</v>
      </c>
      <c r="D194" s="17">
        <v>0.304761</v>
      </c>
      <c r="E194" s="17">
        <v>0</v>
      </c>
      <c r="F194" s="17">
        <f>ROUNDDOWN(D194*E194,1)</f>
        <v>0</v>
      </c>
      <c r="G194" s="17">
        <f>단가대비표!O28</f>
        <v>172068</v>
      </c>
      <c r="H194" s="17">
        <f>ROUNDDOWN(D194*G194,1)</f>
        <v>52439.6</v>
      </c>
      <c r="I194" s="17">
        <v>0</v>
      </c>
      <c r="J194" s="17">
        <f>ROUNDDOWN(D194*I194,1)</f>
        <v>0</v>
      </c>
      <c r="K194" s="17">
        <f>E194+G194+I194</f>
        <v>172068</v>
      </c>
      <c r="L194" s="17">
        <f>F194+H194+J194</f>
        <v>52439.6</v>
      </c>
      <c r="M194" s="15"/>
      <c r="O194" s="2" t="s">
        <v>52</v>
      </c>
      <c r="P194" s="2" t="s">
        <v>438</v>
      </c>
      <c r="Q194" s="1">
        <v>1</v>
      </c>
    </row>
    <row r="195" spans="1:20" ht="22.9" customHeight="1" x14ac:dyDescent="0.3">
      <c r="A195" s="18" t="s">
        <v>439</v>
      </c>
      <c r="B195" s="19"/>
      <c r="C195" s="20"/>
      <c r="D195" s="21"/>
      <c r="E195" s="21"/>
      <c r="F195" s="21">
        <f>ROUNDDOWN(SUMIF(Q194:Q194,"1",F194:F194),0)</f>
        <v>0</v>
      </c>
      <c r="G195" s="21"/>
      <c r="H195" s="21">
        <f>ROUNDDOWN(SUMIF(Q194:Q194,"1",H194:H194),0)</f>
        <v>52439</v>
      </c>
      <c r="I195" s="21"/>
      <c r="J195" s="21">
        <f>ROUNDDOWN(SUMIF(Q194:Q194,"1",J194:J194),0)</f>
        <v>0</v>
      </c>
      <c r="K195" s="21"/>
      <c r="L195" s="21">
        <f>F195+H195+J195</f>
        <v>52439</v>
      </c>
      <c r="M195" s="19"/>
    </row>
    <row r="196" spans="1:20" ht="22.9" customHeight="1" x14ac:dyDescent="0.3">
      <c r="A196" s="15"/>
      <c r="B196" s="15"/>
      <c r="C196" s="22"/>
      <c r="D196" s="17"/>
      <c r="E196" s="17"/>
      <c r="F196" s="17"/>
      <c r="G196" s="17"/>
      <c r="H196" s="17"/>
      <c r="I196" s="17"/>
      <c r="J196" s="17"/>
      <c r="K196" s="17"/>
      <c r="L196" s="17"/>
      <c r="M196" s="15"/>
    </row>
    <row r="197" spans="1:20" ht="22.9" customHeight="1" x14ac:dyDescent="0.3">
      <c r="A197" s="76" t="s">
        <v>148</v>
      </c>
      <c r="B197" s="77"/>
      <c r="C197" s="77"/>
      <c r="D197" s="77"/>
      <c r="E197" s="77"/>
      <c r="F197" s="77"/>
      <c r="G197" s="77"/>
      <c r="H197" s="77"/>
      <c r="I197" s="77"/>
      <c r="J197" s="77"/>
      <c r="K197" s="77"/>
      <c r="L197" s="77"/>
      <c r="M197" s="13" t="s">
        <v>241</v>
      </c>
    </row>
    <row r="198" spans="1:20" ht="22.9" customHeight="1" x14ac:dyDescent="0.3">
      <c r="A198" s="14" t="s">
        <v>27</v>
      </c>
      <c r="B198" s="14" t="s">
        <v>413</v>
      </c>
      <c r="C198" s="16" t="s">
        <v>46</v>
      </c>
      <c r="D198" s="17">
        <v>5.5000000000000007E-2</v>
      </c>
      <c r="E198" s="17">
        <v>0</v>
      </c>
      <c r="F198" s="17">
        <f>ROUNDDOWN(D198*E198,1)</f>
        <v>0</v>
      </c>
      <c r="G198" s="17">
        <f>단가대비표!O31</f>
        <v>218908</v>
      </c>
      <c r="H198" s="17">
        <f>ROUNDDOWN(D198*G198,1)</f>
        <v>12039.9</v>
      </c>
      <c r="I198" s="17">
        <v>0</v>
      </c>
      <c r="J198" s="17">
        <f>ROUNDDOWN(D198*I198,1)</f>
        <v>0</v>
      </c>
      <c r="K198" s="17">
        <f t="shared" ref="K198:L200" si="25">E198+G198+I198</f>
        <v>218908</v>
      </c>
      <c r="L198" s="17">
        <f t="shared" si="25"/>
        <v>12039.9</v>
      </c>
      <c r="M198" s="15"/>
      <c r="O198" s="2" t="s">
        <v>52</v>
      </c>
      <c r="P198" s="2" t="s">
        <v>438</v>
      </c>
      <c r="Q198" s="1">
        <v>1</v>
      </c>
    </row>
    <row r="199" spans="1:20" ht="22.9" customHeight="1" x14ac:dyDescent="0.3">
      <c r="A199" s="14" t="s">
        <v>395</v>
      </c>
      <c r="B199" s="14" t="s">
        <v>413</v>
      </c>
      <c r="C199" s="16" t="s">
        <v>46</v>
      </c>
      <c r="D199" s="17">
        <v>1.2999999999999999E-2</v>
      </c>
      <c r="E199" s="17">
        <v>0</v>
      </c>
      <c r="F199" s="17">
        <f>ROUNDDOWN(D199*E199,1)</f>
        <v>0</v>
      </c>
      <c r="G199" s="17">
        <f>단가대비표!O28</f>
        <v>172068</v>
      </c>
      <c r="H199" s="17">
        <f>ROUNDDOWN(D199*G199,1)</f>
        <v>2236.8000000000002</v>
      </c>
      <c r="I199" s="17">
        <v>0</v>
      </c>
      <c r="J199" s="17">
        <f>ROUNDDOWN(D199*I199,1)</f>
        <v>0</v>
      </c>
      <c r="K199" s="17">
        <f t="shared" si="25"/>
        <v>172068</v>
      </c>
      <c r="L199" s="17">
        <f t="shared" si="25"/>
        <v>2236.8000000000002</v>
      </c>
      <c r="M199" s="15"/>
      <c r="O199" s="2" t="s">
        <v>52</v>
      </c>
      <c r="P199" s="2" t="s">
        <v>438</v>
      </c>
      <c r="Q199" s="1">
        <v>1</v>
      </c>
    </row>
    <row r="200" spans="1:20" ht="22.9" customHeight="1" x14ac:dyDescent="0.3">
      <c r="A200" s="14" t="s">
        <v>166</v>
      </c>
      <c r="B200" s="15" t="str">
        <f>"인력품의 "&amp;N200*100&amp;"%"</f>
        <v>인력품의 2%</v>
      </c>
      <c r="C200" s="16" t="s">
        <v>31</v>
      </c>
      <c r="D200" s="17">
        <v>1</v>
      </c>
      <c r="E200" s="17">
        <f>SUMIF(O198:O200,"02",H198:H200)</f>
        <v>14276.7</v>
      </c>
      <c r="F200" s="17">
        <f>ROUNDDOWN((E200)*N200,1)</f>
        <v>285.5</v>
      </c>
      <c r="G200" s="17">
        <v>0</v>
      </c>
      <c r="H200" s="17">
        <v>0</v>
      </c>
      <c r="I200" s="17">
        <v>0</v>
      </c>
      <c r="J200" s="17">
        <v>0</v>
      </c>
      <c r="K200" s="17">
        <f t="shared" si="25"/>
        <v>14276.7</v>
      </c>
      <c r="L200" s="17">
        <f t="shared" si="25"/>
        <v>285.5</v>
      </c>
      <c r="M200" s="15"/>
      <c r="N200" s="1">
        <v>0.02</v>
      </c>
      <c r="P200" s="2" t="s">
        <v>438</v>
      </c>
      <c r="Q200" s="1">
        <v>1</v>
      </c>
      <c r="R200" s="2" t="s">
        <v>78</v>
      </c>
      <c r="S200" s="2" t="s">
        <v>293</v>
      </c>
      <c r="T200" s="2" t="s">
        <v>33</v>
      </c>
    </row>
    <row r="201" spans="1:20" ht="22.9" customHeight="1" x14ac:dyDescent="0.3">
      <c r="A201" s="18" t="s">
        <v>439</v>
      </c>
      <c r="B201" s="19"/>
      <c r="C201" s="20"/>
      <c r="D201" s="21"/>
      <c r="E201" s="21"/>
      <c r="F201" s="21">
        <f>ROUNDDOWN(SUMIF(Q198:Q200,"1",F198:F200),0)</f>
        <v>285</v>
      </c>
      <c r="G201" s="21"/>
      <c r="H201" s="21">
        <f>ROUNDDOWN(SUMIF(Q198:Q200,"1",H198:H200),0)</f>
        <v>14276</v>
      </c>
      <c r="I201" s="21"/>
      <c r="J201" s="21">
        <f>ROUNDDOWN(SUMIF(Q198:Q200,"1",J198:J200),0)</f>
        <v>0</v>
      </c>
      <c r="K201" s="21"/>
      <c r="L201" s="21">
        <f>F201+H201+J201</f>
        <v>14561</v>
      </c>
      <c r="M201" s="19"/>
    </row>
    <row r="202" spans="1:20" ht="22.9" customHeight="1" x14ac:dyDescent="0.3">
      <c r="A202" s="15"/>
      <c r="B202" s="15"/>
      <c r="C202" s="22"/>
      <c r="D202" s="17"/>
      <c r="E202" s="17"/>
      <c r="F202" s="17"/>
      <c r="G202" s="17"/>
      <c r="H202" s="17"/>
      <c r="I202" s="17"/>
      <c r="J202" s="17"/>
      <c r="K202" s="17"/>
      <c r="L202" s="17"/>
      <c r="M202" s="15"/>
    </row>
    <row r="203" spans="1:20" ht="22.9" customHeight="1" x14ac:dyDescent="0.3">
      <c r="A203" s="76" t="s">
        <v>357</v>
      </c>
      <c r="B203" s="77"/>
      <c r="C203" s="77"/>
      <c r="D203" s="77"/>
      <c r="E203" s="77"/>
      <c r="F203" s="77"/>
      <c r="G203" s="77"/>
      <c r="H203" s="77"/>
      <c r="I203" s="77"/>
      <c r="J203" s="77"/>
      <c r="K203" s="77"/>
      <c r="L203" s="77"/>
      <c r="M203" s="13" t="s">
        <v>268</v>
      </c>
    </row>
    <row r="204" spans="1:20" ht="22.9" customHeight="1" x14ac:dyDescent="0.3">
      <c r="A204" s="14" t="s">
        <v>416</v>
      </c>
      <c r="B204" s="14" t="s">
        <v>413</v>
      </c>
      <c r="C204" s="16" t="s">
        <v>46</v>
      </c>
      <c r="D204" s="17">
        <v>6.0000000000000001E-3</v>
      </c>
      <c r="E204" s="17">
        <v>0</v>
      </c>
      <c r="F204" s="17">
        <f>ROUNDDOWN(D204*E204,1)</f>
        <v>0</v>
      </c>
      <c r="G204" s="17">
        <f>단가대비표!O33</f>
        <v>233250</v>
      </c>
      <c r="H204" s="17">
        <f>ROUNDDOWN(D204*G204,1)</f>
        <v>1399.5</v>
      </c>
      <c r="I204" s="17">
        <v>0</v>
      </c>
      <c r="J204" s="17">
        <f>ROUNDDOWN(D204*I204,1)</f>
        <v>0</v>
      </c>
      <c r="K204" s="17">
        <f>E204+G204+I204</f>
        <v>233250</v>
      </c>
      <c r="L204" s="17">
        <f>F204+H204+J204</f>
        <v>1399.5</v>
      </c>
      <c r="M204" s="15"/>
      <c r="O204" s="2" t="s">
        <v>52</v>
      </c>
      <c r="P204" s="2" t="s">
        <v>438</v>
      </c>
      <c r="Q204" s="1">
        <v>1</v>
      </c>
    </row>
    <row r="205" spans="1:20" ht="22.9" customHeight="1" x14ac:dyDescent="0.3">
      <c r="A205" s="14" t="s">
        <v>395</v>
      </c>
      <c r="B205" s="14" t="s">
        <v>413</v>
      </c>
      <c r="C205" s="16" t="s">
        <v>46</v>
      </c>
      <c r="D205" s="17">
        <v>0.02</v>
      </c>
      <c r="E205" s="17">
        <v>0</v>
      </c>
      <c r="F205" s="17">
        <f>ROUNDDOWN(D205*E205,1)</f>
        <v>0</v>
      </c>
      <c r="G205" s="17">
        <f>단가대비표!O28</f>
        <v>172068</v>
      </c>
      <c r="H205" s="17">
        <f>ROUNDDOWN(D205*G205,1)</f>
        <v>3441.3</v>
      </c>
      <c r="I205" s="17">
        <v>0</v>
      </c>
      <c r="J205" s="17">
        <f>ROUNDDOWN(D205*I205,1)</f>
        <v>0</v>
      </c>
      <c r="K205" s="17">
        <f>E205+G205+I205</f>
        <v>172068</v>
      </c>
      <c r="L205" s="17">
        <f>F205+H205+J205</f>
        <v>3441.3</v>
      </c>
      <c r="M205" s="15"/>
      <c r="O205" s="2" t="s">
        <v>52</v>
      </c>
      <c r="P205" s="2" t="s">
        <v>438</v>
      </c>
      <c r="Q205" s="1">
        <v>1</v>
      </c>
    </row>
    <row r="206" spans="1:20" ht="22.9" customHeight="1" x14ac:dyDescent="0.3">
      <c r="A206" s="18" t="s">
        <v>439</v>
      </c>
      <c r="B206" s="19"/>
      <c r="C206" s="20"/>
      <c r="D206" s="21"/>
      <c r="E206" s="21"/>
      <c r="F206" s="21">
        <f>ROUNDDOWN(SUMIF(Q204:Q205,"1",F204:F205),0)</f>
        <v>0</v>
      </c>
      <c r="G206" s="21"/>
      <c r="H206" s="21">
        <f>ROUNDDOWN(SUMIF(Q204:Q205,"1",H204:H205),0)</f>
        <v>4840</v>
      </c>
      <c r="I206" s="21"/>
      <c r="J206" s="21">
        <f>ROUNDDOWN(SUMIF(Q204:Q205,"1",J204:J205),0)</f>
        <v>0</v>
      </c>
      <c r="K206" s="21"/>
      <c r="L206" s="21">
        <f>F206+H206+J206</f>
        <v>4840</v>
      </c>
      <c r="M206" s="19"/>
    </row>
    <row r="207" spans="1:20" ht="22.9" customHeight="1" x14ac:dyDescent="0.3">
      <c r="A207" s="15"/>
      <c r="B207" s="15"/>
      <c r="C207" s="22"/>
      <c r="D207" s="17"/>
      <c r="E207" s="17"/>
      <c r="F207" s="17"/>
      <c r="G207" s="17"/>
      <c r="H207" s="17"/>
      <c r="I207" s="17"/>
      <c r="J207" s="17"/>
      <c r="K207" s="17"/>
      <c r="L207" s="17"/>
      <c r="M207" s="15"/>
    </row>
    <row r="208" spans="1:20" ht="22.9" customHeight="1" x14ac:dyDescent="0.3">
      <c r="A208" s="76" t="s">
        <v>314</v>
      </c>
      <c r="B208" s="77"/>
      <c r="C208" s="77"/>
      <c r="D208" s="77"/>
      <c r="E208" s="77"/>
      <c r="F208" s="77"/>
      <c r="G208" s="77"/>
      <c r="H208" s="77"/>
      <c r="I208" s="77"/>
      <c r="J208" s="77"/>
      <c r="K208" s="77"/>
      <c r="L208" s="77"/>
      <c r="M208" s="13" t="s">
        <v>482</v>
      </c>
    </row>
    <row r="209" spans="1:19" ht="22.9" customHeight="1" x14ac:dyDescent="0.3">
      <c r="A209" s="14" t="s">
        <v>407</v>
      </c>
      <c r="B209" s="14" t="s">
        <v>413</v>
      </c>
      <c r="C209" s="16" t="s">
        <v>46</v>
      </c>
      <c r="D209" s="17">
        <v>7.7000000000000002E-3</v>
      </c>
      <c r="E209" s="17">
        <v>0</v>
      </c>
      <c r="F209" s="17">
        <f>ROUNDDOWN(D209*E209,1)</f>
        <v>0</v>
      </c>
      <c r="G209" s="17">
        <f>단가대비표!O37</f>
        <v>226122</v>
      </c>
      <c r="H209" s="17">
        <f>ROUNDDOWN(D209*G209,1)</f>
        <v>1741.1</v>
      </c>
      <c r="I209" s="17">
        <v>0</v>
      </c>
      <c r="J209" s="17">
        <f>ROUNDDOWN(D209*I209,1)</f>
        <v>0</v>
      </c>
      <c r="K209" s="17">
        <f t="shared" ref="K209:L215" si="26">E209+G209+I209</f>
        <v>226122</v>
      </c>
      <c r="L209" s="17">
        <f t="shared" si="26"/>
        <v>1741.1</v>
      </c>
      <c r="M209" s="15"/>
      <c r="O209" s="2" t="s">
        <v>52</v>
      </c>
      <c r="P209" s="2" t="s">
        <v>438</v>
      </c>
      <c r="Q209" s="1">
        <v>1</v>
      </c>
    </row>
    <row r="210" spans="1:19" ht="22.9" customHeight="1" x14ac:dyDescent="0.3">
      <c r="A210" s="14" t="s">
        <v>395</v>
      </c>
      <c r="B210" s="14" t="s">
        <v>413</v>
      </c>
      <c r="C210" s="16" t="s">
        <v>46</v>
      </c>
      <c r="D210" s="17">
        <v>7.7000000000000002E-3</v>
      </c>
      <c r="E210" s="17">
        <v>0</v>
      </c>
      <c r="F210" s="17">
        <f>ROUNDDOWN(D210*E210,1)</f>
        <v>0</v>
      </c>
      <c r="G210" s="17">
        <f>단가대비표!O28</f>
        <v>172068</v>
      </c>
      <c r="H210" s="17">
        <f>ROUNDDOWN(D210*G210,1)</f>
        <v>1324.9</v>
      </c>
      <c r="I210" s="17">
        <v>0</v>
      </c>
      <c r="J210" s="17">
        <f>ROUNDDOWN(D210*I210,1)</f>
        <v>0</v>
      </c>
      <c r="K210" s="17">
        <f t="shared" si="26"/>
        <v>172068</v>
      </c>
      <c r="L210" s="17">
        <f t="shared" si="26"/>
        <v>1324.9</v>
      </c>
      <c r="M210" s="15"/>
      <c r="O210" s="2" t="s">
        <v>52</v>
      </c>
      <c r="P210" s="2" t="s">
        <v>438</v>
      </c>
      <c r="Q210" s="1">
        <v>1</v>
      </c>
    </row>
    <row r="211" spans="1:19" ht="22.9" customHeight="1" x14ac:dyDescent="0.3">
      <c r="A211" s="14" t="s">
        <v>193</v>
      </c>
      <c r="B211" s="14" t="s">
        <v>440</v>
      </c>
      <c r="C211" s="16" t="s">
        <v>34</v>
      </c>
      <c r="D211" s="17">
        <v>6.1499999999999999E-2</v>
      </c>
      <c r="E211" s="17">
        <f>중기경비목록!G6</f>
        <v>10024</v>
      </c>
      <c r="F211" s="17">
        <f>ROUNDDOWN(D211*E211,1)</f>
        <v>616.4</v>
      </c>
      <c r="G211" s="17">
        <f>중기경비목록!I6</f>
        <v>59020</v>
      </c>
      <c r="H211" s="17">
        <f>ROUNDDOWN(D211*G211,1)</f>
        <v>3629.7</v>
      </c>
      <c r="I211" s="17">
        <f>중기경비목록!K6</f>
        <v>13873</v>
      </c>
      <c r="J211" s="17">
        <f>ROUNDDOWN(D211*I211,1)</f>
        <v>853.1</v>
      </c>
      <c r="K211" s="17">
        <f t="shared" si="26"/>
        <v>82917</v>
      </c>
      <c r="L211" s="17">
        <f t="shared" si="26"/>
        <v>5099.2</v>
      </c>
      <c r="M211" s="14" t="s">
        <v>437</v>
      </c>
      <c r="O211" s="2" t="s">
        <v>62</v>
      </c>
      <c r="P211" s="2" t="s">
        <v>438</v>
      </c>
      <c r="Q211" s="1">
        <v>1</v>
      </c>
    </row>
    <row r="212" spans="1:19" ht="22.9" customHeight="1" x14ac:dyDescent="0.3">
      <c r="A212" s="14" t="s">
        <v>211</v>
      </c>
      <c r="B212" s="14" t="s">
        <v>420</v>
      </c>
      <c r="C212" s="16" t="s">
        <v>34</v>
      </c>
      <c r="D212" s="17">
        <v>6.1499999999999999E-2</v>
      </c>
      <c r="E212" s="17">
        <f>중기경비목록!G9</f>
        <v>4119</v>
      </c>
      <c r="F212" s="17">
        <f>ROUNDDOWN(D212*E212,1)</f>
        <v>253.3</v>
      </c>
      <c r="G212" s="17">
        <f>중기경비목록!I9</f>
        <v>36248</v>
      </c>
      <c r="H212" s="17">
        <f>ROUNDDOWN(D212*G212,1)</f>
        <v>2229.1999999999998</v>
      </c>
      <c r="I212" s="17">
        <f>중기경비목록!K9</f>
        <v>1967</v>
      </c>
      <c r="J212" s="17">
        <f>ROUNDDOWN(D212*I212,1)</f>
        <v>120.9</v>
      </c>
      <c r="K212" s="17">
        <f t="shared" si="26"/>
        <v>42334</v>
      </c>
      <c r="L212" s="17">
        <f t="shared" si="26"/>
        <v>2603.4</v>
      </c>
      <c r="M212" s="15" t="s">
        <v>498</v>
      </c>
      <c r="O212" s="2" t="s">
        <v>41</v>
      </c>
      <c r="P212" s="2" t="s">
        <v>498</v>
      </c>
    </row>
    <row r="213" spans="1:19" ht="22.9" customHeight="1" x14ac:dyDescent="0.3">
      <c r="A213" s="14" t="s">
        <v>483</v>
      </c>
      <c r="B213" s="15" t="str">
        <f>"경비의 "&amp;N213*100&amp;"%"</f>
        <v>경비의 100%</v>
      </c>
      <c r="C213" s="16" t="s">
        <v>31</v>
      </c>
      <c r="D213" s="17">
        <v>1</v>
      </c>
      <c r="E213" s="17">
        <v>0</v>
      </c>
      <c r="F213" s="17">
        <v>0</v>
      </c>
      <c r="G213" s="17">
        <v>0</v>
      </c>
      <c r="H213" s="17">
        <v>0</v>
      </c>
      <c r="I213" s="17">
        <f>SUMIF(O209:O215,"01",J209:J215)</f>
        <v>120.9</v>
      </c>
      <c r="J213" s="17">
        <f>ROUNDDOWN((I213)*N213,1)</f>
        <v>120.9</v>
      </c>
      <c r="K213" s="17">
        <f t="shared" si="26"/>
        <v>120.9</v>
      </c>
      <c r="L213" s="17">
        <f t="shared" si="26"/>
        <v>120.9</v>
      </c>
      <c r="M213" s="15"/>
      <c r="N213" s="1">
        <v>1</v>
      </c>
      <c r="P213" s="2" t="s">
        <v>438</v>
      </c>
      <c r="Q213" s="1">
        <v>1</v>
      </c>
      <c r="R213" s="2" t="s">
        <v>68</v>
      </c>
      <c r="S213" s="2" t="s">
        <v>192</v>
      </c>
    </row>
    <row r="214" spans="1:19" ht="22.9" customHeight="1" x14ac:dyDescent="0.3">
      <c r="A214" s="14" t="s">
        <v>483</v>
      </c>
      <c r="B214" s="15" t="str">
        <f>"재료비의 "&amp;N214*100&amp;"%"</f>
        <v>재료비의 100%</v>
      </c>
      <c r="C214" s="16" t="s">
        <v>31</v>
      </c>
      <c r="D214" s="17">
        <v>1</v>
      </c>
      <c r="E214" s="17">
        <f>SUMIF(O209:O215,"01",F209:F215)</f>
        <v>253.3</v>
      </c>
      <c r="F214" s="17">
        <f>ROUNDDOWN((E214)*N214,1)</f>
        <v>253.3</v>
      </c>
      <c r="G214" s="17">
        <v>0</v>
      </c>
      <c r="H214" s="17">
        <v>0</v>
      </c>
      <c r="I214" s="17">
        <v>0</v>
      </c>
      <c r="J214" s="17">
        <v>0</v>
      </c>
      <c r="K214" s="17">
        <f t="shared" si="26"/>
        <v>253.3</v>
      </c>
      <c r="L214" s="17">
        <f t="shared" si="26"/>
        <v>253.3</v>
      </c>
      <c r="M214" s="15"/>
      <c r="N214" s="1">
        <v>1</v>
      </c>
      <c r="P214" s="2" t="s">
        <v>438</v>
      </c>
      <c r="Q214" s="1">
        <v>1</v>
      </c>
      <c r="R214" s="2" t="s">
        <v>32</v>
      </c>
      <c r="S214" s="2" t="s">
        <v>192</v>
      </c>
    </row>
    <row r="215" spans="1:19" ht="22.9" customHeight="1" x14ac:dyDescent="0.3">
      <c r="A215" s="14" t="s">
        <v>198</v>
      </c>
      <c r="B215" s="14" t="s">
        <v>418</v>
      </c>
      <c r="C215" s="16" t="s">
        <v>34</v>
      </c>
      <c r="D215" s="17">
        <v>3.0800000000000001E-2</v>
      </c>
      <c r="E215" s="17">
        <f>중기경비목록!G8</f>
        <v>20033</v>
      </c>
      <c r="F215" s="17">
        <f>ROUNDDOWN(D215*E215,1)</f>
        <v>617</v>
      </c>
      <c r="G215" s="17">
        <f>중기경비목록!I8</f>
        <v>49778</v>
      </c>
      <c r="H215" s="17">
        <f>ROUNDDOWN(D215*G215,1)</f>
        <v>1533.1</v>
      </c>
      <c r="I215" s="17">
        <f>중기경비목록!K8</f>
        <v>9986</v>
      </c>
      <c r="J215" s="17">
        <f>ROUNDDOWN(D215*I215,1)</f>
        <v>307.5</v>
      </c>
      <c r="K215" s="17">
        <f t="shared" si="26"/>
        <v>79797</v>
      </c>
      <c r="L215" s="17">
        <f t="shared" si="26"/>
        <v>2457.6</v>
      </c>
      <c r="M215" s="14" t="s">
        <v>449</v>
      </c>
      <c r="O215" s="2" t="s">
        <v>62</v>
      </c>
      <c r="P215" s="2" t="s">
        <v>438</v>
      </c>
      <c r="Q215" s="1">
        <v>1</v>
      </c>
    </row>
    <row r="216" spans="1:19" ht="22.9" customHeight="1" x14ac:dyDescent="0.3">
      <c r="A216" s="18" t="s">
        <v>439</v>
      </c>
      <c r="B216" s="19"/>
      <c r="C216" s="20"/>
      <c r="D216" s="21"/>
      <c r="E216" s="21"/>
      <c r="F216" s="21">
        <f>ROUNDDOWN(SUMIF(Q209:Q215,"1",F209:F215),0)</f>
        <v>1486</v>
      </c>
      <c r="G216" s="21"/>
      <c r="H216" s="21">
        <f>ROUNDDOWN(SUMIF(Q209:Q215,"1",H209:H215),0)</f>
        <v>8228</v>
      </c>
      <c r="I216" s="21"/>
      <c r="J216" s="21">
        <f>ROUNDDOWN(SUMIF(Q209:Q215,"1",J209:J215),0)</f>
        <v>1281</v>
      </c>
      <c r="K216" s="21"/>
      <c r="L216" s="21">
        <f>F216+H216+J216</f>
        <v>10995</v>
      </c>
      <c r="M216" s="19"/>
    </row>
    <row r="217" spans="1:19" ht="22.9" customHeight="1" x14ac:dyDescent="0.3">
      <c r="A217" s="15"/>
      <c r="B217" s="15"/>
      <c r="C217" s="22"/>
      <c r="D217" s="17"/>
      <c r="E217" s="17"/>
      <c r="F217" s="17"/>
      <c r="G217" s="17"/>
      <c r="H217" s="17"/>
      <c r="I217" s="17"/>
      <c r="J217" s="17"/>
      <c r="K217" s="17"/>
      <c r="L217" s="17"/>
      <c r="M217" s="15"/>
    </row>
    <row r="218" spans="1:19" ht="22.9" customHeight="1" x14ac:dyDescent="0.3">
      <c r="A218" s="76" t="s">
        <v>130</v>
      </c>
      <c r="B218" s="77"/>
      <c r="C218" s="77"/>
      <c r="D218" s="77"/>
      <c r="E218" s="77"/>
      <c r="F218" s="77"/>
      <c r="G218" s="77"/>
      <c r="H218" s="77"/>
      <c r="I218" s="77"/>
      <c r="J218" s="77"/>
      <c r="K218" s="77"/>
      <c r="L218" s="77"/>
      <c r="M218" s="13" t="s">
        <v>497</v>
      </c>
    </row>
    <row r="219" spans="1:19" ht="22.9" customHeight="1" x14ac:dyDescent="0.3">
      <c r="A219" s="14" t="s">
        <v>295</v>
      </c>
      <c r="B219" s="15"/>
      <c r="C219" s="16" t="s">
        <v>30</v>
      </c>
      <c r="D219" s="17">
        <v>90</v>
      </c>
      <c r="E219" s="17">
        <v>0</v>
      </c>
      <c r="F219" s="17">
        <f>ROUNDDOWN(D219*E219,1)</f>
        <v>0</v>
      </c>
      <c r="G219" s="17">
        <v>0</v>
      </c>
      <c r="H219" s="17">
        <f>ROUNDDOWN(D219*G219,1)</f>
        <v>0</v>
      </c>
      <c r="I219" s="17">
        <v>0</v>
      </c>
      <c r="J219" s="17">
        <f>ROUNDDOWN(D219*I219,1)</f>
        <v>0</v>
      </c>
      <c r="K219" s="17">
        <f t="shared" ref="K219:L223" si="27">E219+G219+I219</f>
        <v>0</v>
      </c>
      <c r="L219" s="17">
        <f t="shared" si="27"/>
        <v>0</v>
      </c>
      <c r="M219" s="15"/>
      <c r="P219" s="2" t="s">
        <v>438</v>
      </c>
      <c r="Q219" s="1">
        <v>1</v>
      </c>
    </row>
    <row r="220" spans="1:19" ht="22.9" customHeight="1" x14ac:dyDescent="0.3">
      <c r="A220" s="14" t="s">
        <v>407</v>
      </c>
      <c r="B220" s="14" t="s">
        <v>413</v>
      </c>
      <c r="C220" s="16" t="s">
        <v>46</v>
      </c>
      <c r="D220" s="17">
        <v>1.1110999999999999E-2</v>
      </c>
      <c r="E220" s="17">
        <v>0</v>
      </c>
      <c r="F220" s="17">
        <f>ROUNDDOWN(D220*E220,1)</f>
        <v>0</v>
      </c>
      <c r="G220" s="17">
        <f>단가대비표!O37</f>
        <v>226122</v>
      </c>
      <c r="H220" s="17">
        <f>ROUNDDOWN(D220*G220,1)</f>
        <v>2512.4</v>
      </c>
      <c r="I220" s="17">
        <v>0</v>
      </c>
      <c r="J220" s="17">
        <f>ROUNDDOWN(D220*I220,1)</f>
        <v>0</v>
      </c>
      <c r="K220" s="17">
        <f t="shared" si="27"/>
        <v>226122</v>
      </c>
      <c r="L220" s="17">
        <f t="shared" si="27"/>
        <v>2512.4</v>
      </c>
      <c r="M220" s="15"/>
      <c r="O220" s="2" t="s">
        <v>52</v>
      </c>
      <c r="P220" s="2" t="s">
        <v>438</v>
      </c>
      <c r="Q220" s="1">
        <v>1</v>
      </c>
    </row>
    <row r="221" spans="1:19" ht="22.9" customHeight="1" x14ac:dyDescent="0.3">
      <c r="A221" s="14" t="s">
        <v>395</v>
      </c>
      <c r="B221" s="14" t="s">
        <v>413</v>
      </c>
      <c r="C221" s="16" t="s">
        <v>46</v>
      </c>
      <c r="D221" s="17">
        <v>1.1110999999999999E-2</v>
      </c>
      <c r="E221" s="17">
        <v>0</v>
      </c>
      <c r="F221" s="17">
        <f>ROUNDDOWN(D221*E221,1)</f>
        <v>0</v>
      </c>
      <c r="G221" s="17">
        <f>단가대비표!O28</f>
        <v>172068</v>
      </c>
      <c r="H221" s="17">
        <f>ROUNDDOWN(D221*G221,1)</f>
        <v>1911.8</v>
      </c>
      <c r="I221" s="17">
        <v>0</v>
      </c>
      <c r="J221" s="17">
        <f>ROUNDDOWN(D221*I221,1)</f>
        <v>0</v>
      </c>
      <c r="K221" s="17">
        <f t="shared" si="27"/>
        <v>172068</v>
      </c>
      <c r="L221" s="17">
        <f t="shared" si="27"/>
        <v>1911.8</v>
      </c>
      <c r="M221" s="15"/>
      <c r="O221" s="2" t="s">
        <v>52</v>
      </c>
      <c r="P221" s="2" t="s">
        <v>438</v>
      </c>
      <c r="Q221" s="1">
        <v>1</v>
      </c>
    </row>
    <row r="222" spans="1:19" ht="22.9" customHeight="1" x14ac:dyDescent="0.3">
      <c r="A222" s="14" t="s">
        <v>193</v>
      </c>
      <c r="B222" s="14" t="s">
        <v>440</v>
      </c>
      <c r="C222" s="16" t="s">
        <v>34</v>
      </c>
      <c r="D222" s="17">
        <v>8.8887999999999995E-2</v>
      </c>
      <c r="E222" s="17">
        <f>중기경비목록!G6</f>
        <v>10024</v>
      </c>
      <c r="F222" s="17">
        <f>ROUNDDOWN(D222*E222,1)</f>
        <v>891</v>
      </c>
      <c r="G222" s="17">
        <f>중기경비목록!I6</f>
        <v>59020</v>
      </c>
      <c r="H222" s="17">
        <f>ROUNDDOWN(D222*G222,1)</f>
        <v>5246.1</v>
      </c>
      <c r="I222" s="17">
        <f>중기경비목록!K6</f>
        <v>13873</v>
      </c>
      <c r="J222" s="17">
        <f>ROUNDDOWN(D222*I222,1)</f>
        <v>1233.0999999999999</v>
      </c>
      <c r="K222" s="17">
        <f t="shared" si="27"/>
        <v>82917</v>
      </c>
      <c r="L222" s="17">
        <f t="shared" si="27"/>
        <v>7370.2000000000007</v>
      </c>
      <c r="M222" s="14" t="s">
        <v>437</v>
      </c>
      <c r="O222" s="2" t="s">
        <v>62</v>
      </c>
      <c r="P222" s="2" t="s">
        <v>438</v>
      </c>
      <c r="Q222" s="1">
        <v>1</v>
      </c>
    </row>
    <row r="223" spans="1:19" ht="22.9" customHeight="1" x14ac:dyDescent="0.3">
      <c r="A223" s="14" t="s">
        <v>211</v>
      </c>
      <c r="B223" s="14" t="s">
        <v>236</v>
      </c>
      <c r="C223" s="16" t="s">
        <v>34</v>
      </c>
      <c r="D223" s="17">
        <v>8.8887999999999995E-2</v>
      </c>
      <c r="E223" s="17">
        <f>중기경비목록!G15</f>
        <v>4119</v>
      </c>
      <c r="F223" s="17">
        <f>ROUNDDOWN(D223*E223,1)</f>
        <v>366.1</v>
      </c>
      <c r="G223" s="17">
        <f>중기경비목록!I15</f>
        <v>0</v>
      </c>
      <c r="H223" s="17">
        <f>ROUNDDOWN(D223*G223,1)</f>
        <v>0</v>
      </c>
      <c r="I223" s="17">
        <f>중기경비목록!K15</f>
        <v>1967</v>
      </c>
      <c r="J223" s="17">
        <f>ROUNDDOWN(D223*I223,1)</f>
        <v>174.8</v>
      </c>
      <c r="K223" s="17">
        <f t="shared" si="27"/>
        <v>6086</v>
      </c>
      <c r="L223" s="17">
        <f t="shared" si="27"/>
        <v>540.90000000000009</v>
      </c>
      <c r="M223" s="14" t="s">
        <v>456</v>
      </c>
      <c r="O223" s="2" t="s">
        <v>62</v>
      </c>
      <c r="P223" s="2" t="s">
        <v>438</v>
      </c>
      <c r="Q223" s="1">
        <v>1</v>
      </c>
    </row>
    <row r="224" spans="1:19" ht="22.9" customHeight="1" x14ac:dyDescent="0.3">
      <c r="A224" s="18" t="s">
        <v>439</v>
      </c>
      <c r="B224" s="19"/>
      <c r="C224" s="20"/>
      <c r="D224" s="21"/>
      <c r="E224" s="21"/>
      <c r="F224" s="21">
        <f>ROUNDDOWN(SUMIF(Q219:Q223,"1",F219:F223),0)</f>
        <v>1257</v>
      </c>
      <c r="G224" s="21"/>
      <c r="H224" s="21">
        <f>ROUNDDOWN(SUMIF(Q219:Q223,"1",H219:H223),0)</f>
        <v>9670</v>
      </c>
      <c r="I224" s="21"/>
      <c r="J224" s="21">
        <f>ROUNDDOWN(SUMIF(Q219:Q223,"1",J219:J223),0)</f>
        <v>1407</v>
      </c>
      <c r="K224" s="21"/>
      <c r="L224" s="21">
        <f>F224+H224+J224</f>
        <v>12334</v>
      </c>
      <c r="M224" s="19"/>
    </row>
    <row r="225" spans="1:13" ht="22.9" customHeight="1" x14ac:dyDescent="0.3">
      <c r="A225" s="15"/>
      <c r="B225" s="15"/>
      <c r="C225" s="22"/>
      <c r="D225" s="17"/>
      <c r="E225" s="17"/>
      <c r="F225" s="17"/>
      <c r="G225" s="17"/>
      <c r="H225" s="17"/>
      <c r="I225" s="17"/>
      <c r="J225" s="17"/>
      <c r="K225" s="17"/>
      <c r="L225" s="17"/>
      <c r="M225" s="15"/>
    </row>
    <row r="226" spans="1:13" ht="22.9" customHeight="1" x14ac:dyDescent="0.3">
      <c r="A226" s="15"/>
      <c r="B226" s="15"/>
      <c r="C226" s="22"/>
      <c r="D226" s="17"/>
      <c r="E226" s="17"/>
      <c r="F226" s="17"/>
      <c r="G226" s="17"/>
      <c r="H226" s="17"/>
      <c r="I226" s="17"/>
      <c r="J226" s="17"/>
      <c r="K226" s="17"/>
      <c r="L226" s="17"/>
      <c r="M226" s="15"/>
    </row>
    <row r="227" spans="1:13" ht="22.9" customHeight="1" x14ac:dyDescent="0.3">
      <c r="A227" s="15"/>
      <c r="B227" s="15"/>
      <c r="C227" s="22"/>
      <c r="D227" s="17"/>
      <c r="E227" s="17"/>
      <c r="F227" s="17"/>
      <c r="G227" s="17"/>
      <c r="H227" s="17"/>
      <c r="I227" s="17"/>
      <c r="J227" s="17"/>
      <c r="K227" s="17"/>
      <c r="L227" s="17"/>
      <c r="M227" s="15"/>
    </row>
    <row r="228" spans="1:13" ht="22.9" customHeight="1" x14ac:dyDescent="0.3">
      <c r="A228" s="15"/>
      <c r="B228" s="15"/>
      <c r="C228" s="22"/>
      <c r="D228" s="17"/>
      <c r="E228" s="17"/>
      <c r="F228" s="17"/>
      <c r="G228" s="17"/>
      <c r="H228" s="17"/>
      <c r="I228" s="17"/>
      <c r="J228" s="17"/>
      <c r="K228" s="17"/>
      <c r="L228" s="17"/>
      <c r="M228" s="15"/>
    </row>
  </sheetData>
  <mergeCells count="46">
    <mergeCell ref="A1:M1"/>
    <mergeCell ref="A2:M2"/>
    <mergeCell ref="A3:A4"/>
    <mergeCell ref="B3:B4"/>
    <mergeCell ref="C3:C4"/>
    <mergeCell ref="D3:D4"/>
    <mergeCell ref="M3:M4"/>
    <mergeCell ref="E3:F3"/>
    <mergeCell ref="G3:H3"/>
    <mergeCell ref="I3:J3"/>
    <mergeCell ref="A74:L74"/>
    <mergeCell ref="K3:L3"/>
    <mergeCell ref="A5:L5"/>
    <mergeCell ref="A20:L20"/>
    <mergeCell ref="A25:L25"/>
    <mergeCell ref="A31:L31"/>
    <mergeCell ref="A39:L39"/>
    <mergeCell ref="A46:L46"/>
    <mergeCell ref="A53:L53"/>
    <mergeCell ref="A58:L58"/>
    <mergeCell ref="A63:L63"/>
    <mergeCell ref="A69:L69"/>
    <mergeCell ref="A140:L140"/>
    <mergeCell ref="A80:L80"/>
    <mergeCell ref="A86:L86"/>
    <mergeCell ref="A92:L92"/>
    <mergeCell ref="A98:L98"/>
    <mergeCell ref="A102:L102"/>
    <mergeCell ref="A107:L107"/>
    <mergeCell ref="A112:L112"/>
    <mergeCell ref="A118:L118"/>
    <mergeCell ref="A124:L124"/>
    <mergeCell ref="A128:L128"/>
    <mergeCell ref="A134:L134"/>
    <mergeCell ref="A218:L218"/>
    <mergeCell ref="A144:L144"/>
    <mergeCell ref="A149:L149"/>
    <mergeCell ref="A154:L154"/>
    <mergeCell ref="A162:L162"/>
    <mergeCell ref="A173:L173"/>
    <mergeCell ref="A177:L177"/>
    <mergeCell ref="A181:L181"/>
    <mergeCell ref="A193:L193"/>
    <mergeCell ref="A197:L197"/>
    <mergeCell ref="A203:L203"/>
    <mergeCell ref="A208:L208"/>
  </mergeCells>
  <phoneticPr fontId="12" type="noConversion"/>
  <conditionalFormatting sqref="A5 M5 A6:M228">
    <cfRule type="containsText" dxfId="15" priority="1" stopIfTrue="1" operator="containsText" text=".">
      <formula>NOT(ISERROR(SEARCH(".",A5)))</formula>
    </cfRule>
    <cfRule type="containsText" dxfId="14" priority="2" stopIfTrue="1" operator="containsText" text=".">
      <formula>ISERROR(SEARCH(".",A5))</formula>
    </cfRule>
  </conditionalFormatting>
  <pageMargins left="0.74763888120651245" right="0" top="0.55097222328186035" bottom="0.15722222626209259" header="0.31486111879348755" footer="0.15722222626209259"/>
  <pageSetup paperSize="9" scale="95" orientation="landscape"/>
  <rowBreaks count="14" manualBreakCount="14">
    <brk id="20" max="1048575" man="1"/>
    <brk id="36" max="1048575" man="1"/>
    <brk id="52" max="1048575" man="1"/>
    <brk id="68" max="1048575" man="1"/>
    <brk id="84" max="1048575" man="1"/>
    <brk id="100" max="1048575" man="1"/>
    <brk id="116" max="1048575" man="1"/>
    <brk id="132" max="1048575" man="1"/>
    <brk id="148" max="1048575" man="1"/>
    <brk id="164" max="1048575" man="1"/>
    <brk id="180" max="1048575" man="1"/>
    <brk id="196" max="1048575" man="1"/>
    <brk id="212" max="1048575" man="1"/>
    <brk id="228" max="1048575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tabColor rgb="FFF19D86"/>
  </sheetPr>
  <dimension ref="A1:R20"/>
  <sheetViews>
    <sheetView zoomScaleNormal="100" zoomScaleSheetLayoutView="75" workbookViewId="0">
      <pane xSplit="4" ySplit="4" topLeftCell="E5" activePane="bottomRight" state="frozen"/>
      <selection pane="topRight"/>
      <selection pane="bottomLeft"/>
      <selection pane="bottomRight" sqref="A1:N1"/>
    </sheetView>
  </sheetViews>
  <sheetFormatPr defaultColWidth="9" defaultRowHeight="16.5" x14ac:dyDescent="0.3"/>
  <cols>
    <col min="1" max="1" width="6.75" style="4" customWidth="1"/>
    <col min="2" max="3" width="20.75" style="3" customWidth="1"/>
    <col min="4" max="4" width="4.75" style="4" customWidth="1"/>
    <col min="5" max="5" width="6.75" style="4" customWidth="1"/>
    <col min="6" max="6" width="6.75" style="5" customWidth="1"/>
    <col min="7" max="7" width="7.75" style="5" customWidth="1"/>
    <col min="8" max="8" width="6.75" style="5" customWidth="1"/>
    <col min="9" max="9" width="7.75" style="5" customWidth="1"/>
    <col min="10" max="10" width="6.75" style="5" customWidth="1"/>
    <col min="11" max="11" width="7.75" style="5" customWidth="1"/>
    <col min="12" max="12" width="6.75" style="5" customWidth="1"/>
    <col min="13" max="13" width="7.75" style="5" customWidth="1"/>
    <col min="14" max="14" width="6.75" style="3" customWidth="1"/>
    <col min="15" max="18" width="0" style="1" hidden="1" customWidth="1"/>
  </cols>
  <sheetData>
    <row r="1" spans="1:15" ht="30" customHeight="1" x14ac:dyDescent="0.3">
      <c r="A1" s="68" t="s">
        <v>275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</row>
    <row r="2" spans="1:15" ht="22.9" customHeight="1" x14ac:dyDescent="0.3">
      <c r="A2" s="69" t="s">
        <v>308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5" ht="22.9" customHeight="1" x14ac:dyDescent="0.3">
      <c r="A3" s="56" t="s">
        <v>35</v>
      </c>
      <c r="B3" s="56" t="s">
        <v>476</v>
      </c>
      <c r="C3" s="56" t="s">
        <v>475</v>
      </c>
      <c r="D3" s="56" t="s">
        <v>3</v>
      </c>
      <c r="E3" s="56" t="s">
        <v>50</v>
      </c>
      <c r="F3" s="56" t="s">
        <v>446</v>
      </c>
      <c r="G3" s="56"/>
      <c r="H3" s="56" t="s">
        <v>422</v>
      </c>
      <c r="I3" s="56"/>
      <c r="J3" s="56" t="s">
        <v>442</v>
      </c>
      <c r="K3" s="56"/>
      <c r="L3" s="56" t="s">
        <v>431</v>
      </c>
      <c r="M3" s="56"/>
      <c r="N3" s="56" t="s">
        <v>424</v>
      </c>
    </row>
    <row r="4" spans="1:15" ht="22.9" customHeight="1" x14ac:dyDescent="0.3">
      <c r="A4" s="56"/>
      <c r="B4" s="56"/>
      <c r="C4" s="56"/>
      <c r="D4" s="56"/>
      <c r="E4" s="56"/>
      <c r="F4" s="12" t="s">
        <v>432</v>
      </c>
      <c r="G4" s="12" t="s">
        <v>435</v>
      </c>
      <c r="H4" s="12" t="s">
        <v>432</v>
      </c>
      <c r="I4" s="12" t="s">
        <v>435</v>
      </c>
      <c r="J4" s="12" t="s">
        <v>432</v>
      </c>
      <c r="K4" s="12" t="s">
        <v>435</v>
      </c>
      <c r="L4" s="12" t="s">
        <v>432</v>
      </c>
      <c r="M4" s="12" t="s">
        <v>435</v>
      </c>
      <c r="N4" s="56"/>
      <c r="O4" s="1" t="s">
        <v>7</v>
      </c>
    </row>
    <row r="5" spans="1:15" ht="22.9" customHeight="1" x14ac:dyDescent="0.3">
      <c r="A5" s="16" t="s">
        <v>465</v>
      </c>
      <c r="B5" s="14" t="s">
        <v>458</v>
      </c>
      <c r="C5" s="14" t="s">
        <v>157</v>
      </c>
      <c r="D5" s="16" t="s">
        <v>75</v>
      </c>
      <c r="E5" s="22">
        <v>1</v>
      </c>
      <c r="F5" s="17">
        <f>단가산출서!B17</f>
        <v>492</v>
      </c>
      <c r="G5" s="17">
        <f>E5*F5</f>
        <v>492</v>
      </c>
      <c r="H5" s="17">
        <f>단가산출서!C17</f>
        <v>2900</v>
      </c>
      <c r="I5" s="17">
        <f>E5*H5</f>
        <v>2900</v>
      </c>
      <c r="J5" s="17">
        <f>단가산출서!D17</f>
        <v>681</v>
      </c>
      <c r="K5" s="17">
        <f>E5*J5</f>
        <v>681</v>
      </c>
      <c r="L5" s="17">
        <f t="shared" ref="L5:M9" si="0">F5+H5+J5</f>
        <v>4073</v>
      </c>
      <c r="M5" s="17">
        <f t="shared" si="0"/>
        <v>4073</v>
      </c>
      <c r="N5" s="14" t="s">
        <v>467</v>
      </c>
    </row>
    <row r="6" spans="1:15" ht="22.9" customHeight="1" x14ac:dyDescent="0.3">
      <c r="A6" s="16" t="s">
        <v>450</v>
      </c>
      <c r="B6" s="14" t="s">
        <v>463</v>
      </c>
      <c r="C6" s="14" t="s">
        <v>181</v>
      </c>
      <c r="D6" s="16" t="s">
        <v>75</v>
      </c>
      <c r="E6" s="22">
        <v>1</v>
      </c>
      <c r="F6" s="17">
        <f>단가산출서!B45</f>
        <v>635</v>
      </c>
      <c r="G6" s="17">
        <f>E6*F6</f>
        <v>635</v>
      </c>
      <c r="H6" s="17">
        <f>단가산출서!C45</f>
        <v>6452</v>
      </c>
      <c r="I6" s="17">
        <f>E6*H6</f>
        <v>6452</v>
      </c>
      <c r="J6" s="17">
        <f>단가산출서!D45</f>
        <v>638</v>
      </c>
      <c r="K6" s="17">
        <f>E6*J6</f>
        <v>638</v>
      </c>
      <c r="L6" s="17">
        <f t="shared" si="0"/>
        <v>7725</v>
      </c>
      <c r="M6" s="17">
        <f t="shared" si="0"/>
        <v>7725</v>
      </c>
      <c r="N6" s="15"/>
    </row>
    <row r="7" spans="1:15" ht="22.9" customHeight="1" x14ac:dyDescent="0.3">
      <c r="A7" s="16" t="s">
        <v>459</v>
      </c>
      <c r="B7" s="14" t="s">
        <v>220</v>
      </c>
      <c r="C7" s="14" t="s">
        <v>208</v>
      </c>
      <c r="D7" s="16" t="s">
        <v>75</v>
      </c>
      <c r="E7" s="22">
        <v>1</v>
      </c>
      <c r="F7" s="17">
        <f>단가산출서!B85</f>
        <v>2387</v>
      </c>
      <c r="G7" s="17">
        <f>E7*F7</f>
        <v>2387</v>
      </c>
      <c r="H7" s="17">
        <f>단가산출서!C85</f>
        <v>4255</v>
      </c>
      <c r="I7" s="17">
        <f>E7*H7</f>
        <v>4255</v>
      </c>
      <c r="J7" s="17">
        <f>단가산출서!D85</f>
        <v>1560</v>
      </c>
      <c r="K7" s="17">
        <f>E7*J7</f>
        <v>1560</v>
      </c>
      <c r="L7" s="17">
        <f t="shared" si="0"/>
        <v>8202</v>
      </c>
      <c r="M7" s="17">
        <f t="shared" si="0"/>
        <v>8202</v>
      </c>
      <c r="N7" s="15"/>
    </row>
    <row r="8" spans="1:15" ht="22.9" customHeight="1" x14ac:dyDescent="0.3">
      <c r="A8" s="16" t="s">
        <v>468</v>
      </c>
      <c r="B8" s="14" t="s">
        <v>219</v>
      </c>
      <c r="C8" s="14" t="s">
        <v>471</v>
      </c>
      <c r="D8" s="16" t="s">
        <v>75</v>
      </c>
      <c r="E8" s="22">
        <v>1</v>
      </c>
      <c r="F8" s="17">
        <f>단가산출서!B99</f>
        <v>223</v>
      </c>
      <c r="G8" s="17">
        <f>E8*F8</f>
        <v>223</v>
      </c>
      <c r="H8" s="17">
        <f>단가산출서!C99</f>
        <v>563</v>
      </c>
      <c r="I8" s="17">
        <f>E8*H8</f>
        <v>563</v>
      </c>
      <c r="J8" s="17">
        <f>단가산출서!D99</f>
        <v>234</v>
      </c>
      <c r="K8" s="17">
        <f>E8*J8</f>
        <v>234</v>
      </c>
      <c r="L8" s="17">
        <f t="shared" si="0"/>
        <v>1020</v>
      </c>
      <c r="M8" s="17">
        <f t="shared" si="0"/>
        <v>1020</v>
      </c>
      <c r="N8" s="15"/>
    </row>
    <row r="9" spans="1:15" ht="22.9" customHeight="1" x14ac:dyDescent="0.3">
      <c r="A9" s="16" t="s">
        <v>472</v>
      </c>
      <c r="B9" s="14" t="s">
        <v>474</v>
      </c>
      <c r="C9" s="14" t="s">
        <v>598</v>
      </c>
      <c r="D9" s="16" t="s">
        <v>77</v>
      </c>
      <c r="E9" s="22">
        <v>1</v>
      </c>
      <c r="F9" s="17">
        <f>단가산출서!B106</f>
        <v>0</v>
      </c>
      <c r="G9" s="17">
        <f>E9*F9</f>
        <v>0</v>
      </c>
      <c r="H9" s="17">
        <f>단가산출서!C106</f>
        <v>1230</v>
      </c>
      <c r="I9" s="17">
        <f>E9*H9</f>
        <v>1230</v>
      </c>
      <c r="J9" s="17">
        <f>단가산출서!D106</f>
        <v>0</v>
      </c>
      <c r="K9" s="17">
        <f>E9*J9</f>
        <v>0</v>
      </c>
      <c r="L9" s="17">
        <f t="shared" si="0"/>
        <v>1230</v>
      </c>
      <c r="M9" s="17">
        <f t="shared" si="0"/>
        <v>1230</v>
      </c>
      <c r="N9" s="14" t="s">
        <v>218</v>
      </c>
    </row>
    <row r="10" spans="1:15" ht="22.9" customHeight="1" x14ac:dyDescent="0.3">
      <c r="A10" s="22"/>
      <c r="B10" s="15"/>
      <c r="C10" s="15"/>
      <c r="D10" s="22"/>
      <c r="E10" s="22"/>
      <c r="F10" s="17"/>
      <c r="G10" s="17"/>
      <c r="H10" s="17"/>
      <c r="I10" s="17"/>
      <c r="J10" s="17"/>
      <c r="K10" s="17"/>
      <c r="L10" s="17"/>
      <c r="M10" s="17"/>
      <c r="N10" s="15"/>
    </row>
    <row r="11" spans="1:15" ht="22.9" customHeight="1" x14ac:dyDescent="0.3">
      <c r="A11" s="22"/>
      <c r="B11" s="15"/>
      <c r="C11" s="15"/>
      <c r="D11" s="22"/>
      <c r="E11" s="22"/>
      <c r="F11" s="17"/>
      <c r="G11" s="17"/>
      <c r="H11" s="17"/>
      <c r="I11" s="17"/>
      <c r="J11" s="17"/>
      <c r="K11" s="17"/>
      <c r="L11" s="17"/>
      <c r="M11" s="17"/>
      <c r="N11" s="15"/>
    </row>
    <row r="12" spans="1:15" ht="22.9" customHeight="1" x14ac:dyDescent="0.3">
      <c r="A12" s="22"/>
      <c r="B12" s="15"/>
      <c r="C12" s="15"/>
      <c r="D12" s="22"/>
      <c r="E12" s="22"/>
      <c r="F12" s="17"/>
      <c r="G12" s="17"/>
      <c r="H12" s="17"/>
      <c r="I12" s="17"/>
      <c r="J12" s="17"/>
      <c r="K12" s="17"/>
      <c r="L12" s="17"/>
      <c r="M12" s="17"/>
      <c r="N12" s="15"/>
    </row>
    <row r="13" spans="1:15" ht="22.9" customHeight="1" x14ac:dyDescent="0.3">
      <c r="A13" s="22"/>
      <c r="B13" s="15"/>
      <c r="C13" s="15"/>
      <c r="D13" s="22"/>
      <c r="E13" s="22"/>
      <c r="F13" s="17"/>
      <c r="G13" s="17"/>
      <c r="H13" s="17"/>
      <c r="I13" s="17"/>
      <c r="J13" s="17"/>
      <c r="K13" s="17"/>
      <c r="L13" s="17"/>
      <c r="M13" s="17"/>
      <c r="N13" s="15"/>
    </row>
    <row r="14" spans="1:15" ht="22.9" customHeight="1" x14ac:dyDescent="0.3">
      <c r="A14" s="22"/>
      <c r="B14" s="15"/>
      <c r="C14" s="15"/>
      <c r="D14" s="22"/>
      <c r="E14" s="22"/>
      <c r="F14" s="17"/>
      <c r="G14" s="17"/>
      <c r="H14" s="17"/>
      <c r="I14" s="17"/>
      <c r="J14" s="17"/>
      <c r="K14" s="17"/>
      <c r="L14" s="17"/>
      <c r="M14" s="17"/>
      <c r="N14" s="15"/>
    </row>
    <row r="15" spans="1:15" ht="22.9" customHeight="1" x14ac:dyDescent="0.3">
      <c r="A15" s="22"/>
      <c r="B15" s="15"/>
      <c r="C15" s="15"/>
      <c r="D15" s="22"/>
      <c r="E15" s="22"/>
      <c r="F15" s="17"/>
      <c r="G15" s="17"/>
      <c r="H15" s="17"/>
      <c r="I15" s="17"/>
      <c r="J15" s="17"/>
      <c r="K15" s="17"/>
      <c r="L15" s="17"/>
      <c r="M15" s="17"/>
      <c r="N15" s="15"/>
    </row>
    <row r="16" spans="1:15" ht="22.9" customHeight="1" x14ac:dyDescent="0.3">
      <c r="A16" s="22"/>
      <c r="B16" s="15"/>
      <c r="C16" s="15"/>
      <c r="D16" s="22"/>
      <c r="E16" s="22"/>
      <c r="F16" s="17"/>
      <c r="G16" s="17"/>
      <c r="H16" s="17"/>
      <c r="I16" s="17"/>
      <c r="J16" s="17"/>
      <c r="K16" s="17"/>
      <c r="L16" s="17"/>
      <c r="M16" s="17"/>
      <c r="N16" s="15"/>
    </row>
    <row r="17" spans="1:14" ht="22.9" customHeight="1" x14ac:dyDescent="0.3">
      <c r="A17" s="22"/>
      <c r="B17" s="15"/>
      <c r="C17" s="15"/>
      <c r="D17" s="22"/>
      <c r="E17" s="22"/>
      <c r="F17" s="17"/>
      <c r="G17" s="17"/>
      <c r="H17" s="17"/>
      <c r="I17" s="17"/>
      <c r="J17" s="17"/>
      <c r="K17" s="17"/>
      <c r="L17" s="17"/>
      <c r="M17" s="17"/>
      <c r="N17" s="15"/>
    </row>
    <row r="18" spans="1:14" ht="22.9" customHeight="1" x14ac:dyDescent="0.3">
      <c r="A18" s="22"/>
      <c r="B18" s="15"/>
      <c r="C18" s="15"/>
      <c r="D18" s="22"/>
      <c r="E18" s="22"/>
      <c r="F18" s="17"/>
      <c r="G18" s="17"/>
      <c r="H18" s="17"/>
      <c r="I18" s="17"/>
      <c r="J18" s="17"/>
      <c r="K18" s="17"/>
      <c r="L18" s="17"/>
      <c r="M18" s="17"/>
      <c r="N18" s="15"/>
    </row>
    <row r="19" spans="1:14" ht="22.9" customHeight="1" x14ac:dyDescent="0.3">
      <c r="A19" s="22"/>
      <c r="B19" s="15"/>
      <c r="C19" s="15"/>
      <c r="D19" s="22"/>
      <c r="E19" s="22"/>
      <c r="F19" s="17"/>
      <c r="G19" s="17"/>
      <c r="H19" s="17"/>
      <c r="I19" s="17"/>
      <c r="J19" s="17"/>
      <c r="K19" s="17"/>
      <c r="L19" s="17"/>
      <c r="M19" s="17"/>
      <c r="N19" s="15"/>
    </row>
    <row r="20" spans="1:14" ht="22.9" customHeight="1" x14ac:dyDescent="0.3">
      <c r="A20" s="22"/>
      <c r="B20" s="15"/>
      <c r="C20" s="15"/>
      <c r="D20" s="22"/>
      <c r="E20" s="22"/>
      <c r="F20" s="17"/>
      <c r="G20" s="17"/>
      <c r="H20" s="17"/>
      <c r="I20" s="17"/>
      <c r="J20" s="17"/>
      <c r="K20" s="17"/>
      <c r="L20" s="17"/>
      <c r="M20" s="17"/>
      <c r="N20" s="15"/>
    </row>
  </sheetData>
  <mergeCells count="12">
    <mergeCell ref="J3:K3"/>
    <mergeCell ref="L3:M3"/>
    <mergeCell ref="A1:N1"/>
    <mergeCell ref="A2:N2"/>
    <mergeCell ref="A3:A4"/>
    <mergeCell ref="B3:B4"/>
    <mergeCell ref="C3:C4"/>
    <mergeCell ref="D3:D4"/>
    <mergeCell ref="E3:E4"/>
    <mergeCell ref="N3:N4"/>
    <mergeCell ref="F3:G3"/>
    <mergeCell ref="H3:I3"/>
  </mergeCells>
  <phoneticPr fontId="12" type="noConversion"/>
  <conditionalFormatting sqref="A5:N20">
    <cfRule type="containsText" dxfId="13" priority="1" stopIfTrue="1" operator="containsText" text=".">
      <formula>NOT(ISERROR(SEARCH(".",A5)))</formula>
    </cfRule>
    <cfRule type="containsText" dxfId="12" priority="2" stopIfTrue="1" operator="containsText" text=".">
      <formula>ISERROR(SEARCH(".",A5))</formula>
    </cfRule>
  </conditionalFormatting>
  <pageMargins left="0.74513888359069824" right="0" top="0.54847222566604614" bottom="0.1388888955116272" header="0.30000001192092896" footer="0.1388888955116272"/>
  <pageSetup paperSize="9" orientation="landscape"/>
  <rowBreaks count="1" manualBreakCount="1">
    <brk id="20" max="1048575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>
    <tabColor rgb="FFFFFFB7"/>
  </sheetPr>
  <dimension ref="A1:O116"/>
  <sheetViews>
    <sheetView zoomScaleNormal="100" zoomScaleSheetLayoutView="75" workbookViewId="0">
      <pane xSplit="1" ySplit="4" topLeftCell="B5" activePane="bottomRight" state="frozen"/>
      <selection pane="topRight"/>
      <selection pane="bottomLeft"/>
      <selection pane="bottomRight" sqref="A1:F1"/>
    </sheetView>
  </sheetViews>
  <sheetFormatPr defaultColWidth="9" defaultRowHeight="16.5" x14ac:dyDescent="0.3"/>
  <cols>
    <col min="1" max="1" width="81.75" style="3" customWidth="1"/>
    <col min="2" max="6" width="9.75" style="5" customWidth="1"/>
    <col min="7" max="15" width="0" style="1" hidden="1" customWidth="1"/>
  </cols>
  <sheetData>
    <row r="1" spans="1:15" ht="30" customHeight="1" x14ac:dyDescent="0.3">
      <c r="A1" s="68" t="s">
        <v>274</v>
      </c>
      <c r="B1" s="68"/>
      <c r="C1" s="68"/>
      <c r="D1" s="68"/>
      <c r="E1" s="68"/>
      <c r="F1" s="68"/>
    </row>
    <row r="2" spans="1:15" ht="22.9" customHeight="1" x14ac:dyDescent="0.3">
      <c r="A2" s="69" t="s">
        <v>308</v>
      </c>
      <c r="B2" s="70"/>
      <c r="C2" s="70"/>
      <c r="D2" s="70"/>
      <c r="E2" s="70"/>
      <c r="F2" s="70"/>
    </row>
    <row r="3" spans="1:15" ht="22.9" customHeight="1" x14ac:dyDescent="0.3">
      <c r="A3" s="56" t="s">
        <v>237</v>
      </c>
      <c r="B3" s="56" t="s">
        <v>446</v>
      </c>
      <c r="C3" s="56" t="s">
        <v>422</v>
      </c>
      <c r="D3" s="56" t="s">
        <v>442</v>
      </c>
      <c r="E3" s="56" t="s">
        <v>431</v>
      </c>
      <c r="F3" s="56" t="s">
        <v>455</v>
      </c>
    </row>
    <row r="4" spans="1:15" ht="22.9" customHeight="1" x14ac:dyDescent="0.3">
      <c r="A4" s="56"/>
      <c r="B4" s="56"/>
      <c r="C4" s="56"/>
      <c r="D4" s="56"/>
      <c r="E4" s="56"/>
      <c r="F4" s="56"/>
      <c r="G4" s="1" t="s">
        <v>445</v>
      </c>
      <c r="H4" s="1" t="s">
        <v>430</v>
      </c>
      <c r="I4" s="1" t="s">
        <v>433</v>
      </c>
      <c r="J4" s="1" t="s">
        <v>426</v>
      </c>
    </row>
    <row r="5" spans="1:15" ht="22.9" customHeight="1" x14ac:dyDescent="0.3">
      <c r="A5" s="78" t="s">
        <v>138</v>
      </c>
      <c r="B5" s="79"/>
      <c r="C5" s="79"/>
      <c r="D5" s="79"/>
      <c r="E5" s="80"/>
      <c r="F5" s="24" t="s">
        <v>467</v>
      </c>
    </row>
    <row r="6" spans="1:15" ht="22.9" customHeight="1" x14ac:dyDescent="0.3">
      <c r="A6" s="15" t="s">
        <v>179</v>
      </c>
      <c r="B6" s="17"/>
      <c r="C6" s="17"/>
      <c r="D6" s="17"/>
      <c r="E6" s="17"/>
      <c r="F6" s="25" t="s">
        <v>437</v>
      </c>
      <c r="J6" s="1">
        <v>0</v>
      </c>
      <c r="L6" s="1">
        <v>1</v>
      </c>
      <c r="M6" s="1">
        <f>중기경비목록!G6</f>
        <v>10024</v>
      </c>
      <c r="N6" s="1">
        <f>중기경비목록!I6</f>
        <v>59020</v>
      </c>
      <c r="O6" s="1">
        <f>중기경비목록!K6</f>
        <v>13873</v>
      </c>
    </row>
    <row r="7" spans="1:15" ht="22.9" customHeight="1" x14ac:dyDescent="0.3">
      <c r="A7" s="15" t="str">
        <f>"버킷용량(㎥) : "&amp;"q9 = "&amp;L7</f>
        <v>버킷용량(㎥) : q9 = 0.2</v>
      </c>
      <c r="B7" s="17">
        <v>0</v>
      </c>
      <c r="C7" s="17">
        <v>0</v>
      </c>
      <c r="D7" s="17">
        <v>0</v>
      </c>
      <c r="E7" s="17">
        <v>0</v>
      </c>
      <c r="F7" s="17"/>
      <c r="J7" s="1">
        <v>0</v>
      </c>
      <c r="K7" s="1" t="s">
        <v>42</v>
      </c>
      <c r="L7" s="1">
        <v>0.2</v>
      </c>
    </row>
    <row r="8" spans="1:15" ht="22.9" customHeight="1" x14ac:dyDescent="0.3">
      <c r="A8" s="15" t="str">
        <f>"버킷계수 : "&amp;"k = "&amp;L8</f>
        <v>버킷계수 : k = 0.9</v>
      </c>
      <c r="B8" s="17">
        <v>0</v>
      </c>
      <c r="C8" s="17">
        <v>0</v>
      </c>
      <c r="D8" s="17">
        <v>0</v>
      </c>
      <c r="E8" s="17">
        <v>0</v>
      </c>
      <c r="F8" s="17"/>
      <c r="J8" s="1">
        <v>0</v>
      </c>
      <c r="K8" s="1" t="s">
        <v>44</v>
      </c>
      <c r="L8" s="1">
        <v>0.9</v>
      </c>
    </row>
    <row r="9" spans="1:15" ht="22.9" customHeight="1" x14ac:dyDescent="0.3">
      <c r="A9" s="15" t="str">
        <f>"체적환산계수 : "&amp;"f = 1/1.15 = "&amp;L9</f>
        <v>체적환산계수 : f = 1/1.15 = 0.8695652</v>
      </c>
      <c r="B9" s="17">
        <v>0</v>
      </c>
      <c r="C9" s="17">
        <v>0</v>
      </c>
      <c r="D9" s="17">
        <v>0</v>
      </c>
      <c r="E9" s="17">
        <v>0</v>
      </c>
      <c r="F9" s="17"/>
      <c r="J9" s="1">
        <v>0</v>
      </c>
      <c r="K9" s="1" t="s">
        <v>53</v>
      </c>
      <c r="L9" s="1">
        <v>0.86956520000000004</v>
      </c>
    </row>
    <row r="10" spans="1:15" ht="22.9" customHeight="1" x14ac:dyDescent="0.3">
      <c r="A10" s="15" t="str">
        <f>"작업효율 : "&amp;"E = 0.7-0.05 = "&amp;L10</f>
        <v>작업효율 : E = 0.7-0.05 = 0.65</v>
      </c>
      <c r="B10" s="17">
        <v>0</v>
      </c>
      <c r="C10" s="17">
        <v>0</v>
      </c>
      <c r="D10" s="17">
        <v>0</v>
      </c>
      <c r="E10" s="17">
        <v>0</v>
      </c>
      <c r="F10" s="17"/>
      <c r="J10" s="1">
        <v>0</v>
      </c>
      <c r="K10" s="1" t="s">
        <v>23</v>
      </c>
      <c r="L10" s="1">
        <v>0.65</v>
      </c>
    </row>
    <row r="11" spans="1:15" ht="22.9" customHeight="1" x14ac:dyDescent="0.3">
      <c r="A11" s="15" t="str">
        <f>"1회 싸이클 시간(초) : "&amp;"Cm = "&amp;L11</f>
        <v>1회 싸이클 시간(초) : Cm = 18</v>
      </c>
      <c r="B11" s="17">
        <v>0</v>
      </c>
      <c r="C11" s="17">
        <v>0</v>
      </c>
      <c r="D11" s="17">
        <v>0</v>
      </c>
      <c r="E11" s="17">
        <v>0</v>
      </c>
      <c r="F11" s="17"/>
      <c r="J11" s="1">
        <v>0</v>
      </c>
      <c r="K11" s="1" t="s">
        <v>85</v>
      </c>
      <c r="L11" s="1">
        <v>18</v>
      </c>
    </row>
    <row r="12" spans="1:15" ht="22.9" customHeight="1" x14ac:dyDescent="0.3">
      <c r="A12" s="15" t="str">
        <f>"시간당 작업량(㎥/hr) : "&amp;"Q = (3600*q9*k*f*E)/Cm = "&amp;L12</f>
        <v>시간당 작업량(㎥/hr) : Q = (3600*q9*k*f*E)/Cm = 20.3478256</v>
      </c>
      <c r="B12" s="17">
        <v>0</v>
      </c>
      <c r="C12" s="17">
        <v>0</v>
      </c>
      <c r="D12" s="17">
        <v>0</v>
      </c>
      <c r="E12" s="17">
        <v>0</v>
      </c>
      <c r="F12" s="17"/>
      <c r="J12" s="1">
        <v>0</v>
      </c>
      <c r="K12" s="1" t="s">
        <v>66</v>
      </c>
      <c r="L12" s="1">
        <f>ROUNDDOWN((3600*L7*L8*L9*L10)/L11,7)</f>
        <v>20.3478256</v>
      </c>
    </row>
    <row r="13" spans="1:15" ht="22.9" customHeight="1" x14ac:dyDescent="0.3">
      <c r="A13" s="15" t="str">
        <f>"재료비 : "&amp;TEXT(TRUNC(M13,0),"#,##0")&amp;" / 20.3478256"</f>
        <v>재료비 : 10,024 / 20.3478256</v>
      </c>
      <c r="B13" s="17">
        <f>ROUNDDOWN(M6/L12,1)</f>
        <v>492.6</v>
      </c>
      <c r="C13" s="17">
        <v>0</v>
      </c>
      <c r="D13" s="17">
        <v>0</v>
      </c>
      <c r="E13" s="17">
        <f>B13+C13+D13</f>
        <v>492.6</v>
      </c>
      <c r="F13" s="17"/>
      <c r="I13" s="2" t="s">
        <v>438</v>
      </c>
      <c r="J13" s="1">
        <v>1</v>
      </c>
      <c r="L13" s="1">
        <v>0</v>
      </c>
      <c r="M13" s="1">
        <f>M6</f>
        <v>10024</v>
      </c>
    </row>
    <row r="14" spans="1:15" ht="22.9" customHeight="1" x14ac:dyDescent="0.3">
      <c r="A14" s="15" t="str">
        <f>"노무비 : "&amp;TEXT(TRUNC(N14,0),"#,##0")&amp;" / 20.3478256"</f>
        <v>노무비 : 59,020 / 20.3478256</v>
      </c>
      <c r="B14" s="17">
        <v>0</v>
      </c>
      <c r="C14" s="17">
        <f>ROUNDDOWN(N6/L12,1)</f>
        <v>2900.5</v>
      </c>
      <c r="D14" s="17">
        <v>0</v>
      </c>
      <c r="E14" s="17">
        <f>B14+C14+D14</f>
        <v>2900.5</v>
      </c>
      <c r="F14" s="17"/>
      <c r="I14" s="2" t="s">
        <v>438</v>
      </c>
      <c r="J14" s="1">
        <v>1</v>
      </c>
      <c r="L14" s="1">
        <v>0</v>
      </c>
      <c r="N14" s="1">
        <f>N6</f>
        <v>59020</v>
      </c>
    </row>
    <row r="15" spans="1:15" ht="22.9" customHeight="1" x14ac:dyDescent="0.3">
      <c r="A15" s="15" t="str">
        <f>"경  비 : "&amp;TEXT(TRUNC(O15,0),"#,##0")&amp;" / 20.3478256"</f>
        <v>경  비 : 13,873 / 20.3478256</v>
      </c>
      <c r="B15" s="17">
        <v>0</v>
      </c>
      <c r="C15" s="17">
        <v>0</v>
      </c>
      <c r="D15" s="17">
        <f>ROUNDDOWN(O6/L12,1)</f>
        <v>681.7</v>
      </c>
      <c r="E15" s="17">
        <f>B15+C15+D15</f>
        <v>681.7</v>
      </c>
      <c r="F15" s="17"/>
      <c r="I15" s="2" t="s">
        <v>438</v>
      </c>
      <c r="J15" s="1">
        <v>1</v>
      </c>
      <c r="L15" s="1">
        <v>0</v>
      </c>
      <c r="O15" s="1">
        <f>O6</f>
        <v>13873</v>
      </c>
    </row>
    <row r="16" spans="1:15" ht="22.9" customHeight="1" x14ac:dyDescent="0.3">
      <c r="A16" s="15" t="s">
        <v>429</v>
      </c>
      <c r="B16" s="17">
        <f>SUMIF(J6:J15,"1",B6:B15)</f>
        <v>492.6</v>
      </c>
      <c r="C16" s="17">
        <f>SUMIF(J6:J15,"1",C6:C15)</f>
        <v>2900.5</v>
      </c>
      <c r="D16" s="17">
        <f>SUMIF(J6:J15,"1",D6:D15)</f>
        <v>681.7</v>
      </c>
      <c r="E16" s="17">
        <f>B16+C16+D16</f>
        <v>4074.8</v>
      </c>
      <c r="F16" s="17"/>
      <c r="J16" s="1">
        <v>0</v>
      </c>
      <c r="L16" s="1">
        <v>0</v>
      </c>
    </row>
    <row r="17" spans="1:15" ht="22.9" customHeight="1" x14ac:dyDescent="0.3">
      <c r="A17" s="18" t="s">
        <v>439</v>
      </c>
      <c r="B17" s="21">
        <f>ROUNDDOWN(SUMIF(J6:J16,"1",B6:B16),0)</f>
        <v>492</v>
      </c>
      <c r="C17" s="21">
        <f>ROUNDDOWN(SUMIF(J6:J16,"1",C6:C16),0)</f>
        <v>2900</v>
      </c>
      <c r="D17" s="21">
        <f>ROUNDDOWN(SUMIF(J6:J16,"1",D6:D16),0)</f>
        <v>681</v>
      </c>
      <c r="E17" s="21">
        <f>B17+C17+D17</f>
        <v>4073</v>
      </c>
      <c r="F17" s="21"/>
    </row>
    <row r="18" spans="1:15" ht="22.9" customHeight="1" x14ac:dyDescent="0.3">
      <c r="A18" s="15"/>
      <c r="B18" s="17"/>
      <c r="C18" s="17"/>
      <c r="D18" s="17"/>
      <c r="E18" s="17"/>
      <c r="F18" s="17"/>
    </row>
    <row r="19" spans="1:15" ht="22.9" customHeight="1" x14ac:dyDescent="0.3">
      <c r="A19" s="76" t="s">
        <v>140</v>
      </c>
      <c r="B19" s="77"/>
      <c r="C19" s="77"/>
      <c r="D19" s="77"/>
      <c r="E19" s="77"/>
      <c r="F19" s="26"/>
    </row>
    <row r="20" spans="1:15" ht="22.9" customHeight="1" x14ac:dyDescent="0.3">
      <c r="A20" s="15" t="s">
        <v>273</v>
      </c>
      <c r="B20" s="17">
        <v>0</v>
      </c>
      <c r="C20" s="17">
        <v>0</v>
      </c>
      <c r="D20" s="17">
        <v>0</v>
      </c>
      <c r="E20" s="17">
        <v>0</v>
      </c>
      <c r="F20" s="17"/>
      <c r="J20" s="1">
        <v>0</v>
      </c>
      <c r="L20" s="1">
        <v>0</v>
      </c>
    </row>
    <row r="21" spans="1:15" ht="22.9" customHeight="1" x14ac:dyDescent="0.3">
      <c r="A21" s="15" t="s">
        <v>180</v>
      </c>
      <c r="B21" s="17"/>
      <c r="C21" s="17"/>
      <c r="D21" s="17"/>
      <c r="E21" s="17"/>
      <c r="F21" s="25" t="s">
        <v>437</v>
      </c>
      <c r="J21" s="1">
        <v>0</v>
      </c>
      <c r="L21" s="1">
        <v>1</v>
      </c>
      <c r="M21" s="1">
        <f>중기경비목록!G6</f>
        <v>10024</v>
      </c>
      <c r="N21" s="1">
        <f>중기경비목록!I6</f>
        <v>59020</v>
      </c>
      <c r="O21" s="1">
        <f>중기경비목록!K6</f>
        <v>13873</v>
      </c>
    </row>
    <row r="22" spans="1:15" ht="22.9" customHeight="1" x14ac:dyDescent="0.3">
      <c r="A22" s="15" t="str">
        <f>" 버킷용량(㎥) : "&amp;"q1 = "&amp;L22</f>
        <v xml:space="preserve"> 버킷용량(㎥) : q1 = 0.2</v>
      </c>
      <c r="B22" s="17">
        <v>0</v>
      </c>
      <c r="C22" s="17">
        <v>0</v>
      </c>
      <c r="D22" s="17">
        <v>0</v>
      </c>
      <c r="E22" s="17">
        <v>0</v>
      </c>
      <c r="F22" s="17"/>
      <c r="J22" s="1">
        <v>0</v>
      </c>
      <c r="K22" s="1" t="s">
        <v>58</v>
      </c>
      <c r="L22" s="1">
        <v>0.2</v>
      </c>
    </row>
    <row r="23" spans="1:15" ht="22.9" customHeight="1" x14ac:dyDescent="0.3">
      <c r="A23" s="15" t="str">
        <f>" 버킷계수 : "&amp;"k = "&amp;L23</f>
        <v xml:space="preserve"> 버킷계수 : k = 1.1</v>
      </c>
      <c r="B23" s="17">
        <v>0</v>
      </c>
      <c r="C23" s="17">
        <v>0</v>
      </c>
      <c r="D23" s="17">
        <v>0</v>
      </c>
      <c r="E23" s="17">
        <v>0</v>
      </c>
      <c r="F23" s="17"/>
      <c r="J23" s="1">
        <v>0</v>
      </c>
      <c r="K23" s="1" t="s">
        <v>44</v>
      </c>
      <c r="L23" s="1">
        <v>1.1000000000000001</v>
      </c>
    </row>
    <row r="24" spans="1:15" ht="22.9" customHeight="1" x14ac:dyDescent="0.3">
      <c r="A24" s="15" t="str">
        <f>" 토량환산계수 : "&amp;"f = 0.98/1.24 = "&amp;L24</f>
        <v xml:space="preserve"> 토량환산계수 : f = 0.98/1.24 = 0.7903225</v>
      </c>
      <c r="B24" s="17">
        <v>0</v>
      </c>
      <c r="C24" s="17">
        <v>0</v>
      </c>
      <c r="D24" s="17">
        <v>0</v>
      </c>
      <c r="E24" s="17">
        <v>0</v>
      </c>
      <c r="F24" s="17"/>
      <c r="J24" s="1">
        <v>0</v>
      </c>
      <c r="K24" s="1" t="s">
        <v>53</v>
      </c>
      <c r="L24" s="1">
        <v>0.79032250000000004</v>
      </c>
    </row>
    <row r="25" spans="1:15" ht="22.9" customHeight="1" x14ac:dyDescent="0.3">
      <c r="A25" s="15" t="str">
        <f>" 작업효율 : "&amp;"E = (0.75+0.65)/2 = "&amp;L25</f>
        <v xml:space="preserve"> 작업효율 : E = (0.75+0.65)/2 = 0.7</v>
      </c>
      <c r="B25" s="17">
        <v>0</v>
      </c>
      <c r="C25" s="17">
        <v>0</v>
      </c>
      <c r="D25" s="17">
        <v>0</v>
      </c>
      <c r="E25" s="17">
        <v>0</v>
      </c>
      <c r="F25" s="17"/>
      <c r="J25" s="1">
        <v>0</v>
      </c>
      <c r="K25" s="1" t="s">
        <v>23</v>
      </c>
      <c r="L25" s="1">
        <v>0.7</v>
      </c>
    </row>
    <row r="26" spans="1:15" ht="22.9" customHeight="1" x14ac:dyDescent="0.3">
      <c r="A26" s="15" t="str">
        <f>" 1회사이클시간(초) : "&amp;"Cm = "&amp;L26</f>
        <v xml:space="preserve"> 1회사이클시간(초) : Cm = 18</v>
      </c>
      <c r="B26" s="17">
        <v>0</v>
      </c>
      <c r="C26" s="17">
        <v>0</v>
      </c>
      <c r="D26" s="17">
        <v>0</v>
      </c>
      <c r="E26" s="17">
        <v>0</v>
      </c>
      <c r="F26" s="17"/>
      <c r="J26" s="1">
        <v>0</v>
      </c>
      <c r="K26" s="1" t="s">
        <v>85</v>
      </c>
      <c r="L26" s="1">
        <v>18</v>
      </c>
    </row>
    <row r="27" spans="1:15" ht="22.9" customHeight="1" x14ac:dyDescent="0.3">
      <c r="A27" s="15" t="str">
        <f>" 시간당작업량(㎥/hr) : "&amp;"Q = (3600*q1*k*f*E)/Cm = "&amp;L27</f>
        <v xml:space="preserve"> 시간당작업량(㎥/hr) : Q = (3600*q1*k*f*E)/Cm = 24.341933</v>
      </c>
      <c r="B27" s="17">
        <v>0</v>
      </c>
      <c r="C27" s="17">
        <v>0</v>
      </c>
      <c r="D27" s="17">
        <v>0</v>
      </c>
      <c r="E27" s="17">
        <v>0</v>
      </c>
      <c r="F27" s="17"/>
      <c r="J27" s="1">
        <v>0</v>
      </c>
      <c r="K27" s="1" t="s">
        <v>66</v>
      </c>
      <c r="L27" s="1">
        <f>ROUNDDOWN((3600*L22*L23*L24*L25)/L26,7)</f>
        <v>24.341933000000001</v>
      </c>
    </row>
    <row r="28" spans="1:15" ht="22.9" customHeight="1" x14ac:dyDescent="0.3">
      <c r="A28" s="15" t="str">
        <f>" 재료비 : "&amp;TEXT(TRUNC(M28,0),"#,##0")&amp;" / 24.341933"</f>
        <v xml:space="preserve"> 재료비 : 10,024 / 24.341933</v>
      </c>
      <c r="B28" s="17">
        <f>ROUNDDOWN(M21/L27,1)</f>
        <v>411.7</v>
      </c>
      <c r="C28" s="17">
        <v>0</v>
      </c>
      <c r="D28" s="17">
        <v>0</v>
      </c>
      <c r="E28" s="17">
        <f>B28+C28+D28</f>
        <v>411.7</v>
      </c>
      <c r="F28" s="17"/>
      <c r="I28" s="2" t="s">
        <v>438</v>
      </c>
      <c r="J28" s="1">
        <v>1</v>
      </c>
      <c r="L28" s="1">
        <v>0</v>
      </c>
      <c r="M28" s="1">
        <f>M21</f>
        <v>10024</v>
      </c>
    </row>
    <row r="29" spans="1:15" ht="22.9" customHeight="1" x14ac:dyDescent="0.3">
      <c r="A29" s="15" t="str">
        <f>" 노무비 : "&amp;TEXT(TRUNC(N29,0),"#,##0")&amp;" / 24.341933"</f>
        <v xml:space="preserve"> 노무비 : 59,020 / 24.341933</v>
      </c>
      <c r="B29" s="17">
        <v>0</v>
      </c>
      <c r="C29" s="17">
        <f>ROUNDDOWN(N21/L27,1)</f>
        <v>2424.6</v>
      </c>
      <c r="D29" s="17">
        <v>0</v>
      </c>
      <c r="E29" s="17">
        <f>B29+C29+D29</f>
        <v>2424.6</v>
      </c>
      <c r="F29" s="17"/>
      <c r="I29" s="2" t="s">
        <v>438</v>
      </c>
      <c r="J29" s="1">
        <v>1</v>
      </c>
      <c r="L29" s="1">
        <v>0</v>
      </c>
      <c r="N29" s="1">
        <f>N21</f>
        <v>59020</v>
      </c>
    </row>
    <row r="30" spans="1:15" ht="22.9" customHeight="1" x14ac:dyDescent="0.3">
      <c r="A30" s="15" t="str">
        <f>" 경  비 : "&amp;TEXT(TRUNC(O30,0),"#,##0")&amp;" / 24.341933"</f>
        <v xml:space="preserve"> 경  비 : 13,873 / 24.341933</v>
      </c>
      <c r="B30" s="17">
        <v>0</v>
      </c>
      <c r="C30" s="17">
        <v>0</v>
      </c>
      <c r="D30" s="17">
        <f>ROUNDDOWN(O21/L27,1)</f>
        <v>569.9</v>
      </c>
      <c r="E30" s="17">
        <f>B30+C30+D30</f>
        <v>569.9</v>
      </c>
      <c r="F30" s="17"/>
      <c r="I30" s="2" t="s">
        <v>438</v>
      </c>
      <c r="J30" s="1">
        <v>1</v>
      </c>
      <c r="L30" s="1">
        <v>0</v>
      </c>
      <c r="O30" s="1">
        <f>O21</f>
        <v>13873</v>
      </c>
    </row>
    <row r="31" spans="1:15" ht="22.9" customHeight="1" x14ac:dyDescent="0.3">
      <c r="A31" s="15" t="s">
        <v>462</v>
      </c>
      <c r="B31" s="17">
        <f>SUMIF(J21:J30,"1",B21:B30)</f>
        <v>411.7</v>
      </c>
      <c r="C31" s="17">
        <f>SUMIF(J21:J30,"1",C21:C30)</f>
        <v>2424.6</v>
      </c>
      <c r="D31" s="17">
        <f>SUMIF(J21:J30,"1",D21:D30)</f>
        <v>569.9</v>
      </c>
      <c r="E31" s="17">
        <f>B31+C31+D31</f>
        <v>3406.2</v>
      </c>
      <c r="F31" s="17"/>
      <c r="J31" s="1">
        <v>0</v>
      </c>
      <c r="L31" s="1">
        <v>0</v>
      </c>
    </row>
    <row r="32" spans="1:15" ht="22.9" customHeight="1" x14ac:dyDescent="0.3">
      <c r="A32" s="15" t="s">
        <v>160</v>
      </c>
      <c r="B32" s="17">
        <v>0</v>
      </c>
      <c r="C32" s="17">
        <v>0</v>
      </c>
      <c r="D32" s="17">
        <v>0</v>
      </c>
      <c r="E32" s="17">
        <v>0</v>
      </c>
      <c r="F32" s="17"/>
      <c r="J32" s="1">
        <v>0</v>
      </c>
      <c r="L32" s="1">
        <v>0</v>
      </c>
    </row>
    <row r="33" spans="1:15" ht="22.9" customHeight="1" x14ac:dyDescent="0.3">
      <c r="A33" s="15" t="s">
        <v>163</v>
      </c>
      <c r="B33" s="17"/>
      <c r="C33" s="17"/>
      <c r="D33" s="17"/>
      <c r="E33" s="17"/>
      <c r="F33" s="25" t="s">
        <v>464</v>
      </c>
      <c r="J33" s="1">
        <v>0</v>
      </c>
      <c r="L33" s="1">
        <v>1</v>
      </c>
      <c r="M33" s="1">
        <f>중기경비목록!G14</f>
        <v>2011</v>
      </c>
      <c r="N33" s="1">
        <f>중기경비목록!I14</f>
        <v>36248</v>
      </c>
      <c r="O33" s="1">
        <f>중기경비목록!K14</f>
        <v>620</v>
      </c>
    </row>
    <row r="34" spans="1:15" ht="22.9" customHeight="1" x14ac:dyDescent="0.3">
      <c r="A34" s="15" t="str">
        <f>" 다짐속도(Km/hr) : "&amp;"V = "&amp;L34</f>
        <v xml:space="preserve"> 다짐속도(Km/hr) : V = 1</v>
      </c>
      <c r="B34" s="17">
        <v>0</v>
      </c>
      <c r="C34" s="17">
        <v>0</v>
      </c>
      <c r="D34" s="17">
        <v>0</v>
      </c>
      <c r="E34" s="17">
        <v>0</v>
      </c>
      <c r="F34" s="17"/>
      <c r="J34" s="1">
        <v>0</v>
      </c>
      <c r="K34" s="1" t="s">
        <v>81</v>
      </c>
      <c r="L34" s="1">
        <v>1</v>
      </c>
    </row>
    <row r="35" spans="1:15" ht="22.9" customHeight="1" x14ac:dyDescent="0.3">
      <c r="A35" s="15" t="str">
        <f>" 롤러의 유효다짐폭(M) : "&amp;"W = "&amp;L35</f>
        <v xml:space="preserve"> 롤러의 유효다짐폭(M) : W = 0.45</v>
      </c>
      <c r="B35" s="17">
        <v>0</v>
      </c>
      <c r="C35" s="17">
        <v>0</v>
      </c>
      <c r="D35" s="17">
        <v>0</v>
      </c>
      <c r="E35" s="17">
        <v>0</v>
      </c>
      <c r="F35" s="17"/>
      <c r="J35" s="1">
        <v>0</v>
      </c>
      <c r="K35" s="1" t="s">
        <v>82</v>
      </c>
      <c r="L35" s="1">
        <v>0.45</v>
      </c>
    </row>
    <row r="36" spans="1:15" ht="22.9" customHeight="1" x14ac:dyDescent="0.3">
      <c r="A36" s="15" t="str">
        <f>" 펴는 흙의 두께(M) : "&amp;"D = "&amp;L36</f>
        <v xml:space="preserve"> 펴는 흙의 두께(M) : D = 0.1</v>
      </c>
      <c r="B36" s="17">
        <v>0</v>
      </c>
      <c r="C36" s="17">
        <v>0</v>
      </c>
      <c r="D36" s="17">
        <v>0</v>
      </c>
      <c r="E36" s="17">
        <v>0</v>
      </c>
      <c r="F36" s="17"/>
      <c r="J36" s="1">
        <v>0</v>
      </c>
      <c r="K36" s="1" t="s">
        <v>69</v>
      </c>
      <c r="L36" s="1">
        <v>0.1</v>
      </c>
    </row>
    <row r="37" spans="1:15" ht="22.9" customHeight="1" x14ac:dyDescent="0.3">
      <c r="A37" s="15" t="str">
        <f>" 작업효율 : "&amp;"E = "&amp;L37</f>
        <v xml:space="preserve"> 작업효율 : E = 0.6</v>
      </c>
      <c r="B37" s="17">
        <v>0</v>
      </c>
      <c r="C37" s="17">
        <v>0</v>
      </c>
      <c r="D37" s="17">
        <v>0</v>
      </c>
      <c r="E37" s="17">
        <v>0</v>
      </c>
      <c r="F37" s="17"/>
      <c r="J37" s="1">
        <v>0</v>
      </c>
      <c r="K37" s="1" t="s">
        <v>23</v>
      </c>
      <c r="L37" s="1">
        <v>0.6</v>
      </c>
    </row>
    <row r="38" spans="1:15" ht="22.9" customHeight="1" x14ac:dyDescent="0.3">
      <c r="A38" s="15" t="str">
        <f>" 토량환산계수 : "&amp;"f = "&amp;L38</f>
        <v xml:space="preserve"> 토량환산계수 : f = 1</v>
      </c>
      <c r="B38" s="17">
        <v>0</v>
      </c>
      <c r="C38" s="17">
        <v>0</v>
      </c>
      <c r="D38" s="17">
        <v>0</v>
      </c>
      <c r="E38" s="17">
        <v>0</v>
      </c>
      <c r="F38" s="17"/>
      <c r="J38" s="1">
        <v>0</v>
      </c>
      <c r="K38" s="1" t="s">
        <v>53</v>
      </c>
      <c r="L38" s="1">
        <v>1</v>
      </c>
    </row>
    <row r="39" spans="1:15" ht="22.9" customHeight="1" x14ac:dyDescent="0.3">
      <c r="A39" s="15" t="str">
        <f>" 소요다짐횟수 : "&amp;"N = "&amp;L39</f>
        <v xml:space="preserve"> 소요다짐횟수 : N = 3</v>
      </c>
      <c r="B39" s="17">
        <v>0</v>
      </c>
      <c r="C39" s="17">
        <v>0</v>
      </c>
      <c r="D39" s="17">
        <v>0</v>
      </c>
      <c r="E39" s="17">
        <v>0</v>
      </c>
      <c r="F39" s="17"/>
      <c r="J39" s="1">
        <v>0</v>
      </c>
      <c r="K39" s="1" t="s">
        <v>76</v>
      </c>
      <c r="L39" s="1">
        <v>3</v>
      </c>
    </row>
    <row r="40" spans="1:15" ht="22.9" customHeight="1" x14ac:dyDescent="0.3">
      <c r="A40" s="15" t="str">
        <f>" 시간당 다짐토량 : "&amp;"Q = 1000*V*W*D*E*f/N = "&amp;L40</f>
        <v xml:space="preserve"> 시간당 다짐토량 : Q = 1000*V*W*D*E*f/N = 9</v>
      </c>
      <c r="B40" s="17">
        <v>0</v>
      </c>
      <c r="C40" s="17">
        <v>0</v>
      </c>
      <c r="D40" s="17">
        <v>0</v>
      </c>
      <c r="E40" s="17">
        <v>0</v>
      </c>
      <c r="F40" s="17"/>
      <c r="J40" s="1">
        <v>0</v>
      </c>
      <c r="K40" s="1" t="s">
        <v>66</v>
      </c>
      <c r="L40" s="1">
        <f>ROUNDDOWN(1000*L34*L35*L36*L37*L38/L39,7)</f>
        <v>9</v>
      </c>
    </row>
    <row r="41" spans="1:15" ht="22.9" customHeight="1" x14ac:dyDescent="0.3">
      <c r="A41" s="15" t="str">
        <f>" 재료비 : "&amp;TEXT(TRUNC(M41,0),"#,##0")&amp;" / 9"</f>
        <v xml:space="preserve"> 재료비 : 2,011 / 9</v>
      </c>
      <c r="B41" s="17">
        <f>ROUNDDOWN(M33/L40,1)</f>
        <v>223.4</v>
      </c>
      <c r="C41" s="17">
        <v>0</v>
      </c>
      <c r="D41" s="17">
        <v>0</v>
      </c>
      <c r="E41" s="17">
        <f>B41+C41+D41</f>
        <v>223.4</v>
      </c>
      <c r="F41" s="17"/>
      <c r="I41" s="2" t="s">
        <v>438</v>
      </c>
      <c r="J41" s="1">
        <v>1</v>
      </c>
      <c r="L41" s="1">
        <v>0</v>
      </c>
      <c r="M41" s="1">
        <f>M33</f>
        <v>2011</v>
      </c>
    </row>
    <row r="42" spans="1:15" ht="22.9" customHeight="1" x14ac:dyDescent="0.3">
      <c r="A42" s="15" t="str">
        <f>" 노무비 : "&amp;TEXT(TRUNC(N42,0),"#,##0")&amp;" / 9"</f>
        <v xml:space="preserve"> 노무비 : 36,248 / 9</v>
      </c>
      <c r="B42" s="17">
        <v>0</v>
      </c>
      <c r="C42" s="17">
        <f>ROUNDDOWN(N33/L40,1)</f>
        <v>4027.5</v>
      </c>
      <c r="D42" s="17">
        <v>0</v>
      </c>
      <c r="E42" s="17">
        <f>B42+C42+D42</f>
        <v>4027.5</v>
      </c>
      <c r="F42" s="17"/>
      <c r="I42" s="2" t="s">
        <v>438</v>
      </c>
      <c r="J42" s="1">
        <v>1</v>
      </c>
      <c r="L42" s="1">
        <v>0</v>
      </c>
      <c r="N42" s="1">
        <f>N33</f>
        <v>36248</v>
      </c>
    </row>
    <row r="43" spans="1:15" ht="22.9" customHeight="1" x14ac:dyDescent="0.3">
      <c r="A43" s="15" t="str">
        <f>" 경  비 : "&amp;TEXT(TRUNC(O43,0),"#,##0")&amp;" / 9"</f>
        <v xml:space="preserve"> 경  비 : 620 / 9</v>
      </c>
      <c r="B43" s="17">
        <v>0</v>
      </c>
      <c r="C43" s="17">
        <v>0</v>
      </c>
      <c r="D43" s="17">
        <f>ROUNDDOWN(O33/L40,1)</f>
        <v>68.8</v>
      </c>
      <c r="E43" s="17">
        <f>B43+C43+D43</f>
        <v>68.8</v>
      </c>
      <c r="F43" s="17"/>
      <c r="I43" s="2" t="s">
        <v>438</v>
      </c>
      <c r="J43" s="1">
        <v>1</v>
      </c>
      <c r="L43" s="1">
        <v>0</v>
      </c>
      <c r="O43" s="1">
        <f>O33</f>
        <v>620</v>
      </c>
    </row>
    <row r="44" spans="1:15" ht="22.9" customHeight="1" x14ac:dyDescent="0.3">
      <c r="A44" s="15" t="s">
        <v>462</v>
      </c>
      <c r="B44" s="17">
        <f>SUMIF(J33:J43,"1",B33:B43)</f>
        <v>223.4</v>
      </c>
      <c r="C44" s="17">
        <f>SUMIF(J33:J43,"1",C33:C43)</f>
        <v>4027.5</v>
      </c>
      <c r="D44" s="17">
        <f>SUMIF(J33:J43,"1",D33:D43)</f>
        <v>68.8</v>
      </c>
      <c r="E44" s="17">
        <f>B44+C44+D44</f>
        <v>4319.7</v>
      </c>
      <c r="F44" s="17"/>
      <c r="J44" s="1">
        <v>0</v>
      </c>
      <c r="L44" s="1">
        <v>0</v>
      </c>
    </row>
    <row r="45" spans="1:15" ht="22.9" customHeight="1" x14ac:dyDescent="0.3">
      <c r="A45" s="18" t="s">
        <v>439</v>
      </c>
      <c r="B45" s="21">
        <f>ROUNDDOWN(SUMIF(J20:J44,"1",B20:B44),0)</f>
        <v>635</v>
      </c>
      <c r="C45" s="21">
        <f>ROUNDDOWN(SUMIF(J20:J44,"1",C20:C44),0)</f>
        <v>6452</v>
      </c>
      <c r="D45" s="21">
        <f>ROUNDDOWN(SUMIF(J20:J44,"1",D20:D44),0)</f>
        <v>638</v>
      </c>
      <c r="E45" s="21">
        <f>B45+C45+D45</f>
        <v>7725</v>
      </c>
      <c r="F45" s="21"/>
    </row>
    <row r="46" spans="1:15" ht="22.9" customHeight="1" x14ac:dyDescent="0.3">
      <c r="A46" s="15"/>
      <c r="B46" s="17"/>
      <c r="C46" s="17"/>
      <c r="D46" s="17"/>
      <c r="E46" s="17"/>
      <c r="F46" s="17"/>
    </row>
    <row r="47" spans="1:15" ht="22.9" customHeight="1" x14ac:dyDescent="0.3">
      <c r="A47" s="76" t="s">
        <v>142</v>
      </c>
      <c r="B47" s="77"/>
      <c r="C47" s="77"/>
      <c r="D47" s="77"/>
      <c r="E47" s="77"/>
      <c r="F47" s="26"/>
    </row>
    <row r="48" spans="1:15" ht="22.9" customHeight="1" x14ac:dyDescent="0.3">
      <c r="A48" s="15" t="s">
        <v>457</v>
      </c>
      <c r="B48" s="17">
        <v>0</v>
      </c>
      <c r="C48" s="17">
        <v>0</v>
      </c>
      <c r="D48" s="17">
        <v>0</v>
      </c>
      <c r="E48" s="17">
        <v>0</v>
      </c>
      <c r="F48" s="17"/>
      <c r="J48" s="1">
        <v>0</v>
      </c>
      <c r="L48" s="1">
        <v>0</v>
      </c>
    </row>
    <row r="49" spans="1:15" ht="22.9" customHeight="1" x14ac:dyDescent="0.3">
      <c r="A49" s="15" t="s">
        <v>171</v>
      </c>
      <c r="B49" s="17"/>
      <c r="C49" s="17"/>
      <c r="D49" s="17"/>
      <c r="E49" s="17"/>
      <c r="F49" s="25" t="s">
        <v>423</v>
      </c>
      <c r="J49" s="1">
        <v>0</v>
      </c>
      <c r="L49" s="1">
        <v>1</v>
      </c>
      <c r="M49" s="1">
        <f>중기경비목록!G10</f>
        <v>23449</v>
      </c>
      <c r="N49" s="1">
        <f>중기경비목록!I10</f>
        <v>59020</v>
      </c>
      <c r="O49" s="1">
        <f>중기경비목록!K10</f>
        <v>24554</v>
      </c>
    </row>
    <row r="50" spans="1:15" ht="22.9" customHeight="1" x14ac:dyDescent="0.3">
      <c r="A50" s="15" t="str">
        <f>" 버킷용량(㎥) : "&amp;"q1 = "&amp;L50</f>
        <v xml:space="preserve"> 버킷용량(㎥) : q1 = 0.7</v>
      </c>
      <c r="B50" s="17">
        <v>0</v>
      </c>
      <c r="C50" s="17">
        <v>0</v>
      </c>
      <c r="D50" s="17">
        <v>0</v>
      </c>
      <c r="E50" s="17">
        <v>0</v>
      </c>
      <c r="F50" s="17"/>
      <c r="J50" s="1">
        <v>0</v>
      </c>
      <c r="K50" s="1" t="s">
        <v>58</v>
      </c>
      <c r="L50" s="1">
        <v>0.7</v>
      </c>
    </row>
    <row r="51" spans="1:15" ht="22.9" customHeight="1" x14ac:dyDescent="0.3">
      <c r="A51" s="15" t="str">
        <f>" 버킷계수 : "&amp;"k = "&amp;L51</f>
        <v xml:space="preserve"> 버킷계수 : k = 0.9</v>
      </c>
      <c r="B51" s="17">
        <v>0</v>
      </c>
      <c r="C51" s="17">
        <v>0</v>
      </c>
      <c r="D51" s="17">
        <v>0</v>
      </c>
      <c r="E51" s="17">
        <v>0</v>
      </c>
      <c r="F51" s="17"/>
      <c r="J51" s="1">
        <v>0</v>
      </c>
      <c r="K51" s="1" t="s">
        <v>44</v>
      </c>
      <c r="L51" s="1">
        <v>0.9</v>
      </c>
    </row>
    <row r="52" spans="1:15" ht="22.9" customHeight="1" x14ac:dyDescent="0.3">
      <c r="A52" s="15" t="str">
        <f>" 토량환산계수 : "&amp;"f = "&amp;L52</f>
        <v xml:space="preserve"> 토량환산계수 : f = 0.851</v>
      </c>
      <c r="B52" s="17">
        <v>0</v>
      </c>
      <c r="C52" s="17">
        <v>0</v>
      </c>
      <c r="D52" s="17">
        <v>0</v>
      </c>
      <c r="E52" s="17">
        <v>0</v>
      </c>
      <c r="F52" s="17"/>
      <c r="J52" s="1">
        <v>0</v>
      </c>
      <c r="K52" s="1" t="s">
        <v>53</v>
      </c>
      <c r="L52" s="1">
        <v>0.85099999999999998</v>
      </c>
    </row>
    <row r="53" spans="1:15" ht="22.9" customHeight="1" x14ac:dyDescent="0.3">
      <c r="A53" s="15" t="str">
        <f>" 작업효율 : "&amp;"E = "&amp;L53</f>
        <v xml:space="preserve"> 작업효율 : E = 0.6</v>
      </c>
      <c r="B53" s="17">
        <v>0</v>
      </c>
      <c r="C53" s="17">
        <v>0</v>
      </c>
      <c r="D53" s="17">
        <v>0</v>
      </c>
      <c r="E53" s="17">
        <v>0</v>
      </c>
      <c r="F53" s="17"/>
      <c r="J53" s="1">
        <v>0</v>
      </c>
      <c r="K53" s="1" t="s">
        <v>23</v>
      </c>
      <c r="L53" s="1">
        <v>0.6</v>
      </c>
    </row>
    <row r="54" spans="1:15" ht="22.9" customHeight="1" x14ac:dyDescent="0.3">
      <c r="A54" s="15" t="str">
        <f>" 1회사이클시간(초) : "&amp;"Cm = "&amp;L54</f>
        <v xml:space="preserve"> 1회사이클시간(초) : Cm = 21</v>
      </c>
      <c r="B54" s="17">
        <v>0</v>
      </c>
      <c r="C54" s="17">
        <v>0</v>
      </c>
      <c r="D54" s="17">
        <v>0</v>
      </c>
      <c r="E54" s="17">
        <v>0</v>
      </c>
      <c r="F54" s="17"/>
      <c r="J54" s="1">
        <v>0</v>
      </c>
      <c r="K54" s="1" t="s">
        <v>85</v>
      </c>
      <c r="L54" s="1">
        <v>21</v>
      </c>
    </row>
    <row r="55" spans="1:15" ht="22.9" customHeight="1" x14ac:dyDescent="0.3">
      <c r="A55" s="15" t="str">
        <f>" 시간당작업량(㎥/hr) : "&amp;"Q = (3600*q1*k*f*E)/Cm = "&amp;L55</f>
        <v xml:space="preserve"> 시간당작업량(㎥/hr) : Q = (3600*q1*k*f*E)/Cm = 55.1448</v>
      </c>
      <c r="B55" s="17">
        <v>0</v>
      </c>
      <c r="C55" s="17">
        <v>0</v>
      </c>
      <c r="D55" s="17">
        <v>0</v>
      </c>
      <c r="E55" s="17">
        <v>0</v>
      </c>
      <c r="F55" s="17"/>
      <c r="J55" s="1">
        <v>0</v>
      </c>
      <c r="K55" s="1" t="s">
        <v>66</v>
      </c>
      <c r="L55" s="1">
        <f>ROUNDDOWN((3600*L50*L51*L52*L53)/L54,7)</f>
        <v>55.144799999999996</v>
      </c>
    </row>
    <row r="56" spans="1:15" ht="22.9" customHeight="1" x14ac:dyDescent="0.3">
      <c r="A56" s="15" t="str">
        <f>" 재료비 : "&amp;TEXT(TRUNC(M56,0),"#,##0")&amp;" / 55.1448"</f>
        <v xml:space="preserve"> 재료비 : 23,449 / 55.1448</v>
      </c>
      <c r="B56" s="17">
        <f>ROUNDDOWN(M49/L55,1)</f>
        <v>425.2</v>
      </c>
      <c r="C56" s="17">
        <v>0</v>
      </c>
      <c r="D56" s="17">
        <v>0</v>
      </c>
      <c r="E56" s="17">
        <f>B56+C56+D56</f>
        <v>425.2</v>
      </c>
      <c r="F56" s="17"/>
      <c r="I56" s="2" t="s">
        <v>438</v>
      </c>
      <c r="J56" s="1">
        <v>1</v>
      </c>
      <c r="L56" s="1">
        <v>0</v>
      </c>
      <c r="M56" s="1">
        <f>M49</f>
        <v>23449</v>
      </c>
    </row>
    <row r="57" spans="1:15" ht="22.9" customHeight="1" x14ac:dyDescent="0.3">
      <c r="A57" s="15" t="str">
        <f>" 노무비 : "&amp;TEXT(TRUNC(N57,0),"#,##0")&amp;" / 55.1448"</f>
        <v xml:space="preserve"> 노무비 : 59,020 / 55.1448</v>
      </c>
      <c r="B57" s="17">
        <v>0</v>
      </c>
      <c r="C57" s="17">
        <f>ROUNDDOWN(N49/L55,1)</f>
        <v>1070.2</v>
      </c>
      <c r="D57" s="17">
        <v>0</v>
      </c>
      <c r="E57" s="17">
        <f>B57+C57+D57</f>
        <v>1070.2</v>
      </c>
      <c r="F57" s="17"/>
      <c r="I57" s="2" t="s">
        <v>438</v>
      </c>
      <c r="J57" s="1">
        <v>1</v>
      </c>
      <c r="L57" s="1">
        <v>0</v>
      </c>
      <c r="N57" s="1">
        <f>N49</f>
        <v>59020</v>
      </c>
    </row>
    <row r="58" spans="1:15" ht="22.9" customHeight="1" x14ac:dyDescent="0.3">
      <c r="A58" s="15" t="str">
        <f>" 경  비 : "&amp;TEXT(TRUNC(O58,0),"#,##0")&amp;" / 55.1448"</f>
        <v xml:space="preserve"> 경  비 : 24,554 / 55.1448</v>
      </c>
      <c r="B58" s="17">
        <v>0</v>
      </c>
      <c r="C58" s="17">
        <v>0</v>
      </c>
      <c r="D58" s="17">
        <f>ROUNDDOWN(O49/L55,1)</f>
        <v>445.2</v>
      </c>
      <c r="E58" s="17">
        <f>B58+C58+D58</f>
        <v>445.2</v>
      </c>
      <c r="F58" s="17"/>
      <c r="I58" s="2" t="s">
        <v>438</v>
      </c>
      <c r="J58" s="1">
        <v>1</v>
      </c>
      <c r="L58" s="1">
        <v>0</v>
      </c>
      <c r="O58" s="1">
        <f>O49</f>
        <v>24554</v>
      </c>
    </row>
    <row r="59" spans="1:15" ht="22.9" customHeight="1" x14ac:dyDescent="0.3">
      <c r="A59" s="15" t="s">
        <v>462</v>
      </c>
      <c r="B59" s="17">
        <f>SUMIF(J49:J58,"1",B49:B58)</f>
        <v>425.2</v>
      </c>
      <c r="C59" s="17">
        <f>SUMIF(J49:J58,"1",C49:C58)</f>
        <v>1070.2</v>
      </c>
      <c r="D59" s="17">
        <f>SUMIF(J49:J58,"1",D49:D58)</f>
        <v>445.2</v>
      </c>
      <c r="E59" s="17">
        <f>B59+C59+D59</f>
        <v>1940.6000000000001</v>
      </c>
      <c r="F59" s="17"/>
      <c r="J59" s="1">
        <v>0</v>
      </c>
      <c r="L59" s="1">
        <v>0</v>
      </c>
    </row>
    <row r="60" spans="1:15" ht="22.9" customHeight="1" x14ac:dyDescent="0.3">
      <c r="A60" s="15" t="s">
        <v>480</v>
      </c>
      <c r="B60" s="17">
        <v>0</v>
      </c>
      <c r="C60" s="17">
        <v>0</v>
      </c>
      <c r="D60" s="17">
        <v>0</v>
      </c>
      <c r="E60" s="17">
        <v>0</v>
      </c>
      <c r="F60" s="17"/>
      <c r="J60" s="1">
        <v>0</v>
      </c>
      <c r="L60" s="1">
        <v>0</v>
      </c>
    </row>
    <row r="61" spans="1:15" ht="22.9" customHeight="1" x14ac:dyDescent="0.3">
      <c r="A61" s="15" t="s">
        <v>217</v>
      </c>
      <c r="B61" s="17"/>
      <c r="C61" s="17"/>
      <c r="D61" s="17"/>
      <c r="E61" s="17"/>
      <c r="F61" s="25" t="s">
        <v>473</v>
      </c>
      <c r="J61" s="1">
        <v>0</v>
      </c>
      <c r="L61" s="1">
        <v>1</v>
      </c>
      <c r="M61" s="1">
        <f>중기경비목록!G12</f>
        <v>36357</v>
      </c>
      <c r="N61" s="1">
        <f>중기경비목록!I12</f>
        <v>59020</v>
      </c>
      <c r="O61" s="1">
        <f>중기경비목록!K12</f>
        <v>20659</v>
      </c>
    </row>
    <row r="62" spans="1:15" ht="22.9" customHeight="1" x14ac:dyDescent="0.3">
      <c r="A62" s="15" t="str">
        <f>" 운반거리(Km) : "&amp;"L = "&amp;L62</f>
        <v xml:space="preserve"> 운반거리(Km) : L = 5</v>
      </c>
      <c r="B62" s="17">
        <v>0</v>
      </c>
      <c r="C62" s="17">
        <v>0</v>
      </c>
      <c r="D62" s="17">
        <v>0</v>
      </c>
      <c r="E62" s="17">
        <v>0</v>
      </c>
      <c r="F62" s="17"/>
      <c r="J62" s="1">
        <v>0</v>
      </c>
      <c r="K62" s="1" t="s">
        <v>14</v>
      </c>
      <c r="L62" s="1">
        <v>5</v>
      </c>
    </row>
    <row r="63" spans="1:15" ht="22.9" customHeight="1" x14ac:dyDescent="0.3">
      <c r="A63" s="15" t="str">
        <f>" 적재용량 : "&amp;"T = "&amp;L63</f>
        <v xml:space="preserve"> 적재용량 : T = 15</v>
      </c>
      <c r="B63" s="17">
        <v>0</v>
      </c>
      <c r="C63" s="17">
        <v>0</v>
      </c>
      <c r="D63" s="17">
        <v>0</v>
      </c>
      <c r="E63" s="17">
        <v>0</v>
      </c>
      <c r="F63" s="17"/>
      <c r="J63" s="1">
        <v>0</v>
      </c>
      <c r="K63" s="1" t="s">
        <v>83</v>
      </c>
      <c r="L63" s="1">
        <v>15</v>
      </c>
    </row>
    <row r="64" spans="1:15" ht="22.9" customHeight="1" x14ac:dyDescent="0.3">
      <c r="A64" s="15" t="str">
        <f>" 단위중량 : "&amp;"r1 = "&amp;L64</f>
        <v xml:space="preserve"> 단위중량 : r1 = 1.7</v>
      </c>
      <c r="B64" s="17">
        <v>0</v>
      </c>
      <c r="C64" s="17">
        <v>0</v>
      </c>
      <c r="D64" s="17">
        <v>0</v>
      </c>
      <c r="E64" s="17">
        <v>0</v>
      </c>
      <c r="F64" s="17"/>
      <c r="J64" s="1">
        <v>0</v>
      </c>
      <c r="K64" s="1" t="s">
        <v>61</v>
      </c>
      <c r="L64" s="1">
        <v>1.7</v>
      </c>
    </row>
    <row r="65" spans="1:12" ht="22.9" customHeight="1" x14ac:dyDescent="0.3">
      <c r="A65" s="15" t="str">
        <f>" 토량변화율 : "&amp;"L1 = "&amp;L65</f>
        <v xml:space="preserve"> 토량변화율 : L1 = 1.175</v>
      </c>
      <c r="B65" s="17">
        <v>0</v>
      </c>
      <c r="C65" s="17">
        <v>0</v>
      </c>
      <c r="D65" s="17">
        <v>0</v>
      </c>
      <c r="E65" s="17">
        <v>0</v>
      </c>
      <c r="F65" s="17"/>
      <c r="J65" s="1">
        <v>0</v>
      </c>
      <c r="K65" s="1" t="s">
        <v>74</v>
      </c>
      <c r="L65" s="1">
        <v>1.175</v>
      </c>
    </row>
    <row r="66" spans="1:12" ht="22.9" customHeight="1" x14ac:dyDescent="0.3">
      <c r="A66" s="15" t="str">
        <f>" 1회적재량 : "&amp;"A = T/r1*L1 = "&amp;L66</f>
        <v xml:space="preserve"> 1회적재량 : A = T/r1*L1 = 10.367647</v>
      </c>
      <c r="B66" s="17">
        <v>0</v>
      </c>
      <c r="C66" s="17">
        <v>0</v>
      </c>
      <c r="D66" s="17">
        <v>0</v>
      </c>
      <c r="E66" s="17">
        <v>0</v>
      </c>
      <c r="F66" s="17"/>
      <c r="J66" s="1">
        <v>0</v>
      </c>
      <c r="K66" s="1" t="s">
        <v>57</v>
      </c>
      <c r="L66" s="1">
        <f>ROUNDDOWN(L63/L64*L65,7)</f>
        <v>10.367647</v>
      </c>
    </row>
    <row r="67" spans="1:12" ht="22.9" customHeight="1" x14ac:dyDescent="0.3">
      <c r="A67" s="15" t="str">
        <f>" 토량환산계수 : "&amp;"f = "&amp;L67</f>
        <v xml:space="preserve"> 토량환산계수 : f = 1</v>
      </c>
      <c r="B67" s="17">
        <v>0</v>
      </c>
      <c r="C67" s="17">
        <v>0</v>
      </c>
      <c r="D67" s="17">
        <v>0</v>
      </c>
      <c r="E67" s="17">
        <v>0</v>
      </c>
      <c r="F67" s="17"/>
      <c r="J67" s="1">
        <v>0</v>
      </c>
      <c r="K67" s="1" t="s">
        <v>53</v>
      </c>
      <c r="L67" s="1">
        <v>1</v>
      </c>
    </row>
    <row r="68" spans="1:12" ht="22.9" customHeight="1" x14ac:dyDescent="0.3">
      <c r="A68" s="15" t="str">
        <f>" 작업효율 : "&amp;"E = "&amp;L68</f>
        <v xml:space="preserve"> 작업효율 : E = 0.9</v>
      </c>
      <c r="B68" s="17">
        <v>0</v>
      </c>
      <c r="C68" s="17">
        <v>0</v>
      </c>
      <c r="D68" s="17">
        <v>0</v>
      </c>
      <c r="E68" s="17">
        <v>0</v>
      </c>
      <c r="F68" s="17"/>
      <c r="J68" s="1">
        <v>0</v>
      </c>
      <c r="K68" s="1" t="s">
        <v>23</v>
      </c>
      <c r="L68" s="1">
        <v>0.9</v>
      </c>
    </row>
    <row r="69" spans="1:12" ht="22.9" customHeight="1" x14ac:dyDescent="0.3">
      <c r="A69" s="15" t="str">
        <f>" 적재기계1회 싸이클시간 : "&amp;"Cms = "&amp;L69</f>
        <v xml:space="preserve"> 적재기계1회 싸이클시간 : Cms = 21</v>
      </c>
      <c r="B69" s="17">
        <v>0</v>
      </c>
      <c r="C69" s="17">
        <v>0</v>
      </c>
      <c r="D69" s="17">
        <v>0</v>
      </c>
      <c r="E69" s="17">
        <v>0</v>
      </c>
      <c r="F69" s="17"/>
      <c r="J69" s="1">
        <v>0</v>
      </c>
      <c r="K69" s="1" t="s">
        <v>73</v>
      </c>
      <c r="L69" s="1">
        <v>21</v>
      </c>
    </row>
    <row r="70" spans="1:12" ht="22.9" customHeight="1" x14ac:dyDescent="0.3">
      <c r="A70" s="15" t="str">
        <f>" 왕복시간 : "&amp;"t2 = L/35*60*2 = "&amp;L70</f>
        <v xml:space="preserve"> 왕복시간 : t2 = L/35*60*2 = 17.1428571</v>
      </c>
      <c r="B70" s="17">
        <v>0</v>
      </c>
      <c r="C70" s="17">
        <v>0</v>
      </c>
      <c r="D70" s="17">
        <v>0</v>
      </c>
      <c r="E70" s="17">
        <v>0</v>
      </c>
      <c r="F70" s="17"/>
      <c r="J70" s="1">
        <v>0</v>
      </c>
      <c r="K70" s="1" t="s">
        <v>59</v>
      </c>
      <c r="L70" s="1">
        <f>ROUNDDOWN(L62/35*60*2,7)</f>
        <v>17.142857100000001</v>
      </c>
    </row>
    <row r="71" spans="1:12" ht="22.9" customHeight="1" x14ac:dyDescent="0.3">
      <c r="A71" s="15" t="str">
        <f>" 적하시간 : "&amp;"t3 = "&amp;L71</f>
        <v xml:space="preserve"> 적하시간 : t3 = 1.05</v>
      </c>
      <c r="B71" s="17">
        <v>0</v>
      </c>
      <c r="C71" s="17">
        <v>0</v>
      </c>
      <c r="D71" s="17">
        <v>0</v>
      </c>
      <c r="E71" s="17">
        <v>0</v>
      </c>
      <c r="F71" s="17"/>
      <c r="J71" s="1">
        <v>0</v>
      </c>
      <c r="K71" s="1" t="s">
        <v>54</v>
      </c>
      <c r="L71" s="1">
        <v>1.05</v>
      </c>
    </row>
    <row r="72" spans="1:12" ht="22.9" customHeight="1" x14ac:dyDescent="0.3">
      <c r="A72" s="15" t="str">
        <f>" 적재대기시간 : "&amp;"t4 = "&amp;L72</f>
        <v xml:space="preserve"> 적재대기시간 : t4 = 0.42</v>
      </c>
      <c r="B72" s="17">
        <v>0</v>
      </c>
      <c r="C72" s="17">
        <v>0</v>
      </c>
      <c r="D72" s="17">
        <v>0</v>
      </c>
      <c r="E72" s="17">
        <v>0</v>
      </c>
      <c r="F72" s="17"/>
      <c r="J72" s="1">
        <v>0</v>
      </c>
      <c r="K72" s="1" t="s">
        <v>56</v>
      </c>
      <c r="L72" s="1">
        <v>0.42</v>
      </c>
    </row>
    <row r="73" spans="1:12" ht="22.9" customHeight="1" x14ac:dyDescent="0.3">
      <c r="A73" s="15" t="str">
        <f>" 적재함 덮개 설치 및 해체시간 : "&amp;"t5 = "&amp;L73</f>
        <v xml:space="preserve"> 적재함 덮개 설치 및 해체시간 : t5 = 0.5</v>
      </c>
      <c r="B73" s="17">
        <v>0</v>
      </c>
      <c r="C73" s="17">
        <v>0</v>
      </c>
      <c r="D73" s="17">
        <v>0</v>
      </c>
      <c r="E73" s="17">
        <v>0</v>
      </c>
      <c r="F73" s="17"/>
      <c r="J73" s="1">
        <v>0</v>
      </c>
      <c r="K73" s="1" t="s">
        <v>60</v>
      </c>
      <c r="L73" s="1">
        <v>0.5</v>
      </c>
    </row>
    <row r="74" spans="1:12" ht="22.9" customHeight="1" x14ac:dyDescent="0.3">
      <c r="A74" s="15" t="str">
        <f>" 세륜기통과시간(min) : "&amp;"t6 = "&amp;L74</f>
        <v xml:space="preserve"> 세륜기통과시간(min) : t6 = 1.5</v>
      </c>
      <c r="B74" s="17">
        <v>0</v>
      </c>
      <c r="C74" s="17">
        <v>0</v>
      </c>
      <c r="D74" s="17">
        <v>0</v>
      </c>
      <c r="E74" s="17">
        <v>0</v>
      </c>
      <c r="F74" s="17"/>
      <c r="J74" s="1">
        <v>0</v>
      </c>
      <c r="K74" s="1" t="s">
        <v>80</v>
      </c>
      <c r="L74" s="1">
        <v>1.5</v>
      </c>
    </row>
    <row r="75" spans="1:12" ht="22.9" customHeight="1" x14ac:dyDescent="0.3">
      <c r="A75" s="15" t="str">
        <f>" 버킷계수 : "&amp;"k = "&amp;L75</f>
        <v xml:space="preserve"> 버킷계수 : k = 0.9</v>
      </c>
      <c r="B75" s="17">
        <v>0</v>
      </c>
      <c r="C75" s="17">
        <v>0</v>
      </c>
      <c r="D75" s="17">
        <v>0</v>
      </c>
      <c r="E75" s="17">
        <v>0</v>
      </c>
      <c r="F75" s="17"/>
      <c r="J75" s="1">
        <v>0</v>
      </c>
      <c r="K75" s="1" t="s">
        <v>44</v>
      </c>
      <c r="L75" s="1">
        <v>0.9</v>
      </c>
    </row>
    <row r="76" spans="1:12" ht="22.9" customHeight="1" x14ac:dyDescent="0.3">
      <c r="A76" s="15" t="str">
        <f>" 버킷용량계수 : "&amp;"q1 = "&amp;L76</f>
        <v xml:space="preserve"> 버킷용량계수 : q1 = 0.7</v>
      </c>
      <c r="B76" s="17">
        <v>0</v>
      </c>
      <c r="C76" s="17">
        <v>0</v>
      </c>
      <c r="D76" s="17">
        <v>0</v>
      </c>
      <c r="E76" s="17">
        <v>0</v>
      </c>
      <c r="F76" s="17"/>
      <c r="J76" s="1">
        <v>0</v>
      </c>
      <c r="K76" s="1" t="s">
        <v>58</v>
      </c>
      <c r="L76" s="1">
        <v>0.7</v>
      </c>
    </row>
    <row r="77" spans="1:12" ht="22.9" customHeight="1" x14ac:dyDescent="0.3">
      <c r="A77" s="15" t="str">
        <f>" 적재기계의 작업효율 : "&amp;"Es = "&amp;L77</f>
        <v xml:space="preserve"> 적재기계의 작업효율 : Es = 0.6</v>
      </c>
      <c r="B77" s="17">
        <v>0</v>
      </c>
      <c r="C77" s="17">
        <v>0</v>
      </c>
      <c r="D77" s="17">
        <v>0</v>
      </c>
      <c r="E77" s="17">
        <v>0</v>
      </c>
      <c r="F77" s="17"/>
      <c r="J77" s="1">
        <v>0</v>
      </c>
      <c r="K77" s="1" t="s">
        <v>84</v>
      </c>
      <c r="L77" s="1">
        <v>0.6</v>
      </c>
    </row>
    <row r="78" spans="1:12" ht="22.9" customHeight="1" x14ac:dyDescent="0.3">
      <c r="A78" s="15" t="str">
        <f>" 덤프트럭 소요적재회수 : "&amp;"N = A/(q1*k) = "&amp;L78</f>
        <v xml:space="preserve"> 덤프트럭 소요적재회수 : N = A/(q1*k) = 16.4565825</v>
      </c>
      <c r="B78" s="17">
        <v>0</v>
      </c>
      <c r="C78" s="17">
        <v>0</v>
      </c>
      <c r="D78" s="17">
        <v>0</v>
      </c>
      <c r="E78" s="17">
        <v>0</v>
      </c>
      <c r="F78" s="17"/>
      <c r="J78" s="1">
        <v>0</v>
      </c>
      <c r="K78" s="1" t="s">
        <v>76</v>
      </c>
      <c r="L78" s="1">
        <f>ROUNDDOWN(L66/(L76*L75),7)</f>
        <v>16.4565825</v>
      </c>
    </row>
    <row r="79" spans="1:12" ht="22.9" customHeight="1" x14ac:dyDescent="0.3">
      <c r="A79" s="15" t="str">
        <f>" 1회 사이클 시간 : "&amp;"Cm = Cms*N/(60*Es)+t2+t3+t4+t5+t6 = "&amp;L79</f>
        <v xml:space="preserve"> 1회 사이클 시간 : Cm = Cms*N/(60*Es)+t2+t3+t4+t5+t6 = 30.2125302</v>
      </c>
      <c r="B79" s="17">
        <v>0</v>
      </c>
      <c r="C79" s="17">
        <v>0</v>
      </c>
      <c r="D79" s="17">
        <v>0</v>
      </c>
      <c r="E79" s="17">
        <v>0</v>
      </c>
      <c r="F79" s="17"/>
      <c r="J79" s="1">
        <v>0</v>
      </c>
      <c r="K79" s="1" t="s">
        <v>85</v>
      </c>
      <c r="L79" s="1">
        <f>ROUNDDOWN(L69*L78/(60*L77)+L70+L71+L72+L73+L74,7)</f>
        <v>30.2125302</v>
      </c>
    </row>
    <row r="80" spans="1:12" ht="22.9" customHeight="1" x14ac:dyDescent="0.3">
      <c r="A80" s="15" t="str">
        <f>" 시간당작업량 : "&amp;"Q = 60*A*f*E/Cm = "&amp;L80</f>
        <v xml:space="preserve"> 시간당작업량 : Q = 60*A*f*E/Cm = 18.5304883</v>
      </c>
      <c r="B80" s="17">
        <v>0</v>
      </c>
      <c r="C80" s="17">
        <v>0</v>
      </c>
      <c r="D80" s="17">
        <v>0</v>
      </c>
      <c r="E80" s="17">
        <v>0</v>
      </c>
      <c r="F80" s="17"/>
      <c r="J80" s="1">
        <v>0</v>
      </c>
      <c r="K80" s="1" t="s">
        <v>66</v>
      </c>
      <c r="L80" s="1">
        <f>ROUNDDOWN(60*L66*L67*L68/L79,7)</f>
        <v>18.530488299999998</v>
      </c>
    </row>
    <row r="81" spans="1:15" ht="22.9" customHeight="1" x14ac:dyDescent="0.3">
      <c r="A81" s="15" t="str">
        <f>" 재료비 : "&amp;TEXT(TRUNC(M81,0),"#,##0")&amp;" / 18.5304883"</f>
        <v xml:space="preserve"> 재료비 : 36,357 / 18.5304883</v>
      </c>
      <c r="B81" s="17">
        <f>ROUNDDOWN(M61/L80,1)</f>
        <v>1962</v>
      </c>
      <c r="C81" s="17">
        <v>0</v>
      </c>
      <c r="D81" s="17">
        <v>0</v>
      </c>
      <c r="E81" s="17">
        <f>B81+C81+D81</f>
        <v>1962</v>
      </c>
      <c r="F81" s="17"/>
      <c r="I81" s="2" t="s">
        <v>438</v>
      </c>
      <c r="J81" s="1">
        <v>1</v>
      </c>
      <c r="L81" s="1">
        <v>0</v>
      </c>
      <c r="M81" s="1">
        <f>M61</f>
        <v>36357</v>
      </c>
    </row>
    <row r="82" spans="1:15" ht="22.9" customHeight="1" x14ac:dyDescent="0.3">
      <c r="A82" s="15" t="str">
        <f>" 노무비 : "&amp;TEXT(TRUNC(N82,0),"#,##0")&amp;" / 18.5304883"</f>
        <v xml:space="preserve"> 노무비 : 59,020 / 18.5304883</v>
      </c>
      <c r="B82" s="17">
        <v>0</v>
      </c>
      <c r="C82" s="17">
        <f>ROUNDDOWN(N61/L80,1)</f>
        <v>3185</v>
      </c>
      <c r="D82" s="17">
        <v>0</v>
      </c>
      <c r="E82" s="17">
        <f>B82+C82+D82</f>
        <v>3185</v>
      </c>
      <c r="F82" s="17"/>
      <c r="I82" s="2" t="s">
        <v>438</v>
      </c>
      <c r="J82" s="1">
        <v>1</v>
      </c>
      <c r="L82" s="1">
        <v>0</v>
      </c>
      <c r="N82" s="1">
        <f>N61</f>
        <v>59020</v>
      </c>
    </row>
    <row r="83" spans="1:15" ht="22.9" customHeight="1" x14ac:dyDescent="0.3">
      <c r="A83" s="15" t="str">
        <f>" 경  비 : "&amp;TEXT(TRUNC(O83,0),"#,##0")&amp;" / 18.5304883"</f>
        <v xml:space="preserve"> 경  비 : 20,659 / 18.5304883</v>
      </c>
      <c r="B83" s="17">
        <v>0</v>
      </c>
      <c r="C83" s="17">
        <v>0</v>
      </c>
      <c r="D83" s="17">
        <f>ROUNDDOWN(O61/L80,1)</f>
        <v>1114.8</v>
      </c>
      <c r="E83" s="17">
        <f>B83+C83+D83</f>
        <v>1114.8</v>
      </c>
      <c r="F83" s="17"/>
      <c r="I83" s="2" t="s">
        <v>438</v>
      </c>
      <c r="J83" s="1">
        <v>1</v>
      </c>
      <c r="L83" s="1">
        <v>0</v>
      </c>
      <c r="O83" s="1">
        <f>O61</f>
        <v>20659</v>
      </c>
    </row>
    <row r="84" spans="1:15" ht="22.9" customHeight="1" x14ac:dyDescent="0.3">
      <c r="A84" s="15" t="s">
        <v>462</v>
      </c>
      <c r="B84" s="17">
        <f>SUMIF(J61:J83,"1",B61:B83)</f>
        <v>1962</v>
      </c>
      <c r="C84" s="17">
        <f>SUMIF(J61:J83,"1",C61:C83)</f>
        <v>3185</v>
      </c>
      <c r="D84" s="17">
        <f>SUMIF(J61:J83,"1",D61:D83)</f>
        <v>1114.8</v>
      </c>
      <c r="E84" s="17">
        <f>B84+C84+D84</f>
        <v>6261.8</v>
      </c>
      <c r="F84" s="17"/>
      <c r="J84" s="1">
        <v>0</v>
      </c>
      <c r="L84" s="1">
        <v>0</v>
      </c>
    </row>
    <row r="85" spans="1:15" ht="22.9" customHeight="1" x14ac:dyDescent="0.3">
      <c r="A85" s="18" t="s">
        <v>439</v>
      </c>
      <c r="B85" s="21">
        <f>ROUNDDOWN(SUMIF(J48:J84,"1",B48:B84),0)</f>
        <v>2387</v>
      </c>
      <c r="C85" s="21">
        <f>ROUNDDOWN(SUMIF(J48:J84,"1",C48:C84),0)</f>
        <v>4255</v>
      </c>
      <c r="D85" s="21">
        <f>ROUNDDOWN(SUMIF(J48:J84,"1",D48:D84),0)</f>
        <v>1560</v>
      </c>
      <c r="E85" s="21">
        <f>B85+C85+D85</f>
        <v>8202</v>
      </c>
      <c r="F85" s="21"/>
    </row>
    <row r="86" spans="1:15" ht="22.9" customHeight="1" x14ac:dyDescent="0.3">
      <c r="A86" s="15"/>
      <c r="B86" s="17"/>
      <c r="C86" s="17"/>
      <c r="D86" s="17"/>
      <c r="E86" s="17"/>
      <c r="F86" s="17"/>
    </row>
    <row r="87" spans="1:15" ht="22.9" customHeight="1" x14ac:dyDescent="0.3">
      <c r="A87" s="76" t="s">
        <v>149</v>
      </c>
      <c r="B87" s="77"/>
      <c r="C87" s="77"/>
      <c r="D87" s="77"/>
      <c r="E87" s="77"/>
      <c r="F87" s="26"/>
    </row>
    <row r="88" spans="1:15" ht="22.9" customHeight="1" x14ac:dyDescent="0.3">
      <c r="A88" s="15" t="s">
        <v>164</v>
      </c>
      <c r="B88" s="17"/>
      <c r="C88" s="17"/>
      <c r="D88" s="17"/>
      <c r="E88" s="17"/>
      <c r="F88" s="25" t="s">
        <v>423</v>
      </c>
      <c r="J88" s="1">
        <v>0</v>
      </c>
      <c r="L88" s="1">
        <v>1</v>
      </c>
      <c r="M88" s="1">
        <f>중기경비목록!G10</f>
        <v>23449</v>
      </c>
      <c r="N88" s="1">
        <f>중기경비목록!I10</f>
        <v>59020</v>
      </c>
      <c r="O88" s="1">
        <f>중기경비목록!K10</f>
        <v>24554</v>
      </c>
    </row>
    <row r="89" spans="1:15" ht="22.9" customHeight="1" x14ac:dyDescent="0.3">
      <c r="A89" s="15" t="str">
        <f>"용량계수 : "&amp;"q9 = "&amp;L89</f>
        <v>용량계수 : q9 = 0.7</v>
      </c>
      <c r="B89" s="17">
        <v>0</v>
      </c>
      <c r="C89" s="17">
        <v>0</v>
      </c>
      <c r="D89" s="17">
        <v>0</v>
      </c>
      <c r="E89" s="17">
        <v>0</v>
      </c>
      <c r="F89" s="17"/>
      <c r="J89" s="1">
        <v>0</v>
      </c>
      <c r="K89" s="1" t="s">
        <v>42</v>
      </c>
      <c r="L89" s="1">
        <v>0.7</v>
      </c>
    </row>
    <row r="90" spans="1:15" ht="22.9" customHeight="1" x14ac:dyDescent="0.3">
      <c r="A90" s="15" t="str">
        <f>"버킷계수 : "&amp;"k = "&amp;L90</f>
        <v>버킷계수 : k = 1.1</v>
      </c>
      <c r="B90" s="17">
        <v>0</v>
      </c>
      <c r="C90" s="17">
        <v>0</v>
      </c>
      <c r="D90" s="17">
        <v>0</v>
      </c>
      <c r="E90" s="17">
        <v>0</v>
      </c>
      <c r="F90" s="17"/>
      <c r="J90" s="1">
        <v>0</v>
      </c>
      <c r="K90" s="1" t="s">
        <v>44</v>
      </c>
      <c r="L90" s="1">
        <v>1.1000000000000001</v>
      </c>
    </row>
    <row r="91" spans="1:15" ht="22.9" customHeight="1" x14ac:dyDescent="0.3">
      <c r="A91" s="15" t="str">
        <f>"토량환산계수 : "&amp;"f = "&amp;L91</f>
        <v>토량환산계수 : f = 0.8</v>
      </c>
      <c r="B91" s="17">
        <v>0</v>
      </c>
      <c r="C91" s="17">
        <v>0</v>
      </c>
      <c r="D91" s="17">
        <v>0</v>
      </c>
      <c r="E91" s="17">
        <v>0</v>
      </c>
      <c r="F91" s="17"/>
      <c r="J91" s="1">
        <v>0</v>
      </c>
      <c r="K91" s="1" t="s">
        <v>53</v>
      </c>
      <c r="L91" s="1">
        <v>0.8</v>
      </c>
    </row>
    <row r="92" spans="1:15" ht="22.9" customHeight="1" x14ac:dyDescent="0.3">
      <c r="A92" s="15" t="str">
        <f>"작업효율 : "&amp;"E = "&amp;L92</f>
        <v>작업효율 : E = 0.85</v>
      </c>
      <c r="B92" s="17">
        <v>0</v>
      </c>
      <c r="C92" s="17">
        <v>0</v>
      </c>
      <c r="D92" s="17">
        <v>0</v>
      </c>
      <c r="E92" s="17">
        <v>0</v>
      </c>
      <c r="F92" s="17"/>
      <c r="J92" s="1">
        <v>0</v>
      </c>
      <c r="K92" s="1" t="s">
        <v>23</v>
      </c>
      <c r="L92" s="1">
        <v>0.85</v>
      </c>
    </row>
    <row r="93" spans="1:15" ht="22.9" customHeight="1" x14ac:dyDescent="0.3">
      <c r="A93" s="15" t="str">
        <f>"1회 사이클 시간 : "&amp;"Cm = "&amp;L93</f>
        <v>1회 사이클 시간 : Cm = 18</v>
      </c>
      <c r="B93" s="17">
        <v>0</v>
      </c>
      <c r="C93" s="17">
        <v>0</v>
      </c>
      <c r="D93" s="17">
        <v>0</v>
      </c>
      <c r="E93" s="17">
        <v>0</v>
      </c>
      <c r="F93" s="17"/>
      <c r="J93" s="1">
        <v>0</v>
      </c>
      <c r="K93" s="1" t="s">
        <v>85</v>
      </c>
      <c r="L93" s="1">
        <v>18</v>
      </c>
    </row>
    <row r="94" spans="1:15" ht="22.9" customHeight="1" x14ac:dyDescent="0.3">
      <c r="A94" s="15" t="str">
        <f>"시간당작업량 : "&amp;"Q = (3600*q9*k*f*E)/Cm = "&amp;L94</f>
        <v>시간당작업량 : Q = (3600*q9*k*f*E)/Cm = 104.72</v>
      </c>
      <c r="B94" s="17">
        <v>0</v>
      </c>
      <c r="C94" s="17">
        <v>0</v>
      </c>
      <c r="D94" s="17">
        <v>0</v>
      </c>
      <c r="E94" s="17">
        <v>0</v>
      </c>
      <c r="F94" s="17"/>
      <c r="J94" s="1">
        <v>0</v>
      </c>
      <c r="K94" s="1" t="s">
        <v>66</v>
      </c>
      <c r="L94" s="1">
        <f>ROUNDDOWN((3600*L89*L90*L91*L92)/L93,7)</f>
        <v>104.72</v>
      </c>
    </row>
    <row r="95" spans="1:15" ht="22.9" customHeight="1" x14ac:dyDescent="0.3">
      <c r="A95" s="15" t="str">
        <f>"재료비 : "&amp;TEXT(TRUNC(M95,0),"#,##0")&amp;" / 104.72"</f>
        <v>재료비 : 23,449 / 104.72</v>
      </c>
      <c r="B95" s="17">
        <f>ROUNDDOWN(M88/L94,1)</f>
        <v>223.9</v>
      </c>
      <c r="C95" s="17">
        <v>0</v>
      </c>
      <c r="D95" s="17">
        <v>0</v>
      </c>
      <c r="E95" s="17">
        <f>B95+C95+D95</f>
        <v>223.9</v>
      </c>
      <c r="F95" s="17"/>
      <c r="I95" s="2" t="s">
        <v>438</v>
      </c>
      <c r="J95" s="1">
        <v>1</v>
      </c>
      <c r="L95" s="1">
        <v>0</v>
      </c>
      <c r="M95" s="1">
        <f>M88</f>
        <v>23449</v>
      </c>
    </row>
    <row r="96" spans="1:15" ht="22.9" customHeight="1" x14ac:dyDescent="0.3">
      <c r="A96" s="15" t="str">
        <f>"노무비 : "&amp;TEXT(TRUNC(N96,0),"#,##0")&amp;" / 104.72"</f>
        <v>노무비 : 59,020 / 104.72</v>
      </c>
      <c r="B96" s="17">
        <v>0</v>
      </c>
      <c r="C96" s="17">
        <f>ROUNDDOWN(N88/L94,1)</f>
        <v>563.5</v>
      </c>
      <c r="D96" s="17">
        <v>0</v>
      </c>
      <c r="E96" s="17">
        <f>B96+C96+D96</f>
        <v>563.5</v>
      </c>
      <c r="F96" s="17"/>
      <c r="I96" s="2" t="s">
        <v>438</v>
      </c>
      <c r="J96" s="1">
        <v>1</v>
      </c>
      <c r="L96" s="1">
        <v>0</v>
      </c>
      <c r="N96" s="1">
        <f>N88</f>
        <v>59020</v>
      </c>
    </row>
    <row r="97" spans="1:15" ht="22.9" customHeight="1" x14ac:dyDescent="0.3">
      <c r="A97" s="15" t="str">
        <f>"경  비 : "&amp;TEXT(TRUNC(O97,0),"#,##0")&amp;" / 104.72"</f>
        <v>경  비 : 24,554 / 104.72</v>
      </c>
      <c r="B97" s="17">
        <v>0</v>
      </c>
      <c r="C97" s="17">
        <v>0</v>
      </c>
      <c r="D97" s="17">
        <f>ROUNDDOWN(O88/L94,1)</f>
        <v>234.4</v>
      </c>
      <c r="E97" s="17">
        <f>B97+C97+D97</f>
        <v>234.4</v>
      </c>
      <c r="F97" s="17"/>
      <c r="I97" s="2" t="s">
        <v>438</v>
      </c>
      <c r="J97" s="1">
        <v>1</v>
      </c>
      <c r="L97" s="1">
        <v>0</v>
      </c>
      <c r="O97" s="1">
        <f>O88</f>
        <v>24554</v>
      </c>
    </row>
    <row r="98" spans="1:15" ht="22.9" customHeight="1" x14ac:dyDescent="0.3">
      <c r="A98" s="15" t="s">
        <v>429</v>
      </c>
      <c r="B98" s="17">
        <f>SUMIF(J88:J97,"1",B88:B97)</f>
        <v>223.9</v>
      </c>
      <c r="C98" s="17">
        <f>SUMIF(J88:J97,"1",C88:C97)</f>
        <v>563.5</v>
      </c>
      <c r="D98" s="17">
        <f>SUMIF(J88:J97,"1",D88:D97)</f>
        <v>234.4</v>
      </c>
      <c r="E98" s="17">
        <f>B98+C98+D98</f>
        <v>1021.8</v>
      </c>
      <c r="F98" s="17"/>
      <c r="J98" s="1">
        <v>0</v>
      </c>
      <c r="L98" s="1">
        <v>0</v>
      </c>
    </row>
    <row r="99" spans="1:15" ht="22.9" customHeight="1" x14ac:dyDescent="0.3">
      <c r="A99" s="18" t="s">
        <v>439</v>
      </c>
      <c r="B99" s="21">
        <f>ROUNDDOWN(SUMIF(J88:J98,"1",B88:B98),0)</f>
        <v>223</v>
      </c>
      <c r="C99" s="21">
        <f>ROUNDDOWN(SUMIF(J88:J98,"1",C88:C98),0)</f>
        <v>563</v>
      </c>
      <c r="D99" s="21">
        <f>ROUNDDOWN(SUMIF(J88:J98,"1",D88:D98),0)</f>
        <v>234</v>
      </c>
      <c r="E99" s="21">
        <f>B99+C99+D99</f>
        <v>1020</v>
      </c>
      <c r="F99" s="21"/>
    </row>
    <row r="100" spans="1:15" ht="22.9" customHeight="1" x14ac:dyDescent="0.3">
      <c r="A100" s="15"/>
      <c r="B100" s="17"/>
      <c r="C100" s="17"/>
      <c r="D100" s="17"/>
      <c r="E100" s="17"/>
      <c r="F100" s="17"/>
    </row>
    <row r="101" spans="1:15" ht="22.9" customHeight="1" x14ac:dyDescent="0.3">
      <c r="A101" s="76" t="s">
        <v>146</v>
      </c>
      <c r="B101" s="77"/>
      <c r="C101" s="77"/>
      <c r="D101" s="77"/>
      <c r="E101" s="77"/>
      <c r="F101" s="24" t="s">
        <v>218</v>
      </c>
    </row>
    <row r="102" spans="1:15" ht="22.9" customHeight="1" x14ac:dyDescent="0.3">
      <c r="A102" s="15" t="str">
        <f>"상하차시간 : "&amp;"t = "&amp;L102</f>
        <v>상하차시간 : t = 206</v>
      </c>
      <c r="B102" s="17">
        <v>0</v>
      </c>
      <c r="C102" s="17">
        <v>0</v>
      </c>
      <c r="D102" s="17">
        <v>0</v>
      </c>
      <c r="E102" s="17">
        <v>0</v>
      </c>
      <c r="F102" s="17"/>
      <c r="J102" s="1">
        <v>0</v>
      </c>
      <c r="K102" s="1" t="s">
        <v>72</v>
      </c>
      <c r="L102" s="1">
        <v>206</v>
      </c>
    </row>
    <row r="103" spans="1:15" ht="22.9" customHeight="1" x14ac:dyDescent="0.3">
      <c r="A103" s="15" t="str">
        <f>"시간당작업량(주/hr) : "&amp;"Q = 3600/t = "&amp;L103</f>
        <v>시간당작업량(주/hr) : Q = 3600/t = 17.4757281</v>
      </c>
      <c r="B103" s="17">
        <v>0</v>
      </c>
      <c r="C103" s="17">
        <v>0</v>
      </c>
      <c r="D103" s="17">
        <v>0</v>
      </c>
      <c r="E103" s="17">
        <v>0</v>
      </c>
      <c r="F103" s="17"/>
      <c r="J103" s="1">
        <v>0</v>
      </c>
      <c r="K103" s="1" t="s">
        <v>66</v>
      </c>
      <c r="L103" s="1">
        <f>ROUNDDOWN(3600/L102,7)</f>
        <v>17.475728100000001</v>
      </c>
    </row>
    <row r="104" spans="1:15" ht="22.9" customHeight="1" x14ac:dyDescent="0.3">
      <c r="A104" s="15" t="str">
        <f>"보통인부 일반공사 직종 인  "&amp;TEXT(TRUNC(N104,0),"#,##0")&amp;" * (1/8/17.4757281)"</f>
        <v>보통인부 일반공사 직종 인  172,068 * (1/8/17.4757281)</v>
      </c>
      <c r="B104" s="17">
        <v>0</v>
      </c>
      <c r="C104" s="17">
        <f>ROUNDDOWN(L104*N104,1)</f>
        <v>1230.7</v>
      </c>
      <c r="D104" s="17">
        <v>0</v>
      </c>
      <c r="E104" s="17">
        <f>B104+C104+D104</f>
        <v>1230.7</v>
      </c>
      <c r="F104" s="17"/>
      <c r="H104" s="2" t="s">
        <v>52</v>
      </c>
      <c r="I104" s="2" t="s">
        <v>438</v>
      </c>
      <c r="J104" s="1">
        <v>1</v>
      </c>
      <c r="L104" s="1">
        <f>ROUNDDOWN(1/8/L103,7)</f>
        <v>7.1526999999999997E-3</v>
      </c>
      <c r="M104" s="1">
        <v>0</v>
      </c>
      <c r="N104" s="1">
        <f>단가대비표!O28</f>
        <v>172068</v>
      </c>
      <c r="O104" s="1">
        <v>0</v>
      </c>
    </row>
    <row r="105" spans="1:15" ht="22.9" customHeight="1" x14ac:dyDescent="0.3">
      <c r="A105" s="15" t="s">
        <v>429</v>
      </c>
      <c r="B105" s="17">
        <v>0</v>
      </c>
      <c r="C105" s="17">
        <f>SUMIF(J102:J104,"1",C102:C104)</f>
        <v>1230.7</v>
      </c>
      <c r="D105" s="17">
        <v>0</v>
      </c>
      <c r="E105" s="17">
        <f>B105+C105+D105</f>
        <v>1230.7</v>
      </c>
      <c r="F105" s="17"/>
      <c r="J105" s="1">
        <v>0</v>
      </c>
      <c r="L105" s="1">
        <v>0</v>
      </c>
    </row>
    <row r="106" spans="1:15" ht="22.9" customHeight="1" x14ac:dyDescent="0.3">
      <c r="A106" s="18" t="s">
        <v>439</v>
      </c>
      <c r="B106" s="21">
        <f>ROUNDDOWN(SUMIF(J102:J105,"1",B102:B105),0)</f>
        <v>0</v>
      </c>
      <c r="C106" s="21">
        <f>ROUNDDOWN(SUMIF(J102:J105,"1",C102:C105),0)</f>
        <v>1230</v>
      </c>
      <c r="D106" s="21">
        <f>ROUNDDOWN(SUMIF(J102:J105,"1",D102:D105),0)</f>
        <v>0</v>
      </c>
      <c r="E106" s="21">
        <f>B106+C106+D106</f>
        <v>1230</v>
      </c>
      <c r="F106" s="21"/>
    </row>
    <row r="107" spans="1:15" ht="22.9" customHeight="1" x14ac:dyDescent="0.3">
      <c r="A107" s="15"/>
      <c r="B107" s="17"/>
      <c r="C107" s="17"/>
      <c r="D107" s="17"/>
      <c r="E107" s="17"/>
      <c r="F107" s="17"/>
    </row>
    <row r="108" spans="1:15" ht="22.9" customHeight="1" x14ac:dyDescent="0.3">
      <c r="A108" s="15"/>
      <c r="B108" s="17"/>
      <c r="C108" s="17"/>
      <c r="D108" s="17"/>
      <c r="E108" s="17"/>
      <c r="F108" s="17"/>
    </row>
    <row r="109" spans="1:15" ht="22.9" customHeight="1" x14ac:dyDescent="0.3">
      <c r="A109" s="15"/>
      <c r="B109" s="17"/>
      <c r="C109" s="17"/>
      <c r="D109" s="17"/>
      <c r="E109" s="17"/>
      <c r="F109" s="17"/>
    </row>
    <row r="110" spans="1:15" ht="22.9" customHeight="1" x14ac:dyDescent="0.3">
      <c r="A110" s="15"/>
      <c r="B110" s="17"/>
      <c r="C110" s="17"/>
      <c r="D110" s="17"/>
      <c r="E110" s="17"/>
      <c r="F110" s="17"/>
    </row>
    <row r="111" spans="1:15" ht="22.9" customHeight="1" x14ac:dyDescent="0.3">
      <c r="A111" s="15"/>
      <c r="B111" s="17"/>
      <c r="C111" s="17"/>
      <c r="D111" s="17"/>
      <c r="E111" s="17"/>
      <c r="F111" s="17"/>
    </row>
    <row r="112" spans="1:15" ht="22.9" customHeight="1" x14ac:dyDescent="0.3">
      <c r="A112" s="15"/>
      <c r="B112" s="17"/>
      <c r="C112" s="17"/>
      <c r="D112" s="17"/>
      <c r="E112" s="17"/>
      <c r="F112" s="17"/>
    </row>
    <row r="113" spans="1:6" ht="22.9" customHeight="1" x14ac:dyDescent="0.3">
      <c r="A113" s="15"/>
      <c r="B113" s="17"/>
      <c r="C113" s="17"/>
      <c r="D113" s="17"/>
      <c r="E113" s="17"/>
      <c r="F113" s="17"/>
    </row>
    <row r="114" spans="1:6" ht="22.9" customHeight="1" x14ac:dyDescent="0.3">
      <c r="A114" s="15"/>
      <c r="B114" s="17"/>
      <c r="C114" s="17"/>
      <c r="D114" s="17"/>
      <c r="E114" s="17"/>
      <c r="F114" s="17"/>
    </row>
    <row r="115" spans="1:6" ht="22.9" customHeight="1" x14ac:dyDescent="0.3">
      <c r="A115" s="15"/>
      <c r="B115" s="17"/>
      <c r="C115" s="17"/>
      <c r="D115" s="17"/>
      <c r="E115" s="17"/>
      <c r="F115" s="17"/>
    </row>
    <row r="116" spans="1:6" ht="22.9" customHeight="1" x14ac:dyDescent="0.3">
      <c r="A116" s="15"/>
      <c r="B116" s="17"/>
      <c r="C116" s="17"/>
      <c r="D116" s="17"/>
      <c r="E116" s="17"/>
      <c r="F116" s="17"/>
    </row>
  </sheetData>
  <mergeCells count="13">
    <mergeCell ref="A1:F1"/>
    <mergeCell ref="A2:F2"/>
    <mergeCell ref="A3:A4"/>
    <mergeCell ref="F3:F4"/>
    <mergeCell ref="B3:B4"/>
    <mergeCell ref="C3:C4"/>
    <mergeCell ref="D3:D4"/>
    <mergeCell ref="E3:E4"/>
    <mergeCell ref="A5:E5"/>
    <mergeCell ref="A19:E19"/>
    <mergeCell ref="A47:E47"/>
    <mergeCell ref="A87:E87"/>
    <mergeCell ref="A101:E101"/>
  </mergeCells>
  <phoneticPr fontId="12" type="noConversion"/>
  <conditionalFormatting sqref="A5 F5 A6:F116">
    <cfRule type="containsText" dxfId="11" priority="1" stopIfTrue="1" operator="containsText" text=".">
      <formula>NOT(ISERROR(SEARCH(".",A5)))</formula>
    </cfRule>
    <cfRule type="containsText" dxfId="10" priority="2" stopIfTrue="1" operator="containsText" text=".">
      <formula>ISERROR(SEARCH(".",A5))</formula>
    </cfRule>
  </conditionalFormatting>
  <pageMargins left="0.74763888120651245" right="0" top="0.55097222328186035" bottom="0.15722222626209259" header="0.31486111879348755" footer="0.15722222626209259"/>
  <pageSetup paperSize="9" scale="95" orientation="landscape"/>
  <rowBreaks count="7" manualBreakCount="7">
    <brk id="20" max="1048575" man="1"/>
    <brk id="36" max="1048575" man="1"/>
    <brk id="52" max="1048575" man="1"/>
    <brk id="68" max="1048575" man="1"/>
    <brk id="84" max="1048575" man="1"/>
    <brk id="100" max="1048575" man="1"/>
    <brk id="116" max="1048575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>
    <tabColor rgb="FFF19D86"/>
  </sheetPr>
  <dimension ref="A1:R20"/>
  <sheetViews>
    <sheetView zoomScaleNormal="100" zoomScaleSheetLayoutView="75" workbookViewId="0">
      <pane xSplit="4" ySplit="4" topLeftCell="E5" activePane="bottomRight" state="frozen"/>
      <selection pane="topRight"/>
      <selection pane="bottomLeft"/>
      <selection pane="bottomRight" sqref="A1:N1"/>
    </sheetView>
  </sheetViews>
  <sheetFormatPr defaultColWidth="9" defaultRowHeight="16.5" x14ac:dyDescent="0.3"/>
  <cols>
    <col min="1" max="1" width="6.75" style="4" customWidth="1"/>
    <col min="2" max="3" width="20.75" style="3" customWidth="1"/>
    <col min="4" max="4" width="4.75" style="4" customWidth="1"/>
    <col min="5" max="5" width="6.75" style="4" customWidth="1"/>
    <col min="6" max="6" width="6.75" style="5" customWidth="1"/>
    <col min="7" max="7" width="7.75" style="5" customWidth="1"/>
    <col min="8" max="8" width="6.75" style="5" customWidth="1"/>
    <col min="9" max="9" width="7.75" style="5" customWidth="1"/>
    <col min="10" max="10" width="6.75" style="5" customWidth="1"/>
    <col min="11" max="11" width="7.75" style="5" customWidth="1"/>
    <col min="12" max="12" width="6.75" style="5" customWidth="1"/>
    <col min="13" max="13" width="7.75" style="5" customWidth="1"/>
    <col min="14" max="14" width="6.75" style="3" customWidth="1"/>
    <col min="15" max="18" width="0" style="1" hidden="1" customWidth="1"/>
  </cols>
  <sheetData>
    <row r="1" spans="1:15" ht="30" customHeight="1" x14ac:dyDescent="0.3">
      <c r="A1" s="68" t="s">
        <v>190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</row>
    <row r="2" spans="1:15" ht="22.9" customHeight="1" x14ac:dyDescent="0.3">
      <c r="A2" s="69" t="s">
        <v>308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5" ht="22.9" customHeight="1" x14ac:dyDescent="0.3">
      <c r="A3" s="56" t="s">
        <v>35</v>
      </c>
      <c r="B3" s="56" t="s">
        <v>376</v>
      </c>
      <c r="C3" s="56" t="s">
        <v>372</v>
      </c>
      <c r="D3" s="56" t="s">
        <v>3</v>
      </c>
      <c r="E3" s="56" t="s">
        <v>50</v>
      </c>
      <c r="F3" s="56" t="s">
        <v>446</v>
      </c>
      <c r="G3" s="56"/>
      <c r="H3" s="56" t="s">
        <v>422</v>
      </c>
      <c r="I3" s="56"/>
      <c r="J3" s="56" t="s">
        <v>442</v>
      </c>
      <c r="K3" s="56"/>
      <c r="L3" s="56" t="s">
        <v>431</v>
      </c>
      <c r="M3" s="56"/>
      <c r="N3" s="56" t="s">
        <v>424</v>
      </c>
    </row>
    <row r="4" spans="1:15" ht="22.9" customHeight="1" x14ac:dyDescent="0.3">
      <c r="A4" s="56"/>
      <c r="B4" s="56"/>
      <c r="C4" s="56"/>
      <c r="D4" s="56"/>
      <c r="E4" s="56"/>
      <c r="F4" s="12" t="s">
        <v>432</v>
      </c>
      <c r="G4" s="12" t="s">
        <v>435</v>
      </c>
      <c r="H4" s="12" t="s">
        <v>432</v>
      </c>
      <c r="I4" s="12" t="s">
        <v>435</v>
      </c>
      <c r="J4" s="12" t="s">
        <v>432</v>
      </c>
      <c r="K4" s="12" t="s">
        <v>435</v>
      </c>
      <c r="L4" s="12" t="s">
        <v>432</v>
      </c>
      <c r="M4" s="12" t="s">
        <v>435</v>
      </c>
      <c r="N4" s="56"/>
      <c r="O4" s="1" t="s">
        <v>7</v>
      </c>
    </row>
    <row r="5" spans="1:15" ht="22.9" customHeight="1" x14ac:dyDescent="0.3">
      <c r="A5" s="16" t="s">
        <v>436</v>
      </c>
      <c r="B5" s="14" t="s">
        <v>199</v>
      </c>
      <c r="C5" s="14" t="s">
        <v>444</v>
      </c>
      <c r="D5" s="16" t="s">
        <v>34</v>
      </c>
      <c r="E5" s="22">
        <v>1</v>
      </c>
      <c r="F5" s="17">
        <f>중기경비!F9</f>
        <v>0</v>
      </c>
      <c r="G5" s="17">
        <f t="shared" ref="G5:G17" si="0">E5*F5</f>
        <v>0</v>
      </c>
      <c r="H5" s="17">
        <f>중기경비!H9</f>
        <v>0</v>
      </c>
      <c r="I5" s="17">
        <f t="shared" ref="I5:I17" si="1">E5*H5</f>
        <v>0</v>
      </c>
      <c r="J5" s="17">
        <f>중기경비!J9</f>
        <v>343</v>
      </c>
      <c r="K5" s="17">
        <f t="shared" ref="K5:K17" si="2">E5*J5</f>
        <v>343</v>
      </c>
      <c r="L5" s="17">
        <f t="shared" ref="L5:L17" si="3">F5+H5+J5</f>
        <v>343</v>
      </c>
      <c r="M5" s="17">
        <f t="shared" ref="M5:M17" si="4">G5+I5+K5</f>
        <v>343</v>
      </c>
      <c r="N5" s="14" t="s">
        <v>212</v>
      </c>
    </row>
    <row r="6" spans="1:15" ht="22.9" customHeight="1" x14ac:dyDescent="0.3">
      <c r="A6" s="16" t="s">
        <v>437</v>
      </c>
      <c r="B6" s="14" t="s">
        <v>193</v>
      </c>
      <c r="C6" s="14" t="s">
        <v>440</v>
      </c>
      <c r="D6" s="16" t="s">
        <v>34</v>
      </c>
      <c r="E6" s="22">
        <v>1</v>
      </c>
      <c r="F6" s="17">
        <f>중기경비!F22</f>
        <v>10024</v>
      </c>
      <c r="G6" s="17">
        <f t="shared" si="0"/>
        <v>10024</v>
      </c>
      <c r="H6" s="17">
        <f>중기경비!H22</f>
        <v>59020</v>
      </c>
      <c r="I6" s="17">
        <f t="shared" si="1"/>
        <v>59020</v>
      </c>
      <c r="J6" s="17">
        <f>중기경비!J22</f>
        <v>13873</v>
      </c>
      <c r="K6" s="17">
        <f t="shared" si="2"/>
        <v>13873</v>
      </c>
      <c r="L6" s="17">
        <f t="shared" si="3"/>
        <v>82917</v>
      </c>
      <c r="M6" s="17">
        <f t="shared" si="4"/>
        <v>82917</v>
      </c>
      <c r="N6" s="14" t="s">
        <v>158</v>
      </c>
    </row>
    <row r="7" spans="1:15" ht="22.9" customHeight="1" x14ac:dyDescent="0.3">
      <c r="A7" s="16" t="s">
        <v>425</v>
      </c>
      <c r="B7" s="14" t="s">
        <v>200</v>
      </c>
      <c r="C7" s="14" t="s">
        <v>448</v>
      </c>
      <c r="D7" s="16" t="s">
        <v>34</v>
      </c>
      <c r="E7" s="22">
        <v>1</v>
      </c>
      <c r="F7" s="17">
        <f>중기경비!F35</f>
        <v>12437</v>
      </c>
      <c r="G7" s="17">
        <f t="shared" si="0"/>
        <v>12437</v>
      </c>
      <c r="H7" s="17">
        <f>중기경비!H35</f>
        <v>59020</v>
      </c>
      <c r="I7" s="17">
        <f t="shared" si="1"/>
        <v>59020</v>
      </c>
      <c r="J7" s="17">
        <f>중기경비!J35</f>
        <v>53629</v>
      </c>
      <c r="K7" s="17">
        <f t="shared" si="2"/>
        <v>53629</v>
      </c>
      <c r="L7" s="17">
        <f t="shared" si="3"/>
        <v>125086</v>
      </c>
      <c r="M7" s="17">
        <f t="shared" si="4"/>
        <v>125086</v>
      </c>
      <c r="N7" s="14" t="s">
        <v>173</v>
      </c>
    </row>
    <row r="8" spans="1:15" ht="22.9" customHeight="1" x14ac:dyDescent="0.3">
      <c r="A8" s="16" t="s">
        <v>449</v>
      </c>
      <c r="B8" s="14" t="s">
        <v>198</v>
      </c>
      <c r="C8" s="14" t="s">
        <v>418</v>
      </c>
      <c r="D8" s="16" t="s">
        <v>34</v>
      </c>
      <c r="E8" s="22">
        <v>1</v>
      </c>
      <c r="F8" s="17">
        <f>중기경비!F48</f>
        <v>20033</v>
      </c>
      <c r="G8" s="17">
        <f t="shared" si="0"/>
        <v>20033</v>
      </c>
      <c r="H8" s="17">
        <f>중기경비!H48</f>
        <v>49778</v>
      </c>
      <c r="I8" s="17">
        <f t="shared" si="1"/>
        <v>49778</v>
      </c>
      <c r="J8" s="17">
        <f>중기경비!J48</f>
        <v>9986</v>
      </c>
      <c r="K8" s="17">
        <f t="shared" si="2"/>
        <v>9986</v>
      </c>
      <c r="L8" s="17">
        <f t="shared" si="3"/>
        <v>79797</v>
      </c>
      <c r="M8" s="17">
        <f t="shared" si="4"/>
        <v>79797</v>
      </c>
      <c r="N8" s="14" t="s">
        <v>175</v>
      </c>
    </row>
    <row r="9" spans="1:15" ht="22.9" customHeight="1" x14ac:dyDescent="0.3">
      <c r="A9" s="16" t="s">
        <v>419</v>
      </c>
      <c r="B9" s="14" t="s">
        <v>211</v>
      </c>
      <c r="C9" s="14" t="s">
        <v>420</v>
      </c>
      <c r="D9" s="16" t="s">
        <v>34</v>
      </c>
      <c r="E9" s="22">
        <v>1</v>
      </c>
      <c r="F9" s="17">
        <f>중기경비!F61</f>
        <v>4119</v>
      </c>
      <c r="G9" s="17">
        <f t="shared" si="0"/>
        <v>4119</v>
      </c>
      <c r="H9" s="17">
        <f>중기경비!H61</f>
        <v>36248</v>
      </c>
      <c r="I9" s="17">
        <f t="shared" si="1"/>
        <v>36248</v>
      </c>
      <c r="J9" s="17">
        <f>중기경비!J61</f>
        <v>1967</v>
      </c>
      <c r="K9" s="17">
        <f t="shared" si="2"/>
        <v>1967</v>
      </c>
      <c r="L9" s="17">
        <f t="shared" si="3"/>
        <v>42334</v>
      </c>
      <c r="M9" s="17">
        <f t="shared" si="4"/>
        <v>42334</v>
      </c>
      <c r="N9" s="14" t="s">
        <v>174</v>
      </c>
    </row>
    <row r="10" spans="1:15" ht="22.9" customHeight="1" x14ac:dyDescent="0.3">
      <c r="A10" s="16" t="s">
        <v>423</v>
      </c>
      <c r="B10" s="14" t="s">
        <v>193</v>
      </c>
      <c r="C10" s="14" t="s">
        <v>460</v>
      </c>
      <c r="D10" s="16" t="s">
        <v>34</v>
      </c>
      <c r="E10" s="22">
        <v>1</v>
      </c>
      <c r="F10" s="17">
        <f>중기경비!F74</f>
        <v>23449</v>
      </c>
      <c r="G10" s="17">
        <f t="shared" si="0"/>
        <v>23449</v>
      </c>
      <c r="H10" s="17">
        <f>중기경비!H74</f>
        <v>59020</v>
      </c>
      <c r="I10" s="17">
        <f t="shared" si="1"/>
        <v>59020</v>
      </c>
      <c r="J10" s="17">
        <f>중기경비!J74</f>
        <v>24554</v>
      </c>
      <c r="K10" s="17">
        <f t="shared" si="2"/>
        <v>24554</v>
      </c>
      <c r="L10" s="17">
        <f t="shared" si="3"/>
        <v>107023</v>
      </c>
      <c r="M10" s="17">
        <f t="shared" si="4"/>
        <v>107023</v>
      </c>
      <c r="N10" s="14" t="s">
        <v>158</v>
      </c>
    </row>
    <row r="11" spans="1:15" ht="22.9" customHeight="1" x14ac:dyDescent="0.3">
      <c r="A11" s="16" t="s">
        <v>469</v>
      </c>
      <c r="B11" s="14" t="s">
        <v>194</v>
      </c>
      <c r="C11" s="14" t="s">
        <v>207</v>
      </c>
      <c r="D11" s="16" t="s">
        <v>34</v>
      </c>
      <c r="E11" s="22">
        <v>1</v>
      </c>
      <c r="F11" s="17">
        <f>중기경비!F87</f>
        <v>11532</v>
      </c>
      <c r="G11" s="17">
        <f t="shared" si="0"/>
        <v>11532</v>
      </c>
      <c r="H11" s="17">
        <f>중기경비!H87</f>
        <v>59020</v>
      </c>
      <c r="I11" s="17">
        <f t="shared" si="1"/>
        <v>59020</v>
      </c>
      <c r="J11" s="17">
        <f>중기경비!J87</f>
        <v>14120</v>
      </c>
      <c r="K11" s="17">
        <f t="shared" si="2"/>
        <v>14120</v>
      </c>
      <c r="L11" s="17">
        <f t="shared" si="3"/>
        <v>84672</v>
      </c>
      <c r="M11" s="17">
        <f t="shared" si="4"/>
        <v>84672</v>
      </c>
      <c r="N11" s="14" t="s">
        <v>178</v>
      </c>
    </row>
    <row r="12" spans="1:15" ht="22.9" customHeight="1" x14ac:dyDescent="0.3">
      <c r="A12" s="16" t="s">
        <v>473</v>
      </c>
      <c r="B12" s="14" t="s">
        <v>399</v>
      </c>
      <c r="C12" s="14" t="s">
        <v>451</v>
      </c>
      <c r="D12" s="16" t="s">
        <v>34</v>
      </c>
      <c r="E12" s="22">
        <v>1</v>
      </c>
      <c r="F12" s="17">
        <f>중기경비!F100</f>
        <v>36357</v>
      </c>
      <c r="G12" s="17">
        <f t="shared" si="0"/>
        <v>36357</v>
      </c>
      <c r="H12" s="17">
        <f>중기경비!H100</f>
        <v>59020</v>
      </c>
      <c r="I12" s="17">
        <f t="shared" si="1"/>
        <v>59020</v>
      </c>
      <c r="J12" s="17">
        <f>중기경비!J100</f>
        <v>20659</v>
      </c>
      <c r="K12" s="17">
        <f t="shared" si="2"/>
        <v>20659</v>
      </c>
      <c r="L12" s="17">
        <f t="shared" si="3"/>
        <v>116036</v>
      </c>
      <c r="M12" s="17">
        <f t="shared" si="4"/>
        <v>116036</v>
      </c>
      <c r="N12" s="14" t="s">
        <v>156</v>
      </c>
    </row>
    <row r="13" spans="1:15" ht="22.9" customHeight="1" x14ac:dyDescent="0.3">
      <c r="A13" s="16" t="s">
        <v>478</v>
      </c>
      <c r="B13" s="14" t="s">
        <v>51</v>
      </c>
      <c r="C13" s="14" t="s">
        <v>30</v>
      </c>
      <c r="D13" s="16" t="s">
        <v>34</v>
      </c>
      <c r="E13" s="22">
        <v>1</v>
      </c>
      <c r="F13" s="17">
        <f>중기경비!F106</f>
        <v>0</v>
      </c>
      <c r="G13" s="17">
        <f t="shared" si="0"/>
        <v>0</v>
      </c>
      <c r="H13" s="17">
        <f>중기경비!H106</f>
        <v>0</v>
      </c>
      <c r="I13" s="17">
        <f t="shared" si="1"/>
        <v>0</v>
      </c>
      <c r="J13" s="17">
        <f>중기경비!J106</f>
        <v>481</v>
      </c>
      <c r="K13" s="17">
        <f t="shared" si="2"/>
        <v>481</v>
      </c>
      <c r="L13" s="17">
        <f t="shared" si="3"/>
        <v>481</v>
      </c>
      <c r="M13" s="17">
        <f t="shared" si="4"/>
        <v>481</v>
      </c>
      <c r="N13" s="14" t="s">
        <v>223</v>
      </c>
    </row>
    <row r="14" spans="1:15" ht="22.9" customHeight="1" x14ac:dyDescent="0.3">
      <c r="A14" s="16" t="s">
        <v>464</v>
      </c>
      <c r="B14" s="14" t="s">
        <v>195</v>
      </c>
      <c r="C14" s="14" t="s">
        <v>466</v>
      </c>
      <c r="D14" s="16" t="s">
        <v>34</v>
      </c>
      <c r="E14" s="22">
        <v>1</v>
      </c>
      <c r="F14" s="17">
        <f>중기경비!F119</f>
        <v>2011</v>
      </c>
      <c r="G14" s="17">
        <f t="shared" si="0"/>
        <v>2011</v>
      </c>
      <c r="H14" s="17">
        <f>중기경비!H119</f>
        <v>36248</v>
      </c>
      <c r="I14" s="17">
        <f t="shared" si="1"/>
        <v>36248</v>
      </c>
      <c r="J14" s="17">
        <f>중기경비!J119</f>
        <v>620</v>
      </c>
      <c r="K14" s="17">
        <f t="shared" si="2"/>
        <v>620</v>
      </c>
      <c r="L14" s="17">
        <f t="shared" si="3"/>
        <v>38879</v>
      </c>
      <c r="M14" s="17">
        <f t="shared" si="4"/>
        <v>38879</v>
      </c>
      <c r="N14" s="14" t="s">
        <v>162</v>
      </c>
    </row>
    <row r="15" spans="1:15" ht="22.9" customHeight="1" x14ac:dyDescent="0.3">
      <c r="A15" s="16" t="s">
        <v>456</v>
      </c>
      <c r="B15" s="14" t="s">
        <v>211</v>
      </c>
      <c r="C15" s="14" t="s">
        <v>236</v>
      </c>
      <c r="D15" s="16" t="s">
        <v>34</v>
      </c>
      <c r="E15" s="22">
        <v>1</v>
      </c>
      <c r="F15" s="17">
        <f>중기경비!F129</f>
        <v>4119</v>
      </c>
      <c r="G15" s="17">
        <f t="shared" si="0"/>
        <v>4119</v>
      </c>
      <c r="H15" s="17">
        <f>중기경비!H129</f>
        <v>0</v>
      </c>
      <c r="I15" s="17">
        <f t="shared" si="1"/>
        <v>0</v>
      </c>
      <c r="J15" s="17">
        <f>중기경비!J129</f>
        <v>1967</v>
      </c>
      <c r="K15" s="17">
        <f t="shared" si="2"/>
        <v>1967</v>
      </c>
      <c r="L15" s="17">
        <f t="shared" si="3"/>
        <v>6086</v>
      </c>
      <c r="M15" s="17">
        <f t="shared" si="4"/>
        <v>6086</v>
      </c>
      <c r="N15" s="14" t="s">
        <v>174</v>
      </c>
    </row>
    <row r="16" spans="1:15" ht="22.9" customHeight="1" x14ac:dyDescent="0.3">
      <c r="A16" s="16" t="s">
        <v>453</v>
      </c>
      <c r="B16" s="14" t="s">
        <v>193</v>
      </c>
      <c r="C16" s="14" t="s">
        <v>461</v>
      </c>
      <c r="D16" s="16" t="s">
        <v>34</v>
      </c>
      <c r="E16" s="22">
        <v>1</v>
      </c>
      <c r="F16" s="17">
        <f>중기경비!F142</f>
        <v>20619</v>
      </c>
      <c r="G16" s="17">
        <f t="shared" si="0"/>
        <v>20619</v>
      </c>
      <c r="H16" s="17">
        <f>중기경비!H142</f>
        <v>59020</v>
      </c>
      <c r="I16" s="17">
        <f t="shared" si="1"/>
        <v>59020</v>
      </c>
      <c r="J16" s="17">
        <f>중기경비!J142</f>
        <v>23423</v>
      </c>
      <c r="K16" s="17">
        <f t="shared" si="2"/>
        <v>23423</v>
      </c>
      <c r="L16" s="17">
        <f t="shared" si="3"/>
        <v>103062</v>
      </c>
      <c r="M16" s="17">
        <f t="shared" si="4"/>
        <v>103062</v>
      </c>
      <c r="N16" s="14" t="s">
        <v>158</v>
      </c>
    </row>
    <row r="17" spans="1:14" ht="22.9" customHeight="1" x14ac:dyDescent="0.3">
      <c r="A17" s="16" t="s">
        <v>454</v>
      </c>
      <c r="B17" s="14" t="s">
        <v>452</v>
      </c>
      <c r="C17" s="14" t="s">
        <v>479</v>
      </c>
      <c r="D17" s="16" t="s">
        <v>34</v>
      </c>
      <c r="E17" s="22">
        <v>1</v>
      </c>
      <c r="F17" s="17">
        <f>중기경비!F156</f>
        <v>37481</v>
      </c>
      <c r="G17" s="17">
        <f t="shared" si="0"/>
        <v>37481</v>
      </c>
      <c r="H17" s="17">
        <f>중기경비!H156</f>
        <v>59020</v>
      </c>
      <c r="I17" s="17">
        <f t="shared" si="1"/>
        <v>59020</v>
      </c>
      <c r="J17" s="17">
        <f>중기경비!J156</f>
        <v>48478</v>
      </c>
      <c r="K17" s="17">
        <f t="shared" si="2"/>
        <v>48478</v>
      </c>
      <c r="L17" s="17">
        <f t="shared" si="3"/>
        <v>144979</v>
      </c>
      <c r="M17" s="17">
        <f t="shared" si="4"/>
        <v>144979</v>
      </c>
      <c r="N17" s="14" t="s">
        <v>235</v>
      </c>
    </row>
    <row r="18" spans="1:14" ht="22.9" customHeight="1" x14ac:dyDescent="0.3">
      <c r="A18" s="22"/>
      <c r="B18" s="15"/>
      <c r="C18" s="15"/>
      <c r="D18" s="22"/>
      <c r="E18" s="22"/>
      <c r="F18" s="17"/>
      <c r="G18" s="17"/>
      <c r="H18" s="17"/>
      <c r="I18" s="17"/>
      <c r="J18" s="17"/>
      <c r="K18" s="17"/>
      <c r="L18" s="17"/>
      <c r="M18" s="17"/>
      <c r="N18" s="15"/>
    </row>
    <row r="19" spans="1:14" ht="22.9" customHeight="1" x14ac:dyDescent="0.3">
      <c r="A19" s="22"/>
      <c r="B19" s="15"/>
      <c r="C19" s="15"/>
      <c r="D19" s="22"/>
      <c r="E19" s="22"/>
      <c r="F19" s="17"/>
      <c r="G19" s="17"/>
      <c r="H19" s="17"/>
      <c r="I19" s="17"/>
      <c r="J19" s="17"/>
      <c r="K19" s="17"/>
      <c r="L19" s="17"/>
      <c r="M19" s="17"/>
      <c r="N19" s="15"/>
    </row>
    <row r="20" spans="1:14" ht="22.9" customHeight="1" x14ac:dyDescent="0.3">
      <c r="A20" s="22"/>
      <c r="B20" s="15"/>
      <c r="C20" s="15"/>
      <c r="D20" s="22"/>
      <c r="E20" s="22"/>
      <c r="F20" s="17"/>
      <c r="G20" s="17"/>
      <c r="H20" s="17"/>
      <c r="I20" s="17"/>
      <c r="J20" s="17"/>
      <c r="K20" s="17"/>
      <c r="L20" s="17"/>
      <c r="M20" s="17"/>
      <c r="N20" s="15"/>
    </row>
  </sheetData>
  <mergeCells count="12">
    <mergeCell ref="J3:K3"/>
    <mergeCell ref="L3:M3"/>
    <mergeCell ref="A1:N1"/>
    <mergeCell ref="A2:N2"/>
    <mergeCell ref="A3:A4"/>
    <mergeCell ref="B3:B4"/>
    <mergeCell ref="C3:C4"/>
    <mergeCell ref="D3:D4"/>
    <mergeCell ref="E3:E4"/>
    <mergeCell ref="N3:N4"/>
    <mergeCell ref="F3:G3"/>
    <mergeCell ref="H3:I3"/>
  </mergeCells>
  <phoneticPr fontId="12" type="noConversion"/>
  <conditionalFormatting sqref="A5:N20">
    <cfRule type="containsText" dxfId="9" priority="1" stopIfTrue="1" operator="containsText" text=".">
      <formula>NOT(ISERROR(SEARCH(".",A5)))</formula>
    </cfRule>
    <cfRule type="containsText" dxfId="8" priority="2" stopIfTrue="1" operator="containsText" text=".">
      <formula>ISERROR(SEARCH(".",A5))</formula>
    </cfRule>
  </conditionalFormatting>
  <pageMargins left="0.74513888359069824" right="0" top="0.54847222566604614" bottom="0.1388888955116272" header="0.30000001192092896" footer="0.1388888955116272"/>
  <pageSetup paperSize="9" orientation="landscape"/>
  <rowBreaks count="1" manualBreakCount="1">
    <brk id="20" max="1048575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>
    <tabColor rgb="FFFFFFB7"/>
  </sheetPr>
  <dimension ref="A1:T164"/>
  <sheetViews>
    <sheetView zoomScaleNormal="100" zoomScaleSheetLayoutView="75" workbookViewId="0">
      <pane xSplit="4" ySplit="4" topLeftCell="E5" activePane="bottomRight" state="frozen"/>
      <selection pane="topRight"/>
      <selection pane="bottomLeft"/>
      <selection pane="bottomRight" sqref="A1:M1"/>
    </sheetView>
  </sheetViews>
  <sheetFormatPr defaultColWidth="9" defaultRowHeight="16.5" x14ac:dyDescent="0.3"/>
  <cols>
    <col min="1" max="2" width="20.75" style="3" customWidth="1"/>
    <col min="3" max="3" width="4.75" style="4" customWidth="1"/>
    <col min="4" max="5" width="6.75" style="5" customWidth="1"/>
    <col min="6" max="6" width="9.75" style="5" customWidth="1"/>
    <col min="7" max="7" width="6.75" style="5" customWidth="1"/>
    <col min="8" max="8" width="9.75" style="5" customWidth="1"/>
    <col min="9" max="9" width="6.75" style="5" customWidth="1"/>
    <col min="10" max="10" width="9.75" style="5" customWidth="1"/>
    <col min="11" max="11" width="6.75" style="5" customWidth="1"/>
    <col min="12" max="12" width="9.75" style="5" customWidth="1"/>
    <col min="13" max="13" width="8.75" style="3" customWidth="1"/>
    <col min="14" max="20" width="0" style="1" hidden="1" customWidth="1"/>
  </cols>
  <sheetData>
    <row r="1" spans="1:20" ht="30" customHeight="1" x14ac:dyDescent="0.3">
      <c r="A1" s="68" t="s">
        <v>209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</row>
    <row r="2" spans="1:20" ht="22.9" customHeight="1" x14ac:dyDescent="0.3">
      <c r="A2" s="69" t="s">
        <v>308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</row>
    <row r="3" spans="1:20" ht="22.9" customHeight="1" x14ac:dyDescent="0.3">
      <c r="A3" s="56" t="s">
        <v>216</v>
      </c>
      <c r="B3" s="56" t="s">
        <v>230</v>
      </c>
      <c r="C3" s="56" t="s">
        <v>3</v>
      </c>
      <c r="D3" s="56" t="s">
        <v>427</v>
      </c>
      <c r="E3" s="56" t="s">
        <v>187</v>
      </c>
      <c r="F3" s="56"/>
      <c r="G3" s="56" t="s">
        <v>188</v>
      </c>
      <c r="H3" s="56"/>
      <c r="I3" s="56" t="s">
        <v>186</v>
      </c>
      <c r="J3" s="56"/>
      <c r="K3" s="56" t="s">
        <v>189</v>
      </c>
      <c r="L3" s="56"/>
      <c r="M3" s="56" t="s">
        <v>424</v>
      </c>
    </row>
    <row r="4" spans="1:20" ht="22.9" customHeight="1" x14ac:dyDescent="0.3">
      <c r="A4" s="56"/>
      <c r="B4" s="56"/>
      <c r="C4" s="56"/>
      <c r="D4" s="56"/>
      <c r="E4" s="12" t="s">
        <v>432</v>
      </c>
      <c r="F4" s="12" t="s">
        <v>435</v>
      </c>
      <c r="G4" s="12" t="s">
        <v>432</v>
      </c>
      <c r="H4" s="12" t="s">
        <v>435</v>
      </c>
      <c r="I4" s="12" t="s">
        <v>432</v>
      </c>
      <c r="J4" s="12" t="s">
        <v>435</v>
      </c>
      <c r="K4" s="12" t="s">
        <v>432</v>
      </c>
      <c r="L4" s="12" t="s">
        <v>435</v>
      </c>
      <c r="M4" s="56"/>
      <c r="N4" s="1" t="s">
        <v>445</v>
      </c>
      <c r="O4" s="1" t="s">
        <v>430</v>
      </c>
      <c r="P4" s="1" t="s">
        <v>433</v>
      </c>
      <c r="Q4" s="1" t="s">
        <v>426</v>
      </c>
      <c r="R4" s="1" t="s">
        <v>447</v>
      </c>
      <c r="S4" s="1" t="s">
        <v>434</v>
      </c>
      <c r="T4" s="1" t="s">
        <v>7</v>
      </c>
    </row>
    <row r="5" spans="1:20" ht="22.9" customHeight="1" x14ac:dyDescent="0.3">
      <c r="A5" s="78" t="s">
        <v>310</v>
      </c>
      <c r="B5" s="79"/>
      <c r="C5" s="79"/>
      <c r="D5" s="79"/>
      <c r="E5" s="79"/>
      <c r="F5" s="79"/>
      <c r="G5" s="79"/>
      <c r="H5" s="79"/>
      <c r="I5" s="79"/>
      <c r="J5" s="79"/>
      <c r="K5" s="79"/>
      <c r="L5" s="80"/>
      <c r="M5" s="13" t="s">
        <v>212</v>
      </c>
    </row>
    <row r="6" spans="1:20" ht="22.9" customHeight="1" x14ac:dyDescent="0.3">
      <c r="A6" s="14" t="s">
        <v>443</v>
      </c>
      <c r="B6" s="15"/>
      <c r="C6" s="16" t="s">
        <v>30</v>
      </c>
      <c r="D6" s="17"/>
      <c r="E6" s="17"/>
      <c r="F6" s="17">
        <f>ROUNDDOWN(D6*E6,1)</f>
        <v>0</v>
      </c>
      <c r="G6" s="17"/>
      <c r="H6" s="17">
        <f>ROUNDDOWN(D6*G6,1)</f>
        <v>0</v>
      </c>
      <c r="I6" s="17"/>
      <c r="J6" s="17">
        <f>ROUNDDOWN(D6*I6,1)</f>
        <v>0</v>
      </c>
      <c r="K6" s="17">
        <f t="shared" ref="K6:L8" si="0">E6+G6+I6</f>
        <v>0</v>
      </c>
      <c r="L6" s="17">
        <f t="shared" si="0"/>
        <v>0</v>
      </c>
      <c r="M6" s="15"/>
    </row>
    <row r="7" spans="1:20" ht="22.9" customHeight="1" x14ac:dyDescent="0.3">
      <c r="A7" s="14" t="s">
        <v>199</v>
      </c>
      <c r="B7" s="14" t="s">
        <v>410</v>
      </c>
      <c r="C7" s="16" t="s">
        <v>40</v>
      </c>
      <c r="D7" s="17">
        <v>2.5000000000000001E-4</v>
      </c>
      <c r="E7" s="17">
        <v>0</v>
      </c>
      <c r="F7" s="17">
        <f>ROUNDDOWN(D7*E7,1)</f>
        <v>0</v>
      </c>
      <c r="G7" s="17">
        <v>0</v>
      </c>
      <c r="H7" s="17">
        <f>ROUNDDOWN(D7*G7,1)</f>
        <v>0</v>
      </c>
      <c r="I7" s="17">
        <f>단가대비표!O48</f>
        <v>1375000</v>
      </c>
      <c r="J7" s="17">
        <f>ROUNDDOWN(D7*I7,1)</f>
        <v>343.7</v>
      </c>
      <c r="K7" s="17">
        <f t="shared" si="0"/>
        <v>1375000</v>
      </c>
      <c r="L7" s="17">
        <f t="shared" si="0"/>
        <v>343.7</v>
      </c>
      <c r="M7" s="14" t="s">
        <v>221</v>
      </c>
      <c r="O7" s="2" t="s">
        <v>48</v>
      </c>
      <c r="P7" s="2" t="s">
        <v>438</v>
      </c>
      <c r="Q7" s="1">
        <v>1</v>
      </c>
    </row>
    <row r="8" spans="1:20" ht="22.9" customHeight="1" x14ac:dyDescent="0.3">
      <c r="A8" s="16" t="s">
        <v>429</v>
      </c>
      <c r="B8" s="15"/>
      <c r="C8" s="16" t="s">
        <v>30</v>
      </c>
      <c r="D8" s="17"/>
      <c r="E8" s="17"/>
      <c r="F8" s="17">
        <f>SUMIF(Q6:Q7,"1",F6:F7)</f>
        <v>0</v>
      </c>
      <c r="G8" s="17"/>
      <c r="H8" s="17">
        <f>SUMIF(Q6:Q7,"1",H6:H7)</f>
        <v>0</v>
      </c>
      <c r="I8" s="17"/>
      <c r="J8" s="17">
        <f>SUMIF(Q6:Q7,"1",J6:J7)</f>
        <v>343.7</v>
      </c>
      <c r="K8" s="17">
        <f t="shared" si="0"/>
        <v>0</v>
      </c>
      <c r="L8" s="17">
        <f t="shared" si="0"/>
        <v>343.7</v>
      </c>
      <c r="M8" s="15"/>
    </row>
    <row r="9" spans="1:20" ht="22.9" customHeight="1" x14ac:dyDescent="0.3">
      <c r="A9" s="18" t="s">
        <v>439</v>
      </c>
      <c r="B9" s="19"/>
      <c r="C9" s="20"/>
      <c r="D9" s="21"/>
      <c r="E9" s="21"/>
      <c r="F9" s="21">
        <f>ROUNDDOWN(SUMIF(Q6:Q8,"1",F6:F8),0)</f>
        <v>0</v>
      </c>
      <c r="G9" s="21"/>
      <c r="H9" s="21">
        <f>ROUNDDOWN(SUMIF(Q6:Q8,"1",H6:H8),0)</f>
        <v>0</v>
      </c>
      <c r="I9" s="21"/>
      <c r="J9" s="21">
        <f>ROUNDDOWN(SUMIF(Q6:Q8,"1",J6:J8),0)</f>
        <v>343</v>
      </c>
      <c r="K9" s="21"/>
      <c r="L9" s="21">
        <f>F9+H9+J9</f>
        <v>343</v>
      </c>
      <c r="M9" s="19"/>
    </row>
    <row r="10" spans="1:20" ht="22.9" customHeight="1" x14ac:dyDescent="0.3">
      <c r="A10" s="15"/>
      <c r="B10" s="15"/>
      <c r="C10" s="22"/>
      <c r="D10" s="17"/>
      <c r="E10" s="17"/>
      <c r="F10" s="17"/>
      <c r="G10" s="17"/>
      <c r="H10" s="17"/>
      <c r="I10" s="17"/>
      <c r="J10" s="17"/>
      <c r="K10" s="17"/>
      <c r="L10" s="17"/>
      <c r="M10" s="15"/>
    </row>
    <row r="11" spans="1:20" ht="22.9" customHeight="1" x14ac:dyDescent="0.3">
      <c r="A11" s="76" t="s">
        <v>311</v>
      </c>
      <c r="B11" s="77"/>
      <c r="C11" s="77"/>
      <c r="D11" s="77"/>
      <c r="E11" s="77"/>
      <c r="F11" s="77"/>
      <c r="G11" s="77"/>
      <c r="H11" s="77"/>
      <c r="I11" s="77"/>
      <c r="J11" s="77"/>
      <c r="K11" s="77"/>
      <c r="L11" s="77"/>
      <c r="M11" s="13" t="s">
        <v>158</v>
      </c>
    </row>
    <row r="12" spans="1:20" ht="22.9" customHeight="1" x14ac:dyDescent="0.3">
      <c r="A12" s="14" t="s">
        <v>443</v>
      </c>
      <c r="B12" s="15"/>
      <c r="C12" s="16" t="s">
        <v>30</v>
      </c>
      <c r="D12" s="17"/>
      <c r="E12" s="17"/>
      <c r="F12" s="17">
        <f>ROUNDDOWN(D12*E12,1)</f>
        <v>0</v>
      </c>
      <c r="G12" s="17"/>
      <c r="H12" s="17">
        <f>ROUNDDOWN(D12*G12,1)</f>
        <v>0</v>
      </c>
      <c r="I12" s="17"/>
      <c r="J12" s="17">
        <f>ROUNDDOWN(D12*I12,1)</f>
        <v>0</v>
      </c>
      <c r="K12" s="17">
        <f t="shared" ref="K12:K21" si="1">E12+G12+I12</f>
        <v>0</v>
      </c>
      <c r="L12" s="17">
        <f t="shared" ref="L12:L21" si="2">F12+H12+J12</f>
        <v>0</v>
      </c>
      <c r="M12" s="15"/>
    </row>
    <row r="13" spans="1:20" ht="22.9" customHeight="1" x14ac:dyDescent="0.3">
      <c r="A13" s="14" t="s">
        <v>269</v>
      </c>
      <c r="B13" s="14" t="s">
        <v>401</v>
      </c>
      <c r="C13" s="16" t="s">
        <v>40</v>
      </c>
      <c r="D13" s="17">
        <v>2.085E-4</v>
      </c>
      <c r="E13" s="17">
        <v>0</v>
      </c>
      <c r="F13" s="17">
        <f>ROUNDDOWN(D13*E13,1)</f>
        <v>0</v>
      </c>
      <c r="G13" s="17">
        <v>0</v>
      </c>
      <c r="H13" s="17">
        <f>ROUNDDOWN(D13*G13,1)</f>
        <v>0</v>
      </c>
      <c r="I13" s="17">
        <f>단가대비표!O40</f>
        <v>66538000</v>
      </c>
      <c r="J13" s="17">
        <f>ROUNDDOWN(D13*I13,1)</f>
        <v>13873.1</v>
      </c>
      <c r="K13" s="17">
        <f t="shared" si="1"/>
        <v>66538000</v>
      </c>
      <c r="L13" s="17">
        <f t="shared" si="2"/>
        <v>13873.1</v>
      </c>
      <c r="M13" s="14" t="s">
        <v>233</v>
      </c>
      <c r="O13" s="2" t="s">
        <v>48</v>
      </c>
      <c r="P13" s="2" t="s">
        <v>438</v>
      </c>
      <c r="Q13" s="1">
        <v>1</v>
      </c>
    </row>
    <row r="14" spans="1:20" ht="22.9" customHeight="1" x14ac:dyDescent="0.3">
      <c r="A14" s="16" t="s">
        <v>429</v>
      </c>
      <c r="B14" s="15"/>
      <c r="C14" s="16" t="s">
        <v>30</v>
      </c>
      <c r="D14" s="17"/>
      <c r="E14" s="17"/>
      <c r="F14" s="17">
        <f>SUMIF(Q12:Q13,"1",F12:F13)</f>
        <v>0</v>
      </c>
      <c r="G14" s="17"/>
      <c r="H14" s="17">
        <f>SUMIF(Q12:Q13,"1",H12:H13)</f>
        <v>0</v>
      </c>
      <c r="I14" s="17"/>
      <c r="J14" s="17">
        <f>SUMIF(Q12:Q13,"1",J12:J13)</f>
        <v>13873.1</v>
      </c>
      <c r="K14" s="17">
        <f t="shared" si="1"/>
        <v>0</v>
      </c>
      <c r="L14" s="17">
        <f t="shared" si="2"/>
        <v>13873.1</v>
      </c>
      <c r="M14" s="15"/>
    </row>
    <row r="15" spans="1:20" ht="22.9" customHeight="1" x14ac:dyDescent="0.3">
      <c r="A15" s="14" t="s">
        <v>428</v>
      </c>
      <c r="B15" s="15"/>
      <c r="C15" s="16" t="s">
        <v>30</v>
      </c>
      <c r="D15" s="17"/>
      <c r="E15" s="17"/>
      <c r="F15" s="17">
        <f>ROUNDDOWN(D15*E15,1)</f>
        <v>0</v>
      </c>
      <c r="G15" s="17"/>
      <c r="H15" s="17">
        <f>ROUNDDOWN(D15*G15,1)</f>
        <v>0</v>
      </c>
      <c r="I15" s="17"/>
      <c r="J15" s="17">
        <f>ROUNDDOWN(D15*I15,1)</f>
        <v>0</v>
      </c>
      <c r="K15" s="17">
        <f t="shared" si="1"/>
        <v>0</v>
      </c>
      <c r="L15" s="17">
        <f t="shared" si="2"/>
        <v>0</v>
      </c>
      <c r="M15" s="15"/>
    </row>
    <row r="16" spans="1:20" ht="22.9" customHeight="1" x14ac:dyDescent="0.3">
      <c r="A16" s="14" t="s">
        <v>21</v>
      </c>
      <c r="B16" s="14" t="s">
        <v>365</v>
      </c>
      <c r="C16" s="16" t="s">
        <v>14</v>
      </c>
      <c r="D16" s="17">
        <v>5</v>
      </c>
      <c r="E16" s="17">
        <f>단가대비표!O5</f>
        <v>1657</v>
      </c>
      <c r="F16" s="17">
        <f>ROUNDDOWN(D16*E16,1)</f>
        <v>8285</v>
      </c>
      <c r="G16" s="17">
        <v>0</v>
      </c>
      <c r="H16" s="17">
        <f>ROUNDDOWN(D16*G16,1)</f>
        <v>0</v>
      </c>
      <c r="I16" s="17">
        <v>0</v>
      </c>
      <c r="J16" s="17">
        <f>ROUNDDOWN(D16*I16,1)</f>
        <v>0</v>
      </c>
      <c r="K16" s="17">
        <f t="shared" si="1"/>
        <v>1657</v>
      </c>
      <c r="L16" s="17">
        <f t="shared" si="2"/>
        <v>8285</v>
      </c>
      <c r="M16" s="15"/>
      <c r="O16" s="2" t="s">
        <v>41</v>
      </c>
      <c r="P16" s="2" t="s">
        <v>438</v>
      </c>
      <c r="Q16" s="1">
        <v>1</v>
      </c>
    </row>
    <row r="17" spans="1:20" ht="22.9" customHeight="1" x14ac:dyDescent="0.3">
      <c r="A17" s="14" t="s">
        <v>47</v>
      </c>
      <c r="B17" s="15" t="str">
        <f>"주연료비의 "&amp;N17*100&amp;"%"</f>
        <v>주연료비의 21%</v>
      </c>
      <c r="C17" s="16" t="s">
        <v>31</v>
      </c>
      <c r="D17" s="17">
        <v>1</v>
      </c>
      <c r="E17" s="17">
        <f>SUMIF(O12:O21,"01",F12:F21)</f>
        <v>8285</v>
      </c>
      <c r="F17" s="17">
        <f>ROUNDDOWN((E17)*N17,1)</f>
        <v>1739.8</v>
      </c>
      <c r="G17" s="17">
        <v>0</v>
      </c>
      <c r="H17" s="17">
        <v>0</v>
      </c>
      <c r="I17" s="17">
        <v>0</v>
      </c>
      <c r="J17" s="17">
        <v>0</v>
      </c>
      <c r="K17" s="17">
        <f t="shared" si="1"/>
        <v>8285</v>
      </c>
      <c r="L17" s="17">
        <f t="shared" si="2"/>
        <v>1739.8</v>
      </c>
      <c r="M17" s="14" t="s">
        <v>191</v>
      </c>
      <c r="N17" s="1">
        <v>0.21</v>
      </c>
      <c r="P17" s="2" t="s">
        <v>438</v>
      </c>
      <c r="Q17" s="1">
        <v>1</v>
      </c>
      <c r="R17" s="2" t="s">
        <v>32</v>
      </c>
      <c r="S17" s="2" t="s">
        <v>192</v>
      </c>
      <c r="T17" s="2" t="s">
        <v>33</v>
      </c>
    </row>
    <row r="18" spans="1:20" ht="22.9" customHeight="1" x14ac:dyDescent="0.3">
      <c r="A18" s="16" t="s">
        <v>429</v>
      </c>
      <c r="B18" s="15"/>
      <c r="C18" s="16" t="s">
        <v>30</v>
      </c>
      <c r="D18" s="17"/>
      <c r="E18" s="17"/>
      <c r="F18" s="17">
        <f>SUMIF(Q15:Q17,"1",F15:F17)</f>
        <v>10024.799999999999</v>
      </c>
      <c r="G18" s="17"/>
      <c r="H18" s="17">
        <f>SUMIF(Q15:Q17,"1",H15:H17)</f>
        <v>0</v>
      </c>
      <c r="I18" s="17"/>
      <c r="J18" s="17">
        <f>SUMIF(Q15:Q17,"1",J15:J17)</f>
        <v>0</v>
      </c>
      <c r="K18" s="17">
        <f t="shared" si="1"/>
        <v>0</v>
      </c>
      <c r="L18" s="17">
        <f t="shared" si="2"/>
        <v>10024.799999999999</v>
      </c>
      <c r="M18" s="15"/>
    </row>
    <row r="19" spans="1:20" ht="22.9" customHeight="1" x14ac:dyDescent="0.3">
      <c r="A19" s="14" t="s">
        <v>441</v>
      </c>
      <c r="B19" s="15"/>
      <c r="C19" s="16" t="s">
        <v>30</v>
      </c>
      <c r="D19" s="17"/>
      <c r="E19" s="17"/>
      <c r="F19" s="17">
        <f>ROUNDDOWN(D19*E19,1)</f>
        <v>0</v>
      </c>
      <c r="G19" s="17"/>
      <c r="H19" s="17">
        <f>ROUNDDOWN(D19*G19,1)</f>
        <v>0</v>
      </c>
      <c r="I19" s="17"/>
      <c r="J19" s="17">
        <f>ROUNDDOWN(D19*I19,1)</f>
        <v>0</v>
      </c>
      <c r="K19" s="17">
        <f t="shared" si="1"/>
        <v>0</v>
      </c>
      <c r="L19" s="17">
        <f t="shared" si="2"/>
        <v>0</v>
      </c>
      <c r="M19" s="15"/>
    </row>
    <row r="20" spans="1:20" ht="22.9" customHeight="1" x14ac:dyDescent="0.3">
      <c r="A20" s="14" t="s">
        <v>412</v>
      </c>
      <c r="B20" s="14" t="s">
        <v>413</v>
      </c>
      <c r="C20" s="16" t="s">
        <v>46</v>
      </c>
      <c r="D20" s="17">
        <v>0.20833333333333334</v>
      </c>
      <c r="E20" s="17">
        <v>0</v>
      </c>
      <c r="F20" s="17">
        <f>ROUNDDOWN(D20*E20,1)</f>
        <v>0</v>
      </c>
      <c r="G20" s="17">
        <f>단가대비표!O23</f>
        <v>283297</v>
      </c>
      <c r="H20" s="17">
        <f>ROUNDDOWN(D20*G20,1)</f>
        <v>59020.2</v>
      </c>
      <c r="I20" s="17">
        <v>0</v>
      </c>
      <c r="J20" s="17">
        <f>ROUNDDOWN(D20*I20,1)</f>
        <v>0</v>
      </c>
      <c r="K20" s="17">
        <f t="shared" si="1"/>
        <v>283297</v>
      </c>
      <c r="L20" s="17">
        <f t="shared" si="2"/>
        <v>59020.2</v>
      </c>
      <c r="M20" s="14" t="s">
        <v>272</v>
      </c>
      <c r="O20" s="2" t="s">
        <v>52</v>
      </c>
      <c r="P20" s="2" t="s">
        <v>438</v>
      </c>
      <c r="Q20" s="1">
        <v>1</v>
      </c>
    </row>
    <row r="21" spans="1:20" ht="22.9" customHeight="1" x14ac:dyDescent="0.3">
      <c r="A21" s="16" t="s">
        <v>429</v>
      </c>
      <c r="B21" s="15"/>
      <c r="C21" s="16" t="s">
        <v>30</v>
      </c>
      <c r="D21" s="17"/>
      <c r="E21" s="17"/>
      <c r="F21" s="17">
        <f>SUMIF(Q19:Q20,"1",F19:F20)</f>
        <v>0</v>
      </c>
      <c r="G21" s="17"/>
      <c r="H21" s="17">
        <f>SUMIF(Q19:Q20,"1",H19:H20)</f>
        <v>59020.2</v>
      </c>
      <c r="I21" s="17"/>
      <c r="J21" s="17">
        <f>SUMIF(Q19:Q20,"1",J19:J20)</f>
        <v>0</v>
      </c>
      <c r="K21" s="17">
        <f t="shared" si="1"/>
        <v>0</v>
      </c>
      <c r="L21" s="17">
        <f t="shared" si="2"/>
        <v>59020.2</v>
      </c>
      <c r="M21" s="15"/>
    </row>
    <row r="22" spans="1:20" ht="22.9" customHeight="1" x14ac:dyDescent="0.3">
      <c r="A22" s="18" t="s">
        <v>439</v>
      </c>
      <c r="B22" s="19"/>
      <c r="C22" s="20"/>
      <c r="D22" s="21"/>
      <c r="E22" s="21"/>
      <c r="F22" s="21">
        <f>ROUNDDOWN(SUMIF(Q12:Q21,"1",F12:F21),0)</f>
        <v>10024</v>
      </c>
      <c r="G22" s="21"/>
      <c r="H22" s="21">
        <f>ROUNDDOWN(SUMIF(Q12:Q21,"1",H12:H21),0)</f>
        <v>59020</v>
      </c>
      <c r="I22" s="21"/>
      <c r="J22" s="21">
        <f>ROUNDDOWN(SUMIF(Q12:Q21,"1",J12:J21),0)</f>
        <v>13873</v>
      </c>
      <c r="K22" s="21"/>
      <c r="L22" s="21">
        <f>F22+H22+J22</f>
        <v>82917</v>
      </c>
      <c r="M22" s="19"/>
    </row>
    <row r="23" spans="1:20" ht="22.9" customHeight="1" x14ac:dyDescent="0.3">
      <c r="A23" s="15"/>
      <c r="B23" s="15"/>
      <c r="C23" s="22"/>
      <c r="D23" s="17"/>
      <c r="E23" s="17"/>
      <c r="F23" s="17"/>
      <c r="G23" s="17"/>
      <c r="H23" s="17"/>
      <c r="I23" s="17"/>
      <c r="J23" s="17"/>
      <c r="K23" s="17"/>
      <c r="L23" s="17"/>
      <c r="M23" s="15"/>
    </row>
    <row r="24" spans="1:20" ht="22.9" customHeight="1" x14ac:dyDescent="0.3">
      <c r="A24" s="76" t="s">
        <v>306</v>
      </c>
      <c r="B24" s="77"/>
      <c r="C24" s="77"/>
      <c r="D24" s="77"/>
      <c r="E24" s="77"/>
      <c r="F24" s="77"/>
      <c r="G24" s="77"/>
      <c r="H24" s="77"/>
      <c r="I24" s="77"/>
      <c r="J24" s="77"/>
      <c r="K24" s="77"/>
      <c r="L24" s="77"/>
      <c r="M24" s="13" t="s">
        <v>173</v>
      </c>
    </row>
    <row r="25" spans="1:20" ht="22.9" customHeight="1" x14ac:dyDescent="0.3">
      <c r="A25" s="14" t="s">
        <v>443</v>
      </c>
      <c r="B25" s="15"/>
      <c r="C25" s="16" t="s">
        <v>30</v>
      </c>
      <c r="D25" s="17"/>
      <c r="E25" s="17"/>
      <c r="F25" s="17">
        <f>ROUNDDOWN(D25*E25,1)</f>
        <v>0</v>
      </c>
      <c r="G25" s="17"/>
      <c r="H25" s="17">
        <f>ROUNDDOWN(D25*G25,1)</f>
        <v>0</v>
      </c>
      <c r="I25" s="17"/>
      <c r="J25" s="17">
        <f>ROUNDDOWN(D25*I25,1)</f>
        <v>0</v>
      </c>
      <c r="K25" s="17">
        <f t="shared" ref="K25:K34" si="3">E25+G25+I25</f>
        <v>0</v>
      </c>
      <c r="L25" s="17">
        <f t="shared" ref="L25:L34" si="4">F25+H25+J25</f>
        <v>0</v>
      </c>
      <c r="M25" s="15"/>
    </row>
    <row r="26" spans="1:20" ht="22.9" customHeight="1" x14ac:dyDescent="0.3">
      <c r="A26" s="14" t="s">
        <v>200</v>
      </c>
      <c r="B26" s="14" t="s">
        <v>397</v>
      </c>
      <c r="C26" s="16" t="s">
        <v>40</v>
      </c>
      <c r="D26" s="17">
        <v>2.298E-4</v>
      </c>
      <c r="E26" s="17">
        <v>0</v>
      </c>
      <c r="F26" s="17">
        <f>ROUNDDOWN(D26*E26,1)</f>
        <v>0</v>
      </c>
      <c r="G26" s="17">
        <v>0</v>
      </c>
      <c r="H26" s="17">
        <f>ROUNDDOWN(D26*G26,1)</f>
        <v>0</v>
      </c>
      <c r="I26" s="17">
        <f>단가대비표!O51</f>
        <v>233376000</v>
      </c>
      <c r="J26" s="17">
        <f>ROUNDDOWN(D26*I26,1)</f>
        <v>53629.8</v>
      </c>
      <c r="K26" s="17">
        <f t="shared" si="3"/>
        <v>233376000</v>
      </c>
      <c r="L26" s="17">
        <f t="shared" si="4"/>
        <v>53629.8</v>
      </c>
      <c r="M26" s="14" t="s">
        <v>210</v>
      </c>
      <c r="O26" s="2" t="s">
        <v>48</v>
      </c>
      <c r="P26" s="2" t="s">
        <v>438</v>
      </c>
      <c r="Q26" s="1">
        <v>1</v>
      </c>
    </row>
    <row r="27" spans="1:20" ht="22.9" customHeight="1" x14ac:dyDescent="0.3">
      <c r="A27" s="16" t="s">
        <v>429</v>
      </c>
      <c r="B27" s="15"/>
      <c r="C27" s="16" t="s">
        <v>30</v>
      </c>
      <c r="D27" s="17"/>
      <c r="E27" s="17"/>
      <c r="F27" s="17">
        <f>SUMIF(Q25:Q26,"1",F25:F26)</f>
        <v>0</v>
      </c>
      <c r="G27" s="17"/>
      <c r="H27" s="17">
        <f>SUMIF(Q25:Q26,"1",H25:H26)</f>
        <v>0</v>
      </c>
      <c r="I27" s="17"/>
      <c r="J27" s="17">
        <f>SUMIF(Q25:Q26,"1",J25:J26)</f>
        <v>53629.8</v>
      </c>
      <c r="K27" s="17">
        <f t="shared" si="3"/>
        <v>0</v>
      </c>
      <c r="L27" s="17">
        <f t="shared" si="4"/>
        <v>53629.8</v>
      </c>
      <c r="M27" s="15"/>
    </row>
    <row r="28" spans="1:20" ht="22.9" customHeight="1" x14ac:dyDescent="0.3">
      <c r="A28" s="14" t="s">
        <v>428</v>
      </c>
      <c r="B28" s="15"/>
      <c r="C28" s="16" t="s">
        <v>30</v>
      </c>
      <c r="D28" s="17"/>
      <c r="E28" s="17"/>
      <c r="F28" s="17">
        <f>ROUNDDOWN(D28*E28,1)</f>
        <v>0</v>
      </c>
      <c r="G28" s="17"/>
      <c r="H28" s="17">
        <f>ROUNDDOWN(D28*G28,1)</f>
        <v>0</v>
      </c>
      <c r="I28" s="17"/>
      <c r="J28" s="17">
        <f>ROUNDDOWN(D28*I28,1)</f>
        <v>0</v>
      </c>
      <c r="K28" s="17">
        <f t="shared" si="3"/>
        <v>0</v>
      </c>
      <c r="L28" s="17">
        <f t="shared" si="4"/>
        <v>0</v>
      </c>
      <c r="M28" s="15"/>
    </row>
    <row r="29" spans="1:20" ht="22.9" customHeight="1" x14ac:dyDescent="0.3">
      <c r="A29" s="14" t="s">
        <v>21</v>
      </c>
      <c r="B29" s="14" t="s">
        <v>365</v>
      </c>
      <c r="C29" s="16" t="s">
        <v>14</v>
      </c>
      <c r="D29" s="17">
        <v>5.4</v>
      </c>
      <c r="E29" s="17">
        <f>단가대비표!O5</f>
        <v>1657</v>
      </c>
      <c r="F29" s="17">
        <f>ROUNDDOWN(D29*E29,1)</f>
        <v>8947.7999999999993</v>
      </c>
      <c r="G29" s="17">
        <v>0</v>
      </c>
      <c r="H29" s="17">
        <f>ROUNDDOWN(D29*G29,1)</f>
        <v>0</v>
      </c>
      <c r="I29" s="17">
        <v>0</v>
      </c>
      <c r="J29" s="17">
        <f>ROUNDDOWN(D29*I29,1)</f>
        <v>0</v>
      </c>
      <c r="K29" s="17">
        <f t="shared" si="3"/>
        <v>1657</v>
      </c>
      <c r="L29" s="17">
        <f t="shared" si="4"/>
        <v>8947.7999999999993</v>
      </c>
      <c r="M29" s="15"/>
      <c r="O29" s="2" t="s">
        <v>41</v>
      </c>
      <c r="P29" s="2" t="s">
        <v>438</v>
      </c>
      <c r="Q29" s="1">
        <v>1</v>
      </c>
    </row>
    <row r="30" spans="1:20" ht="22.9" customHeight="1" x14ac:dyDescent="0.3">
      <c r="A30" s="14" t="s">
        <v>47</v>
      </c>
      <c r="B30" s="15" t="str">
        <f>"주연료비의 "&amp;N30*100&amp;"%"</f>
        <v>주연료비의 39%</v>
      </c>
      <c r="C30" s="16" t="s">
        <v>31</v>
      </c>
      <c r="D30" s="17">
        <v>1</v>
      </c>
      <c r="E30" s="17">
        <f>SUMIF(O25:O34,"01",F25:F34)</f>
        <v>8947.7999999999993</v>
      </c>
      <c r="F30" s="17">
        <f>ROUNDDOWN((E30)*N30,1)</f>
        <v>3489.6</v>
      </c>
      <c r="G30" s="17">
        <v>0</v>
      </c>
      <c r="H30" s="17">
        <v>0</v>
      </c>
      <c r="I30" s="17">
        <v>0</v>
      </c>
      <c r="J30" s="17">
        <v>0</v>
      </c>
      <c r="K30" s="17">
        <f t="shared" si="3"/>
        <v>8947.7999999999993</v>
      </c>
      <c r="L30" s="17">
        <f t="shared" si="4"/>
        <v>3489.6</v>
      </c>
      <c r="M30" s="14" t="s">
        <v>191</v>
      </c>
      <c r="N30" s="1">
        <v>0.39</v>
      </c>
      <c r="P30" s="2" t="s">
        <v>438</v>
      </c>
      <c r="Q30" s="1">
        <v>1</v>
      </c>
      <c r="R30" s="2" t="s">
        <v>32</v>
      </c>
      <c r="S30" s="2" t="s">
        <v>192</v>
      </c>
      <c r="T30" s="2" t="s">
        <v>33</v>
      </c>
    </row>
    <row r="31" spans="1:20" ht="22.9" customHeight="1" x14ac:dyDescent="0.3">
      <c r="A31" s="16" t="s">
        <v>429</v>
      </c>
      <c r="B31" s="15"/>
      <c r="C31" s="16" t="s">
        <v>30</v>
      </c>
      <c r="D31" s="17"/>
      <c r="E31" s="17"/>
      <c r="F31" s="17">
        <f>SUMIF(Q28:Q30,"1",F28:F30)</f>
        <v>12437.4</v>
      </c>
      <c r="G31" s="17"/>
      <c r="H31" s="17">
        <f>SUMIF(Q28:Q30,"1",H28:H30)</f>
        <v>0</v>
      </c>
      <c r="I31" s="17"/>
      <c r="J31" s="17">
        <f>SUMIF(Q28:Q30,"1",J28:J30)</f>
        <v>0</v>
      </c>
      <c r="K31" s="17">
        <f t="shared" si="3"/>
        <v>0</v>
      </c>
      <c r="L31" s="17">
        <f t="shared" si="4"/>
        <v>12437.4</v>
      </c>
      <c r="M31" s="15"/>
    </row>
    <row r="32" spans="1:20" ht="22.9" customHeight="1" x14ac:dyDescent="0.3">
      <c r="A32" s="14" t="s">
        <v>441</v>
      </c>
      <c r="B32" s="15"/>
      <c r="C32" s="16" t="s">
        <v>30</v>
      </c>
      <c r="D32" s="17"/>
      <c r="E32" s="17"/>
      <c r="F32" s="17">
        <f>ROUNDDOWN(D32*E32,1)</f>
        <v>0</v>
      </c>
      <c r="G32" s="17"/>
      <c r="H32" s="17">
        <f>ROUNDDOWN(D32*G32,1)</f>
        <v>0</v>
      </c>
      <c r="I32" s="17"/>
      <c r="J32" s="17">
        <f>ROUNDDOWN(D32*I32,1)</f>
        <v>0</v>
      </c>
      <c r="K32" s="17">
        <f t="shared" si="3"/>
        <v>0</v>
      </c>
      <c r="L32" s="17">
        <f t="shared" si="4"/>
        <v>0</v>
      </c>
      <c r="M32" s="15"/>
    </row>
    <row r="33" spans="1:20" ht="22.9" customHeight="1" x14ac:dyDescent="0.3">
      <c r="A33" s="14" t="s">
        <v>412</v>
      </c>
      <c r="B33" s="14" t="s">
        <v>413</v>
      </c>
      <c r="C33" s="16" t="s">
        <v>46</v>
      </c>
      <c r="D33" s="17">
        <v>0.20833333333333334</v>
      </c>
      <c r="E33" s="17">
        <v>0</v>
      </c>
      <c r="F33" s="17">
        <f>ROUNDDOWN(D33*E33,1)</f>
        <v>0</v>
      </c>
      <c r="G33" s="17">
        <f>단가대비표!O23</f>
        <v>283297</v>
      </c>
      <c r="H33" s="17">
        <f>ROUNDDOWN(D33*G33,1)</f>
        <v>59020.2</v>
      </c>
      <c r="I33" s="17">
        <v>0</v>
      </c>
      <c r="J33" s="17">
        <f>ROUNDDOWN(D33*I33,1)</f>
        <v>0</v>
      </c>
      <c r="K33" s="17">
        <f t="shared" si="3"/>
        <v>283297</v>
      </c>
      <c r="L33" s="17">
        <f t="shared" si="4"/>
        <v>59020.2</v>
      </c>
      <c r="M33" s="14" t="s">
        <v>272</v>
      </c>
      <c r="O33" s="2" t="s">
        <v>52</v>
      </c>
      <c r="P33" s="2" t="s">
        <v>438</v>
      </c>
      <c r="Q33" s="1">
        <v>1</v>
      </c>
    </row>
    <row r="34" spans="1:20" ht="22.9" customHeight="1" x14ac:dyDescent="0.3">
      <c r="A34" s="16" t="s">
        <v>429</v>
      </c>
      <c r="B34" s="15"/>
      <c r="C34" s="16" t="s">
        <v>30</v>
      </c>
      <c r="D34" s="17"/>
      <c r="E34" s="17"/>
      <c r="F34" s="17">
        <f>SUMIF(Q32:Q33,"1",F32:F33)</f>
        <v>0</v>
      </c>
      <c r="G34" s="17"/>
      <c r="H34" s="17">
        <f>SUMIF(Q32:Q33,"1",H32:H33)</f>
        <v>59020.2</v>
      </c>
      <c r="I34" s="17"/>
      <c r="J34" s="17">
        <f>SUMIF(Q32:Q33,"1",J32:J33)</f>
        <v>0</v>
      </c>
      <c r="K34" s="17">
        <f t="shared" si="3"/>
        <v>0</v>
      </c>
      <c r="L34" s="17">
        <f t="shared" si="4"/>
        <v>59020.2</v>
      </c>
      <c r="M34" s="15"/>
    </row>
    <row r="35" spans="1:20" ht="22.9" customHeight="1" x14ac:dyDescent="0.3">
      <c r="A35" s="18" t="s">
        <v>439</v>
      </c>
      <c r="B35" s="19"/>
      <c r="C35" s="20"/>
      <c r="D35" s="21"/>
      <c r="E35" s="21"/>
      <c r="F35" s="21">
        <f>ROUNDDOWN(SUMIF(Q25:Q34,"1",F25:F34),0)</f>
        <v>12437</v>
      </c>
      <c r="G35" s="21"/>
      <c r="H35" s="21">
        <f>ROUNDDOWN(SUMIF(Q25:Q34,"1",H25:H34),0)</f>
        <v>59020</v>
      </c>
      <c r="I35" s="21"/>
      <c r="J35" s="21">
        <f>ROUNDDOWN(SUMIF(Q25:Q34,"1",J25:J34),0)</f>
        <v>53629</v>
      </c>
      <c r="K35" s="21"/>
      <c r="L35" s="21">
        <f>F35+H35+J35</f>
        <v>125086</v>
      </c>
      <c r="M35" s="19"/>
    </row>
    <row r="36" spans="1:20" ht="22.9" customHeight="1" x14ac:dyDescent="0.3">
      <c r="A36" s="15"/>
      <c r="B36" s="15"/>
      <c r="C36" s="22"/>
      <c r="D36" s="17"/>
      <c r="E36" s="17"/>
      <c r="F36" s="17"/>
      <c r="G36" s="17"/>
      <c r="H36" s="17"/>
      <c r="I36" s="17"/>
      <c r="J36" s="17"/>
      <c r="K36" s="17"/>
      <c r="L36" s="17"/>
      <c r="M36" s="15"/>
    </row>
    <row r="37" spans="1:20" ht="22.9" customHeight="1" x14ac:dyDescent="0.3">
      <c r="A37" s="76" t="s">
        <v>317</v>
      </c>
      <c r="B37" s="77"/>
      <c r="C37" s="77"/>
      <c r="D37" s="77"/>
      <c r="E37" s="77"/>
      <c r="F37" s="77"/>
      <c r="G37" s="77"/>
      <c r="H37" s="77"/>
      <c r="I37" s="77"/>
      <c r="J37" s="77"/>
      <c r="K37" s="77"/>
      <c r="L37" s="77"/>
      <c r="M37" s="13" t="s">
        <v>175</v>
      </c>
    </row>
    <row r="38" spans="1:20" ht="22.9" customHeight="1" x14ac:dyDescent="0.3">
      <c r="A38" s="14" t="s">
        <v>443</v>
      </c>
      <c r="B38" s="15"/>
      <c r="C38" s="16" t="s">
        <v>30</v>
      </c>
      <c r="D38" s="17"/>
      <c r="E38" s="17"/>
      <c r="F38" s="17">
        <f>ROUNDDOWN(D38*E38,1)</f>
        <v>0</v>
      </c>
      <c r="G38" s="17"/>
      <c r="H38" s="17">
        <f>ROUNDDOWN(D38*G38,1)</f>
        <v>0</v>
      </c>
      <c r="I38" s="17"/>
      <c r="J38" s="17">
        <f>ROUNDDOWN(D38*I38,1)</f>
        <v>0</v>
      </c>
      <c r="K38" s="17">
        <f t="shared" ref="K38:K47" si="5">E38+G38+I38</f>
        <v>0</v>
      </c>
      <c r="L38" s="17">
        <f t="shared" ref="L38:L47" si="6">F38+H38+J38</f>
        <v>0</v>
      </c>
      <c r="M38" s="15"/>
    </row>
    <row r="39" spans="1:20" ht="22.9" customHeight="1" x14ac:dyDescent="0.3">
      <c r="A39" s="14" t="s">
        <v>198</v>
      </c>
      <c r="B39" s="14" t="s">
        <v>396</v>
      </c>
      <c r="C39" s="16" t="s">
        <v>40</v>
      </c>
      <c r="D39" s="17">
        <v>2.1130000000000001E-4</v>
      </c>
      <c r="E39" s="17">
        <v>0</v>
      </c>
      <c r="F39" s="17">
        <f>ROUNDDOWN(D39*E39,1)</f>
        <v>0</v>
      </c>
      <c r="G39" s="17">
        <v>0</v>
      </c>
      <c r="H39" s="17">
        <f>ROUNDDOWN(D39*G39,1)</f>
        <v>0</v>
      </c>
      <c r="I39" s="17">
        <f>단가대비표!O47</f>
        <v>47263000</v>
      </c>
      <c r="J39" s="17">
        <f>ROUNDDOWN(D39*I39,1)</f>
        <v>9986.6</v>
      </c>
      <c r="K39" s="17">
        <f t="shared" si="5"/>
        <v>47263000</v>
      </c>
      <c r="L39" s="17">
        <f t="shared" si="6"/>
        <v>9986.6</v>
      </c>
      <c r="M39" s="14" t="s">
        <v>215</v>
      </c>
      <c r="O39" s="2" t="s">
        <v>48</v>
      </c>
      <c r="P39" s="2" t="s">
        <v>438</v>
      </c>
      <c r="Q39" s="1">
        <v>1</v>
      </c>
    </row>
    <row r="40" spans="1:20" ht="22.9" customHeight="1" x14ac:dyDescent="0.3">
      <c r="A40" s="16" t="s">
        <v>429</v>
      </c>
      <c r="B40" s="15"/>
      <c r="C40" s="16" t="s">
        <v>30</v>
      </c>
      <c r="D40" s="17"/>
      <c r="E40" s="17"/>
      <c r="F40" s="17">
        <f>SUMIF(Q38:Q39,"1",F38:F39)</f>
        <v>0</v>
      </c>
      <c r="G40" s="17"/>
      <c r="H40" s="17">
        <f>SUMIF(Q38:Q39,"1",H38:H39)</f>
        <v>0</v>
      </c>
      <c r="I40" s="17"/>
      <c r="J40" s="17">
        <f>SUMIF(Q38:Q39,"1",J38:J39)</f>
        <v>9986.6</v>
      </c>
      <c r="K40" s="17">
        <f t="shared" si="5"/>
        <v>0</v>
      </c>
      <c r="L40" s="17">
        <f t="shared" si="6"/>
        <v>9986.6</v>
      </c>
      <c r="M40" s="15"/>
    </row>
    <row r="41" spans="1:20" ht="22.9" customHeight="1" x14ac:dyDescent="0.3">
      <c r="A41" s="14" t="s">
        <v>428</v>
      </c>
      <c r="B41" s="15"/>
      <c r="C41" s="16" t="s">
        <v>30</v>
      </c>
      <c r="D41" s="17"/>
      <c r="E41" s="17"/>
      <c r="F41" s="17">
        <f>ROUNDDOWN(D41*E41,1)</f>
        <v>0</v>
      </c>
      <c r="G41" s="17"/>
      <c r="H41" s="17">
        <f>ROUNDDOWN(D41*G41,1)</f>
        <v>0</v>
      </c>
      <c r="I41" s="17"/>
      <c r="J41" s="17">
        <f>ROUNDDOWN(D41*I41,1)</f>
        <v>0</v>
      </c>
      <c r="K41" s="17">
        <f t="shared" si="5"/>
        <v>0</v>
      </c>
      <c r="L41" s="17">
        <f t="shared" si="6"/>
        <v>0</v>
      </c>
      <c r="M41" s="15"/>
    </row>
    <row r="42" spans="1:20" ht="22.9" customHeight="1" x14ac:dyDescent="0.3">
      <c r="A42" s="14" t="s">
        <v>21</v>
      </c>
      <c r="B42" s="14" t="s">
        <v>365</v>
      </c>
      <c r="C42" s="16" t="s">
        <v>14</v>
      </c>
      <c r="D42" s="17">
        <v>9.3000000000000007</v>
      </c>
      <c r="E42" s="17">
        <f>단가대비표!O5</f>
        <v>1657</v>
      </c>
      <c r="F42" s="17">
        <f>ROUNDDOWN(D42*E42,1)</f>
        <v>15410.1</v>
      </c>
      <c r="G42" s="17">
        <v>0</v>
      </c>
      <c r="H42" s="17">
        <f>ROUNDDOWN(D42*G42,1)</f>
        <v>0</v>
      </c>
      <c r="I42" s="17">
        <v>0</v>
      </c>
      <c r="J42" s="17">
        <f>ROUNDDOWN(D42*I42,1)</f>
        <v>0</v>
      </c>
      <c r="K42" s="17">
        <f t="shared" si="5"/>
        <v>1657</v>
      </c>
      <c r="L42" s="17">
        <f t="shared" si="6"/>
        <v>15410.1</v>
      </c>
      <c r="M42" s="15"/>
      <c r="O42" s="2" t="s">
        <v>41</v>
      </c>
      <c r="P42" s="2" t="s">
        <v>438</v>
      </c>
      <c r="Q42" s="1">
        <v>1</v>
      </c>
    </row>
    <row r="43" spans="1:20" ht="22.9" customHeight="1" x14ac:dyDescent="0.3">
      <c r="A43" s="14" t="s">
        <v>47</v>
      </c>
      <c r="B43" s="15" t="str">
        <f>"주연료비의 "&amp;N43*100&amp;"%"</f>
        <v>주연료비의 30%</v>
      </c>
      <c r="C43" s="16" t="s">
        <v>31</v>
      </c>
      <c r="D43" s="17">
        <v>1</v>
      </c>
      <c r="E43" s="17">
        <f>SUMIF(O38:O47,"01",F38:F47)</f>
        <v>15410.1</v>
      </c>
      <c r="F43" s="17">
        <f>ROUNDDOWN((E43)*N43,1)</f>
        <v>4623</v>
      </c>
      <c r="G43" s="17">
        <v>0</v>
      </c>
      <c r="H43" s="17">
        <v>0</v>
      </c>
      <c r="I43" s="17">
        <v>0</v>
      </c>
      <c r="J43" s="17">
        <v>0</v>
      </c>
      <c r="K43" s="17">
        <f t="shared" si="5"/>
        <v>15410.1</v>
      </c>
      <c r="L43" s="17">
        <f t="shared" si="6"/>
        <v>4623</v>
      </c>
      <c r="M43" s="14" t="s">
        <v>191</v>
      </c>
      <c r="N43" s="1">
        <v>0.3</v>
      </c>
      <c r="P43" s="2" t="s">
        <v>438</v>
      </c>
      <c r="Q43" s="1">
        <v>1</v>
      </c>
      <c r="R43" s="2" t="s">
        <v>32</v>
      </c>
      <c r="S43" s="2" t="s">
        <v>192</v>
      </c>
      <c r="T43" s="2" t="s">
        <v>33</v>
      </c>
    </row>
    <row r="44" spans="1:20" ht="22.9" customHeight="1" x14ac:dyDescent="0.3">
      <c r="A44" s="16" t="s">
        <v>429</v>
      </c>
      <c r="B44" s="15"/>
      <c r="C44" s="16" t="s">
        <v>30</v>
      </c>
      <c r="D44" s="17"/>
      <c r="E44" s="17"/>
      <c r="F44" s="17">
        <f>SUMIF(Q41:Q43,"1",F41:F43)</f>
        <v>20033.099999999999</v>
      </c>
      <c r="G44" s="17"/>
      <c r="H44" s="17">
        <f>SUMIF(Q41:Q43,"1",H41:H43)</f>
        <v>0</v>
      </c>
      <c r="I44" s="17"/>
      <c r="J44" s="17">
        <f>SUMIF(Q41:Q43,"1",J41:J43)</f>
        <v>0</v>
      </c>
      <c r="K44" s="17">
        <f t="shared" si="5"/>
        <v>0</v>
      </c>
      <c r="L44" s="17">
        <f t="shared" si="6"/>
        <v>20033.099999999999</v>
      </c>
      <c r="M44" s="15"/>
    </row>
    <row r="45" spans="1:20" ht="22.9" customHeight="1" x14ac:dyDescent="0.3">
      <c r="A45" s="14" t="s">
        <v>441</v>
      </c>
      <c r="B45" s="15"/>
      <c r="C45" s="16" t="s">
        <v>30</v>
      </c>
      <c r="D45" s="17"/>
      <c r="E45" s="17"/>
      <c r="F45" s="17">
        <f>ROUNDDOWN(D45*E45,1)</f>
        <v>0</v>
      </c>
      <c r="G45" s="17"/>
      <c r="H45" s="17">
        <f>ROUNDDOWN(D45*G45,1)</f>
        <v>0</v>
      </c>
      <c r="I45" s="17"/>
      <c r="J45" s="17">
        <f>ROUNDDOWN(D45*I45,1)</f>
        <v>0</v>
      </c>
      <c r="K45" s="17">
        <f t="shared" si="5"/>
        <v>0</v>
      </c>
      <c r="L45" s="17">
        <f t="shared" si="6"/>
        <v>0</v>
      </c>
      <c r="M45" s="15"/>
    </row>
    <row r="46" spans="1:20" ht="22.9" customHeight="1" x14ac:dyDescent="0.3">
      <c r="A46" s="14" t="s">
        <v>409</v>
      </c>
      <c r="B46" s="14" t="s">
        <v>413</v>
      </c>
      <c r="C46" s="16" t="s">
        <v>46</v>
      </c>
      <c r="D46" s="17">
        <v>0.20833333333333334</v>
      </c>
      <c r="E46" s="17">
        <v>0</v>
      </c>
      <c r="F46" s="17">
        <f>ROUNDDOWN(D46*E46,1)</f>
        <v>0</v>
      </c>
      <c r="G46" s="17">
        <f>단가대비표!O38</f>
        <v>238936</v>
      </c>
      <c r="H46" s="17">
        <f>ROUNDDOWN(D46*G46,1)</f>
        <v>49778.3</v>
      </c>
      <c r="I46" s="17">
        <v>0</v>
      </c>
      <c r="J46" s="17">
        <f>ROUNDDOWN(D46*I46,1)</f>
        <v>0</v>
      </c>
      <c r="K46" s="17">
        <f t="shared" si="5"/>
        <v>238936</v>
      </c>
      <c r="L46" s="17">
        <f t="shared" si="6"/>
        <v>49778.3</v>
      </c>
      <c r="M46" s="14" t="s">
        <v>270</v>
      </c>
      <c r="O46" s="2" t="s">
        <v>52</v>
      </c>
      <c r="P46" s="2" t="s">
        <v>438</v>
      </c>
      <c r="Q46" s="1">
        <v>1</v>
      </c>
    </row>
    <row r="47" spans="1:20" ht="22.9" customHeight="1" x14ac:dyDescent="0.3">
      <c r="A47" s="16" t="s">
        <v>429</v>
      </c>
      <c r="B47" s="15"/>
      <c r="C47" s="16" t="s">
        <v>30</v>
      </c>
      <c r="D47" s="17"/>
      <c r="E47" s="17"/>
      <c r="F47" s="17">
        <f>SUMIF(Q45:Q46,"1",F45:F46)</f>
        <v>0</v>
      </c>
      <c r="G47" s="17"/>
      <c r="H47" s="17">
        <f>SUMIF(Q45:Q46,"1",H45:H46)</f>
        <v>49778.3</v>
      </c>
      <c r="I47" s="17"/>
      <c r="J47" s="17">
        <f>SUMIF(Q45:Q46,"1",J45:J46)</f>
        <v>0</v>
      </c>
      <c r="K47" s="17">
        <f t="shared" si="5"/>
        <v>0</v>
      </c>
      <c r="L47" s="17">
        <f t="shared" si="6"/>
        <v>49778.3</v>
      </c>
      <c r="M47" s="15"/>
    </row>
    <row r="48" spans="1:20" ht="22.9" customHeight="1" x14ac:dyDescent="0.3">
      <c r="A48" s="18" t="s">
        <v>439</v>
      </c>
      <c r="B48" s="19"/>
      <c r="C48" s="20"/>
      <c r="D48" s="21"/>
      <c r="E48" s="21"/>
      <c r="F48" s="21">
        <f>ROUNDDOWN(SUMIF(Q38:Q47,"1",F38:F47),0)</f>
        <v>20033</v>
      </c>
      <c r="G48" s="21"/>
      <c r="H48" s="21">
        <f>ROUNDDOWN(SUMIF(Q38:Q47,"1",H38:H47),0)</f>
        <v>49778</v>
      </c>
      <c r="I48" s="21"/>
      <c r="J48" s="21">
        <f>ROUNDDOWN(SUMIF(Q38:Q47,"1",J38:J47),0)</f>
        <v>9986</v>
      </c>
      <c r="K48" s="21"/>
      <c r="L48" s="21">
        <f>F48+H48+J48</f>
        <v>79797</v>
      </c>
      <c r="M48" s="19"/>
    </row>
    <row r="49" spans="1:20" ht="22.9" customHeight="1" x14ac:dyDescent="0.3">
      <c r="A49" s="15"/>
      <c r="B49" s="15"/>
      <c r="C49" s="22"/>
      <c r="D49" s="17"/>
      <c r="E49" s="17"/>
      <c r="F49" s="17"/>
      <c r="G49" s="17"/>
      <c r="H49" s="17"/>
      <c r="I49" s="17"/>
      <c r="J49" s="17"/>
      <c r="K49" s="17"/>
      <c r="L49" s="17"/>
      <c r="M49" s="15"/>
    </row>
    <row r="50" spans="1:20" ht="22.9" customHeight="1" x14ac:dyDescent="0.3">
      <c r="A50" s="76" t="s">
        <v>154</v>
      </c>
      <c r="B50" s="77"/>
      <c r="C50" s="77"/>
      <c r="D50" s="77"/>
      <c r="E50" s="77"/>
      <c r="F50" s="77"/>
      <c r="G50" s="77"/>
      <c r="H50" s="77"/>
      <c r="I50" s="77"/>
      <c r="J50" s="77"/>
      <c r="K50" s="77"/>
      <c r="L50" s="77"/>
      <c r="M50" s="13" t="s">
        <v>174</v>
      </c>
    </row>
    <row r="51" spans="1:20" ht="22.9" customHeight="1" x14ac:dyDescent="0.3">
      <c r="A51" s="14" t="s">
        <v>443</v>
      </c>
      <c r="B51" s="15"/>
      <c r="C51" s="16" t="s">
        <v>30</v>
      </c>
      <c r="D51" s="17"/>
      <c r="E51" s="17"/>
      <c r="F51" s="17">
        <f>ROUNDDOWN(D51*E51,1)</f>
        <v>0</v>
      </c>
      <c r="G51" s="17"/>
      <c r="H51" s="17">
        <f>ROUNDDOWN(D51*G51,1)</f>
        <v>0</v>
      </c>
      <c r="I51" s="17"/>
      <c r="J51" s="17">
        <f>ROUNDDOWN(D51*I51,1)</f>
        <v>0</v>
      </c>
      <c r="K51" s="17">
        <f t="shared" ref="K51:K60" si="7">E51+G51+I51</f>
        <v>0</v>
      </c>
      <c r="L51" s="17">
        <f t="shared" ref="L51:L60" si="8">F51+H51+J51</f>
        <v>0</v>
      </c>
      <c r="M51" s="15"/>
    </row>
    <row r="52" spans="1:20" ht="22.9" customHeight="1" x14ac:dyDescent="0.3">
      <c r="A52" s="14" t="s">
        <v>224</v>
      </c>
      <c r="B52" s="14" t="s">
        <v>392</v>
      </c>
      <c r="C52" s="16" t="s">
        <v>40</v>
      </c>
      <c r="D52" s="17">
        <v>2.8249999999999998E-4</v>
      </c>
      <c r="E52" s="17">
        <v>0</v>
      </c>
      <c r="F52" s="17">
        <f>ROUNDDOWN(D52*E52,1)</f>
        <v>0</v>
      </c>
      <c r="G52" s="17">
        <v>0</v>
      </c>
      <c r="H52" s="17">
        <f>ROUNDDOWN(D52*G52,1)</f>
        <v>0</v>
      </c>
      <c r="I52" s="17">
        <f>단가대비표!O50</f>
        <v>6966000</v>
      </c>
      <c r="J52" s="17">
        <f>ROUNDDOWN(D52*I52,1)</f>
        <v>1967.8</v>
      </c>
      <c r="K52" s="17">
        <f t="shared" si="7"/>
        <v>6966000</v>
      </c>
      <c r="L52" s="17">
        <f t="shared" si="8"/>
        <v>1967.8</v>
      </c>
      <c r="M52" s="14" t="s">
        <v>234</v>
      </c>
      <c r="O52" s="2" t="s">
        <v>48</v>
      </c>
      <c r="P52" s="2" t="s">
        <v>438</v>
      </c>
      <c r="Q52" s="1">
        <v>1</v>
      </c>
    </row>
    <row r="53" spans="1:20" ht="22.9" customHeight="1" x14ac:dyDescent="0.3">
      <c r="A53" s="16" t="s">
        <v>429</v>
      </c>
      <c r="B53" s="15"/>
      <c r="C53" s="16" t="s">
        <v>30</v>
      </c>
      <c r="D53" s="17"/>
      <c r="E53" s="17"/>
      <c r="F53" s="17">
        <f>SUMIF(Q51:Q52,"1",F51:F52)</f>
        <v>0</v>
      </c>
      <c r="G53" s="17"/>
      <c r="H53" s="17">
        <f>SUMIF(Q51:Q52,"1",H51:H52)</f>
        <v>0</v>
      </c>
      <c r="I53" s="17"/>
      <c r="J53" s="17">
        <f>SUMIF(Q51:Q52,"1",J51:J52)</f>
        <v>1967.8</v>
      </c>
      <c r="K53" s="17">
        <f t="shared" si="7"/>
        <v>0</v>
      </c>
      <c r="L53" s="17">
        <f t="shared" si="8"/>
        <v>1967.8</v>
      </c>
      <c r="M53" s="15"/>
    </row>
    <row r="54" spans="1:20" ht="22.9" customHeight="1" x14ac:dyDescent="0.3">
      <c r="A54" s="14" t="s">
        <v>428</v>
      </c>
      <c r="B54" s="15"/>
      <c r="C54" s="16" t="s">
        <v>30</v>
      </c>
      <c r="D54" s="17"/>
      <c r="E54" s="17"/>
      <c r="F54" s="17">
        <f>ROUNDDOWN(D54*E54,1)</f>
        <v>0</v>
      </c>
      <c r="G54" s="17"/>
      <c r="H54" s="17">
        <f>ROUNDDOWN(D54*G54,1)</f>
        <v>0</v>
      </c>
      <c r="I54" s="17"/>
      <c r="J54" s="17">
        <f>ROUNDDOWN(D54*I54,1)</f>
        <v>0</v>
      </c>
      <c r="K54" s="17">
        <f t="shared" si="7"/>
        <v>0</v>
      </c>
      <c r="L54" s="17">
        <f t="shared" si="8"/>
        <v>0</v>
      </c>
      <c r="M54" s="15"/>
    </row>
    <row r="55" spans="1:20" ht="22.9" customHeight="1" x14ac:dyDescent="0.3">
      <c r="A55" s="14" t="s">
        <v>21</v>
      </c>
      <c r="B55" s="14" t="s">
        <v>365</v>
      </c>
      <c r="C55" s="16" t="s">
        <v>14</v>
      </c>
      <c r="D55" s="17">
        <v>2.2000000000000002</v>
      </c>
      <c r="E55" s="17">
        <f>단가대비표!O5</f>
        <v>1657</v>
      </c>
      <c r="F55" s="17">
        <f>ROUNDDOWN(D55*E55,1)</f>
        <v>3645.4</v>
      </c>
      <c r="G55" s="17">
        <v>0</v>
      </c>
      <c r="H55" s="17">
        <f>ROUNDDOWN(D55*G55,1)</f>
        <v>0</v>
      </c>
      <c r="I55" s="17">
        <v>0</v>
      </c>
      <c r="J55" s="17">
        <f>ROUNDDOWN(D55*I55,1)</f>
        <v>0</v>
      </c>
      <c r="K55" s="17">
        <f t="shared" si="7"/>
        <v>1657</v>
      </c>
      <c r="L55" s="17">
        <f t="shared" si="8"/>
        <v>3645.4</v>
      </c>
      <c r="M55" s="15"/>
      <c r="O55" s="2" t="s">
        <v>41</v>
      </c>
      <c r="P55" s="2" t="s">
        <v>438</v>
      </c>
      <c r="Q55" s="1">
        <v>1</v>
      </c>
    </row>
    <row r="56" spans="1:20" ht="22.9" customHeight="1" x14ac:dyDescent="0.3">
      <c r="A56" s="14" t="s">
        <v>47</v>
      </c>
      <c r="B56" s="15" t="str">
        <f>"주연료비의 "&amp;N56*100&amp;"%"</f>
        <v>주연료비의 13%</v>
      </c>
      <c r="C56" s="16" t="s">
        <v>31</v>
      </c>
      <c r="D56" s="17">
        <v>1</v>
      </c>
      <c r="E56" s="17">
        <f>SUMIF(O51:O60,"01",F51:F60)</f>
        <v>3645.4</v>
      </c>
      <c r="F56" s="17">
        <f>ROUNDDOWN((E56)*N56,1)</f>
        <v>473.9</v>
      </c>
      <c r="G56" s="17">
        <v>0</v>
      </c>
      <c r="H56" s="17">
        <v>0</v>
      </c>
      <c r="I56" s="17">
        <v>0</v>
      </c>
      <c r="J56" s="17">
        <v>0</v>
      </c>
      <c r="K56" s="17">
        <f t="shared" si="7"/>
        <v>3645.4</v>
      </c>
      <c r="L56" s="17">
        <f t="shared" si="8"/>
        <v>473.9</v>
      </c>
      <c r="M56" s="14" t="s">
        <v>191</v>
      </c>
      <c r="N56" s="1">
        <v>0.13</v>
      </c>
      <c r="P56" s="2" t="s">
        <v>438</v>
      </c>
      <c r="Q56" s="1">
        <v>1</v>
      </c>
      <c r="R56" s="2" t="s">
        <v>32</v>
      </c>
      <c r="S56" s="2" t="s">
        <v>192</v>
      </c>
      <c r="T56" s="2" t="s">
        <v>33</v>
      </c>
    </row>
    <row r="57" spans="1:20" ht="22.9" customHeight="1" x14ac:dyDescent="0.3">
      <c r="A57" s="16" t="s">
        <v>429</v>
      </c>
      <c r="B57" s="15"/>
      <c r="C57" s="16" t="s">
        <v>30</v>
      </c>
      <c r="D57" s="17"/>
      <c r="E57" s="17"/>
      <c r="F57" s="17">
        <f>SUMIF(Q54:Q56,"1",F54:F56)</f>
        <v>4119.3</v>
      </c>
      <c r="G57" s="17"/>
      <c r="H57" s="17">
        <f>SUMIF(Q54:Q56,"1",H54:H56)</f>
        <v>0</v>
      </c>
      <c r="I57" s="17"/>
      <c r="J57" s="17">
        <f>SUMIF(Q54:Q56,"1",J54:J56)</f>
        <v>0</v>
      </c>
      <c r="K57" s="17">
        <f t="shared" si="7"/>
        <v>0</v>
      </c>
      <c r="L57" s="17">
        <f t="shared" si="8"/>
        <v>4119.3</v>
      </c>
      <c r="M57" s="15"/>
    </row>
    <row r="58" spans="1:20" ht="22.9" customHeight="1" x14ac:dyDescent="0.3">
      <c r="A58" s="14" t="s">
        <v>441</v>
      </c>
      <c r="B58" s="15"/>
      <c r="C58" s="16" t="s">
        <v>30</v>
      </c>
      <c r="D58" s="17"/>
      <c r="E58" s="17"/>
      <c r="F58" s="17">
        <f>ROUNDDOWN(D58*E58,1)</f>
        <v>0</v>
      </c>
      <c r="G58" s="17"/>
      <c r="H58" s="17">
        <f>ROUNDDOWN(D58*G58,1)</f>
        <v>0</v>
      </c>
      <c r="I58" s="17"/>
      <c r="J58" s="17">
        <f>ROUNDDOWN(D58*I58,1)</f>
        <v>0</v>
      </c>
      <c r="K58" s="17">
        <f t="shared" si="7"/>
        <v>0</v>
      </c>
      <c r="L58" s="17">
        <f t="shared" si="8"/>
        <v>0</v>
      </c>
      <c r="M58" s="15"/>
    </row>
    <row r="59" spans="1:20" ht="22.9" customHeight="1" x14ac:dyDescent="0.3">
      <c r="A59" s="14" t="s">
        <v>388</v>
      </c>
      <c r="B59" s="14" t="s">
        <v>413</v>
      </c>
      <c r="C59" s="16" t="s">
        <v>46</v>
      </c>
      <c r="D59" s="17">
        <v>0.20833333333333334</v>
      </c>
      <c r="E59" s="17">
        <v>0</v>
      </c>
      <c r="F59" s="17">
        <f>ROUNDDOWN(D59*E59,1)</f>
        <v>0</v>
      </c>
      <c r="G59" s="17">
        <f>단가대비표!O32</f>
        <v>173995</v>
      </c>
      <c r="H59" s="17">
        <f>ROUNDDOWN(D59*G59,1)</f>
        <v>36248.9</v>
      </c>
      <c r="I59" s="17">
        <v>0</v>
      </c>
      <c r="J59" s="17">
        <f>ROUNDDOWN(D59*I59,1)</f>
        <v>0</v>
      </c>
      <c r="K59" s="17">
        <f t="shared" si="7"/>
        <v>173995</v>
      </c>
      <c r="L59" s="17">
        <f t="shared" si="8"/>
        <v>36248.9</v>
      </c>
      <c r="M59" s="14" t="s">
        <v>393</v>
      </c>
      <c r="O59" s="2" t="s">
        <v>52</v>
      </c>
      <c r="P59" s="2" t="s">
        <v>438</v>
      </c>
      <c r="Q59" s="1">
        <v>1</v>
      </c>
    </row>
    <row r="60" spans="1:20" ht="22.9" customHeight="1" x14ac:dyDescent="0.3">
      <c r="A60" s="16" t="s">
        <v>429</v>
      </c>
      <c r="B60" s="15"/>
      <c r="C60" s="16" t="s">
        <v>30</v>
      </c>
      <c r="D60" s="17"/>
      <c r="E60" s="17"/>
      <c r="F60" s="17">
        <f>SUMIF(Q58:Q59,"1",F58:F59)</f>
        <v>0</v>
      </c>
      <c r="G60" s="17"/>
      <c r="H60" s="17">
        <f>SUMIF(Q58:Q59,"1",H58:H59)</f>
        <v>36248.9</v>
      </c>
      <c r="I60" s="17"/>
      <c r="J60" s="17">
        <f>SUMIF(Q58:Q59,"1",J58:J59)</f>
        <v>0</v>
      </c>
      <c r="K60" s="17">
        <f t="shared" si="7"/>
        <v>0</v>
      </c>
      <c r="L60" s="17">
        <f t="shared" si="8"/>
        <v>36248.9</v>
      </c>
      <c r="M60" s="15"/>
    </row>
    <row r="61" spans="1:20" ht="22.9" customHeight="1" x14ac:dyDescent="0.3">
      <c r="A61" s="18" t="s">
        <v>439</v>
      </c>
      <c r="B61" s="19"/>
      <c r="C61" s="20"/>
      <c r="D61" s="21"/>
      <c r="E61" s="21"/>
      <c r="F61" s="21">
        <f>ROUNDDOWN(SUMIF(Q51:Q60,"1",F51:F60),0)</f>
        <v>4119</v>
      </c>
      <c r="G61" s="21"/>
      <c r="H61" s="21">
        <f>ROUNDDOWN(SUMIF(Q51:Q60,"1",H51:H60),0)</f>
        <v>36248</v>
      </c>
      <c r="I61" s="21"/>
      <c r="J61" s="21">
        <f>ROUNDDOWN(SUMIF(Q51:Q60,"1",J51:J60),0)</f>
        <v>1967</v>
      </c>
      <c r="K61" s="21"/>
      <c r="L61" s="21">
        <f>F61+H61+J61</f>
        <v>42334</v>
      </c>
      <c r="M61" s="19"/>
    </row>
    <row r="62" spans="1:20" ht="22.9" customHeight="1" x14ac:dyDescent="0.3">
      <c r="A62" s="15"/>
      <c r="B62" s="15"/>
      <c r="C62" s="22"/>
      <c r="D62" s="17"/>
      <c r="E62" s="17"/>
      <c r="F62" s="17"/>
      <c r="G62" s="17"/>
      <c r="H62" s="17"/>
      <c r="I62" s="17"/>
      <c r="J62" s="17"/>
      <c r="K62" s="17"/>
      <c r="L62" s="17"/>
      <c r="M62" s="15"/>
    </row>
    <row r="63" spans="1:20" ht="22.9" customHeight="1" x14ac:dyDescent="0.3">
      <c r="A63" s="76" t="s">
        <v>315</v>
      </c>
      <c r="B63" s="77"/>
      <c r="C63" s="77"/>
      <c r="D63" s="77"/>
      <c r="E63" s="77"/>
      <c r="F63" s="77"/>
      <c r="G63" s="77"/>
      <c r="H63" s="77"/>
      <c r="I63" s="77"/>
      <c r="J63" s="77"/>
      <c r="K63" s="77"/>
      <c r="L63" s="77"/>
      <c r="M63" s="13" t="s">
        <v>158</v>
      </c>
    </row>
    <row r="64" spans="1:20" ht="22.9" customHeight="1" x14ac:dyDescent="0.3">
      <c r="A64" s="14" t="s">
        <v>443</v>
      </c>
      <c r="B64" s="15"/>
      <c r="C64" s="16" t="s">
        <v>30</v>
      </c>
      <c r="D64" s="17"/>
      <c r="E64" s="17"/>
      <c r="F64" s="17">
        <f>ROUNDDOWN(D64*E64,1)</f>
        <v>0</v>
      </c>
      <c r="G64" s="17"/>
      <c r="H64" s="17">
        <f>ROUNDDOWN(D64*G64,1)</f>
        <v>0</v>
      </c>
      <c r="I64" s="17"/>
      <c r="J64" s="17">
        <f>ROUNDDOWN(D64*I64,1)</f>
        <v>0</v>
      </c>
      <c r="K64" s="17">
        <f t="shared" ref="K64:K73" si="9">E64+G64+I64</f>
        <v>0</v>
      </c>
      <c r="L64" s="17">
        <f t="shared" ref="L64:L73" si="10">F64+H64+J64</f>
        <v>0</v>
      </c>
      <c r="M64" s="15"/>
    </row>
    <row r="65" spans="1:20" ht="22.9" customHeight="1" x14ac:dyDescent="0.3">
      <c r="A65" s="14" t="s">
        <v>269</v>
      </c>
      <c r="B65" s="14" t="s">
        <v>402</v>
      </c>
      <c r="C65" s="16" t="s">
        <v>40</v>
      </c>
      <c r="D65" s="17">
        <v>2.085E-4</v>
      </c>
      <c r="E65" s="17">
        <v>0</v>
      </c>
      <c r="F65" s="17">
        <f>ROUNDDOWN(D65*E65,1)</f>
        <v>0</v>
      </c>
      <c r="G65" s="17">
        <v>0</v>
      </c>
      <c r="H65" s="17">
        <f>ROUNDDOWN(D65*G65,1)</f>
        <v>0</v>
      </c>
      <c r="I65" s="17">
        <f>단가대비표!O42</f>
        <v>117766000</v>
      </c>
      <c r="J65" s="17">
        <f>ROUNDDOWN(D65*I65,1)</f>
        <v>24554.2</v>
      </c>
      <c r="K65" s="17">
        <f t="shared" si="9"/>
        <v>117766000</v>
      </c>
      <c r="L65" s="17">
        <f t="shared" si="10"/>
        <v>24554.2</v>
      </c>
      <c r="M65" s="14" t="s">
        <v>233</v>
      </c>
      <c r="O65" s="2" t="s">
        <v>48</v>
      </c>
      <c r="P65" s="2" t="s">
        <v>438</v>
      </c>
      <c r="Q65" s="1">
        <v>1</v>
      </c>
    </row>
    <row r="66" spans="1:20" ht="22.9" customHeight="1" x14ac:dyDescent="0.3">
      <c r="A66" s="16" t="s">
        <v>429</v>
      </c>
      <c r="B66" s="15"/>
      <c r="C66" s="16" t="s">
        <v>30</v>
      </c>
      <c r="D66" s="17"/>
      <c r="E66" s="17"/>
      <c r="F66" s="17">
        <f>SUMIF(Q64:Q65,"1",F64:F65)</f>
        <v>0</v>
      </c>
      <c r="G66" s="17"/>
      <c r="H66" s="17">
        <f>SUMIF(Q64:Q65,"1",H64:H65)</f>
        <v>0</v>
      </c>
      <c r="I66" s="17"/>
      <c r="J66" s="17">
        <f>SUMIF(Q64:Q65,"1",J64:J65)</f>
        <v>24554.2</v>
      </c>
      <c r="K66" s="17">
        <f t="shared" si="9"/>
        <v>0</v>
      </c>
      <c r="L66" s="17">
        <f t="shared" si="10"/>
        <v>24554.2</v>
      </c>
      <c r="M66" s="15"/>
    </row>
    <row r="67" spans="1:20" ht="22.9" customHeight="1" x14ac:dyDescent="0.3">
      <c r="A67" s="14" t="s">
        <v>428</v>
      </c>
      <c r="B67" s="15"/>
      <c r="C67" s="16" t="s">
        <v>30</v>
      </c>
      <c r="D67" s="17"/>
      <c r="E67" s="17"/>
      <c r="F67" s="17">
        <f>ROUNDDOWN(D67*E67,1)</f>
        <v>0</v>
      </c>
      <c r="G67" s="17"/>
      <c r="H67" s="17">
        <f>ROUNDDOWN(D67*G67,1)</f>
        <v>0</v>
      </c>
      <c r="I67" s="17"/>
      <c r="J67" s="17">
        <f>ROUNDDOWN(D67*I67,1)</f>
        <v>0</v>
      </c>
      <c r="K67" s="17">
        <f t="shared" si="9"/>
        <v>0</v>
      </c>
      <c r="L67" s="17">
        <f t="shared" si="10"/>
        <v>0</v>
      </c>
      <c r="M67" s="15"/>
    </row>
    <row r="68" spans="1:20" ht="22.9" customHeight="1" x14ac:dyDescent="0.3">
      <c r="A68" s="14" t="s">
        <v>21</v>
      </c>
      <c r="B68" s="14" t="s">
        <v>365</v>
      </c>
      <c r="C68" s="16" t="s">
        <v>14</v>
      </c>
      <c r="D68" s="17">
        <v>11.6</v>
      </c>
      <c r="E68" s="17">
        <f>단가대비표!O5</f>
        <v>1657</v>
      </c>
      <c r="F68" s="17">
        <f>ROUNDDOWN(D68*E68,1)</f>
        <v>19221.2</v>
      </c>
      <c r="G68" s="17">
        <v>0</v>
      </c>
      <c r="H68" s="17">
        <f>ROUNDDOWN(D68*G68,1)</f>
        <v>0</v>
      </c>
      <c r="I68" s="17">
        <v>0</v>
      </c>
      <c r="J68" s="17">
        <f>ROUNDDOWN(D68*I68,1)</f>
        <v>0</v>
      </c>
      <c r="K68" s="17">
        <f t="shared" si="9"/>
        <v>1657</v>
      </c>
      <c r="L68" s="17">
        <f t="shared" si="10"/>
        <v>19221.2</v>
      </c>
      <c r="M68" s="15"/>
      <c r="O68" s="2" t="s">
        <v>41</v>
      </c>
      <c r="P68" s="2" t="s">
        <v>438</v>
      </c>
      <c r="Q68" s="1">
        <v>1</v>
      </c>
    </row>
    <row r="69" spans="1:20" ht="22.9" customHeight="1" x14ac:dyDescent="0.3">
      <c r="A69" s="14" t="s">
        <v>47</v>
      </c>
      <c r="B69" s="15" t="str">
        <f>"주연료비의 "&amp;N69*100&amp;"%"</f>
        <v>주연료비의 22%</v>
      </c>
      <c r="C69" s="16" t="s">
        <v>31</v>
      </c>
      <c r="D69" s="17">
        <v>1</v>
      </c>
      <c r="E69" s="17">
        <f>SUMIF(O64:O73,"01",F64:F73)</f>
        <v>19221.2</v>
      </c>
      <c r="F69" s="17">
        <f>ROUNDDOWN((E69)*N69,1)</f>
        <v>4228.6000000000004</v>
      </c>
      <c r="G69" s="17">
        <v>0</v>
      </c>
      <c r="H69" s="17">
        <v>0</v>
      </c>
      <c r="I69" s="17">
        <v>0</v>
      </c>
      <c r="J69" s="17">
        <v>0</v>
      </c>
      <c r="K69" s="17">
        <f t="shared" si="9"/>
        <v>19221.2</v>
      </c>
      <c r="L69" s="17">
        <f t="shared" si="10"/>
        <v>4228.6000000000004</v>
      </c>
      <c r="M69" s="14" t="s">
        <v>191</v>
      </c>
      <c r="N69" s="1">
        <v>0.22</v>
      </c>
      <c r="P69" s="2" t="s">
        <v>438</v>
      </c>
      <c r="Q69" s="1">
        <v>1</v>
      </c>
      <c r="R69" s="2" t="s">
        <v>32</v>
      </c>
      <c r="S69" s="2" t="s">
        <v>192</v>
      </c>
      <c r="T69" s="2" t="s">
        <v>33</v>
      </c>
    </row>
    <row r="70" spans="1:20" ht="22.9" customHeight="1" x14ac:dyDescent="0.3">
      <c r="A70" s="16" t="s">
        <v>429</v>
      </c>
      <c r="B70" s="15"/>
      <c r="C70" s="16" t="s">
        <v>30</v>
      </c>
      <c r="D70" s="17"/>
      <c r="E70" s="17"/>
      <c r="F70" s="17">
        <f>SUMIF(Q67:Q69,"1",F67:F69)</f>
        <v>23449.800000000003</v>
      </c>
      <c r="G70" s="17"/>
      <c r="H70" s="17">
        <f>SUMIF(Q67:Q69,"1",H67:H69)</f>
        <v>0</v>
      </c>
      <c r="I70" s="17"/>
      <c r="J70" s="17">
        <f>SUMIF(Q67:Q69,"1",J67:J69)</f>
        <v>0</v>
      </c>
      <c r="K70" s="17">
        <f t="shared" si="9"/>
        <v>0</v>
      </c>
      <c r="L70" s="17">
        <f t="shared" si="10"/>
        <v>23449.800000000003</v>
      </c>
      <c r="M70" s="15"/>
    </row>
    <row r="71" spans="1:20" ht="22.9" customHeight="1" x14ac:dyDescent="0.3">
      <c r="A71" s="14" t="s">
        <v>441</v>
      </c>
      <c r="B71" s="15"/>
      <c r="C71" s="16" t="s">
        <v>30</v>
      </c>
      <c r="D71" s="17"/>
      <c r="E71" s="17"/>
      <c r="F71" s="17">
        <f>ROUNDDOWN(D71*E71,1)</f>
        <v>0</v>
      </c>
      <c r="G71" s="17"/>
      <c r="H71" s="17">
        <f>ROUNDDOWN(D71*G71,1)</f>
        <v>0</v>
      </c>
      <c r="I71" s="17"/>
      <c r="J71" s="17">
        <f>ROUNDDOWN(D71*I71,1)</f>
        <v>0</v>
      </c>
      <c r="K71" s="17">
        <f t="shared" si="9"/>
        <v>0</v>
      </c>
      <c r="L71" s="17">
        <f t="shared" si="10"/>
        <v>0</v>
      </c>
      <c r="M71" s="15"/>
    </row>
    <row r="72" spans="1:20" ht="22.9" customHeight="1" x14ac:dyDescent="0.3">
      <c r="A72" s="14" t="s">
        <v>412</v>
      </c>
      <c r="B72" s="14" t="s">
        <v>413</v>
      </c>
      <c r="C72" s="16" t="s">
        <v>46</v>
      </c>
      <c r="D72" s="17">
        <v>0.20833333333333334</v>
      </c>
      <c r="E72" s="17">
        <v>0</v>
      </c>
      <c r="F72" s="17">
        <f>ROUNDDOWN(D72*E72,1)</f>
        <v>0</v>
      </c>
      <c r="G72" s="17">
        <f>단가대비표!O23</f>
        <v>283297</v>
      </c>
      <c r="H72" s="17">
        <f>ROUNDDOWN(D72*G72,1)</f>
        <v>59020.2</v>
      </c>
      <c r="I72" s="17">
        <v>0</v>
      </c>
      <c r="J72" s="17">
        <f>ROUNDDOWN(D72*I72,1)</f>
        <v>0</v>
      </c>
      <c r="K72" s="17">
        <f t="shared" si="9"/>
        <v>283297</v>
      </c>
      <c r="L72" s="17">
        <f t="shared" si="10"/>
        <v>59020.2</v>
      </c>
      <c r="M72" s="14" t="s">
        <v>272</v>
      </c>
      <c r="O72" s="2" t="s">
        <v>52</v>
      </c>
      <c r="P72" s="2" t="s">
        <v>438</v>
      </c>
      <c r="Q72" s="1">
        <v>1</v>
      </c>
    </row>
    <row r="73" spans="1:20" ht="22.9" customHeight="1" x14ac:dyDescent="0.3">
      <c r="A73" s="16" t="s">
        <v>429</v>
      </c>
      <c r="B73" s="15"/>
      <c r="C73" s="16" t="s">
        <v>30</v>
      </c>
      <c r="D73" s="17"/>
      <c r="E73" s="17"/>
      <c r="F73" s="17">
        <f>SUMIF(Q71:Q72,"1",F71:F72)</f>
        <v>0</v>
      </c>
      <c r="G73" s="17"/>
      <c r="H73" s="17">
        <f>SUMIF(Q71:Q72,"1",H71:H72)</f>
        <v>59020.2</v>
      </c>
      <c r="I73" s="17"/>
      <c r="J73" s="17">
        <f>SUMIF(Q71:Q72,"1",J71:J72)</f>
        <v>0</v>
      </c>
      <c r="K73" s="17">
        <f t="shared" si="9"/>
        <v>0</v>
      </c>
      <c r="L73" s="17">
        <f t="shared" si="10"/>
        <v>59020.2</v>
      </c>
      <c r="M73" s="15"/>
    </row>
    <row r="74" spans="1:20" ht="22.9" customHeight="1" x14ac:dyDescent="0.3">
      <c r="A74" s="18" t="s">
        <v>439</v>
      </c>
      <c r="B74" s="19"/>
      <c r="C74" s="20"/>
      <c r="D74" s="21"/>
      <c r="E74" s="21"/>
      <c r="F74" s="21">
        <f>ROUNDDOWN(SUMIF(Q64:Q73,"1",F64:F73),0)</f>
        <v>23449</v>
      </c>
      <c r="G74" s="21"/>
      <c r="H74" s="21">
        <f>ROUNDDOWN(SUMIF(Q64:Q73,"1",H64:H73),0)</f>
        <v>59020</v>
      </c>
      <c r="I74" s="21"/>
      <c r="J74" s="21">
        <f>ROUNDDOWN(SUMIF(Q64:Q73,"1",J64:J73),0)</f>
        <v>24554</v>
      </c>
      <c r="K74" s="21"/>
      <c r="L74" s="21">
        <f>F74+H74+J74</f>
        <v>107023</v>
      </c>
      <c r="M74" s="19"/>
    </row>
    <row r="75" spans="1:20" ht="22.9" customHeight="1" x14ac:dyDescent="0.3">
      <c r="A75" s="15"/>
      <c r="B75" s="15"/>
      <c r="C75" s="22"/>
      <c r="D75" s="17"/>
      <c r="E75" s="17"/>
      <c r="F75" s="17"/>
      <c r="G75" s="17"/>
      <c r="H75" s="17"/>
      <c r="I75" s="17"/>
      <c r="J75" s="17"/>
      <c r="K75" s="17"/>
      <c r="L75" s="17"/>
      <c r="M75" s="15"/>
    </row>
    <row r="76" spans="1:20" ht="22.9" customHeight="1" x14ac:dyDescent="0.3">
      <c r="A76" s="76" t="s">
        <v>147</v>
      </c>
      <c r="B76" s="77"/>
      <c r="C76" s="77"/>
      <c r="D76" s="77"/>
      <c r="E76" s="77"/>
      <c r="F76" s="77"/>
      <c r="G76" s="77"/>
      <c r="H76" s="77"/>
      <c r="I76" s="77"/>
      <c r="J76" s="77"/>
      <c r="K76" s="77"/>
      <c r="L76" s="77"/>
      <c r="M76" s="13" t="s">
        <v>178</v>
      </c>
    </row>
    <row r="77" spans="1:20" ht="22.9" customHeight="1" x14ac:dyDescent="0.3">
      <c r="A77" s="14" t="s">
        <v>443</v>
      </c>
      <c r="B77" s="15"/>
      <c r="C77" s="16" t="s">
        <v>30</v>
      </c>
      <c r="D77" s="17"/>
      <c r="E77" s="17"/>
      <c r="F77" s="17">
        <f>ROUNDDOWN(D77*E77,1)</f>
        <v>0</v>
      </c>
      <c r="G77" s="17"/>
      <c r="H77" s="17">
        <f>ROUNDDOWN(D77*G77,1)</f>
        <v>0</v>
      </c>
      <c r="I77" s="17"/>
      <c r="J77" s="17">
        <f>ROUNDDOWN(D77*I77,1)</f>
        <v>0</v>
      </c>
      <c r="K77" s="17">
        <f t="shared" ref="K77:K86" si="11">E77+G77+I77</f>
        <v>0</v>
      </c>
      <c r="L77" s="17">
        <f t="shared" ref="L77:L86" si="12">F77+H77+J77</f>
        <v>0</v>
      </c>
      <c r="M77" s="15"/>
    </row>
    <row r="78" spans="1:20" ht="22.9" customHeight="1" x14ac:dyDescent="0.3">
      <c r="A78" s="14" t="s">
        <v>197</v>
      </c>
      <c r="B78" s="14" t="s">
        <v>228</v>
      </c>
      <c r="C78" s="16" t="s">
        <v>40</v>
      </c>
      <c r="D78" s="17">
        <v>1.8090000000000001E-4</v>
      </c>
      <c r="E78" s="17">
        <v>0</v>
      </c>
      <c r="F78" s="17">
        <f>ROUNDDOWN(D78*E78,1)</f>
        <v>0</v>
      </c>
      <c r="G78" s="17">
        <v>0</v>
      </c>
      <c r="H78" s="17">
        <f>ROUNDDOWN(D78*G78,1)</f>
        <v>0</v>
      </c>
      <c r="I78" s="17">
        <f>단가대비표!O46</f>
        <v>78059000</v>
      </c>
      <c r="J78" s="17">
        <f>ROUNDDOWN(D78*I78,1)</f>
        <v>14120.8</v>
      </c>
      <c r="K78" s="17">
        <f t="shared" si="11"/>
        <v>78059000</v>
      </c>
      <c r="L78" s="17">
        <f t="shared" si="12"/>
        <v>14120.8</v>
      </c>
      <c r="M78" s="14" t="s">
        <v>229</v>
      </c>
      <c r="O78" s="2" t="s">
        <v>48</v>
      </c>
      <c r="P78" s="2" t="s">
        <v>438</v>
      </c>
      <c r="Q78" s="1">
        <v>1</v>
      </c>
    </row>
    <row r="79" spans="1:20" ht="22.9" customHeight="1" x14ac:dyDescent="0.3">
      <c r="A79" s="16" t="s">
        <v>429</v>
      </c>
      <c r="B79" s="15"/>
      <c r="C79" s="16" t="s">
        <v>30</v>
      </c>
      <c r="D79" s="17"/>
      <c r="E79" s="17"/>
      <c r="F79" s="17">
        <f>SUMIF(Q77:Q78,"1",F77:F78)</f>
        <v>0</v>
      </c>
      <c r="G79" s="17"/>
      <c r="H79" s="17">
        <f>SUMIF(Q77:Q78,"1",H77:H78)</f>
        <v>0</v>
      </c>
      <c r="I79" s="17"/>
      <c r="J79" s="17">
        <f>SUMIF(Q77:Q78,"1",J77:J78)</f>
        <v>14120.8</v>
      </c>
      <c r="K79" s="17">
        <f t="shared" si="11"/>
        <v>0</v>
      </c>
      <c r="L79" s="17">
        <f t="shared" si="12"/>
        <v>14120.8</v>
      </c>
      <c r="M79" s="15"/>
    </row>
    <row r="80" spans="1:20" ht="22.9" customHeight="1" x14ac:dyDescent="0.3">
      <c r="A80" s="14" t="s">
        <v>428</v>
      </c>
      <c r="B80" s="15"/>
      <c r="C80" s="16" t="s">
        <v>30</v>
      </c>
      <c r="D80" s="17"/>
      <c r="E80" s="17"/>
      <c r="F80" s="17">
        <f>ROUNDDOWN(D80*E80,1)</f>
        <v>0</v>
      </c>
      <c r="G80" s="17"/>
      <c r="H80" s="17">
        <f>ROUNDDOWN(D80*G80,1)</f>
        <v>0</v>
      </c>
      <c r="I80" s="17"/>
      <c r="J80" s="17">
        <f>ROUNDDOWN(D80*I80,1)</f>
        <v>0</v>
      </c>
      <c r="K80" s="17">
        <f t="shared" si="11"/>
        <v>0</v>
      </c>
      <c r="L80" s="17">
        <f t="shared" si="12"/>
        <v>0</v>
      </c>
      <c r="M80" s="15"/>
    </row>
    <row r="81" spans="1:20" ht="22.9" customHeight="1" x14ac:dyDescent="0.3">
      <c r="A81" s="14" t="s">
        <v>21</v>
      </c>
      <c r="B81" s="14" t="s">
        <v>365</v>
      </c>
      <c r="C81" s="16" t="s">
        <v>14</v>
      </c>
      <c r="D81" s="17">
        <v>5.8</v>
      </c>
      <c r="E81" s="17">
        <f>단가대비표!O5</f>
        <v>1657</v>
      </c>
      <c r="F81" s="17">
        <f>ROUNDDOWN(D81*E81,1)</f>
        <v>9610.6</v>
      </c>
      <c r="G81" s="17">
        <v>0</v>
      </c>
      <c r="H81" s="17">
        <f>ROUNDDOWN(D81*G81,1)</f>
        <v>0</v>
      </c>
      <c r="I81" s="17">
        <v>0</v>
      </c>
      <c r="J81" s="17">
        <f>ROUNDDOWN(D81*I81,1)</f>
        <v>0</v>
      </c>
      <c r="K81" s="17">
        <f t="shared" si="11"/>
        <v>1657</v>
      </c>
      <c r="L81" s="17">
        <f t="shared" si="12"/>
        <v>9610.6</v>
      </c>
      <c r="M81" s="15"/>
      <c r="O81" s="2" t="s">
        <v>41</v>
      </c>
      <c r="P81" s="2" t="s">
        <v>438</v>
      </c>
      <c r="Q81" s="1">
        <v>1</v>
      </c>
    </row>
    <row r="82" spans="1:20" ht="22.9" customHeight="1" x14ac:dyDescent="0.3">
      <c r="A82" s="14" t="s">
        <v>47</v>
      </c>
      <c r="B82" s="15" t="str">
        <f>"주연료비의 "&amp;N82*100&amp;"%"</f>
        <v>주연료비의 20%</v>
      </c>
      <c r="C82" s="16" t="s">
        <v>31</v>
      </c>
      <c r="D82" s="17">
        <v>1</v>
      </c>
      <c r="E82" s="17">
        <f>SUMIF(O77:O86,"01",F77:F86)</f>
        <v>9610.6</v>
      </c>
      <c r="F82" s="17">
        <f>ROUNDDOWN((E82)*N82,1)</f>
        <v>1922.1</v>
      </c>
      <c r="G82" s="17">
        <v>0</v>
      </c>
      <c r="H82" s="17">
        <v>0</v>
      </c>
      <c r="I82" s="17">
        <v>0</v>
      </c>
      <c r="J82" s="17">
        <v>0</v>
      </c>
      <c r="K82" s="17">
        <f t="shared" si="11"/>
        <v>9610.6</v>
      </c>
      <c r="L82" s="17">
        <f t="shared" si="12"/>
        <v>1922.1</v>
      </c>
      <c r="M82" s="14" t="s">
        <v>191</v>
      </c>
      <c r="N82" s="1">
        <v>0.2</v>
      </c>
      <c r="P82" s="2" t="s">
        <v>438</v>
      </c>
      <c r="Q82" s="1">
        <v>1</v>
      </c>
      <c r="R82" s="2" t="s">
        <v>32</v>
      </c>
      <c r="S82" s="2" t="s">
        <v>192</v>
      </c>
      <c r="T82" s="2" t="s">
        <v>33</v>
      </c>
    </row>
    <row r="83" spans="1:20" ht="22.9" customHeight="1" x14ac:dyDescent="0.3">
      <c r="A83" s="16" t="s">
        <v>429</v>
      </c>
      <c r="B83" s="15"/>
      <c r="C83" s="16" t="s">
        <v>30</v>
      </c>
      <c r="D83" s="17"/>
      <c r="E83" s="17"/>
      <c r="F83" s="17">
        <f>SUMIF(Q80:Q82,"1",F80:F82)</f>
        <v>11532.7</v>
      </c>
      <c r="G83" s="17"/>
      <c r="H83" s="17">
        <f>SUMIF(Q80:Q82,"1",H80:H82)</f>
        <v>0</v>
      </c>
      <c r="I83" s="17"/>
      <c r="J83" s="17">
        <f>SUMIF(Q80:Q82,"1",J80:J82)</f>
        <v>0</v>
      </c>
      <c r="K83" s="17">
        <f t="shared" si="11"/>
        <v>0</v>
      </c>
      <c r="L83" s="17">
        <f t="shared" si="12"/>
        <v>11532.7</v>
      </c>
      <c r="M83" s="15"/>
    </row>
    <row r="84" spans="1:20" ht="22.9" customHeight="1" x14ac:dyDescent="0.3">
      <c r="A84" s="14" t="s">
        <v>441</v>
      </c>
      <c r="B84" s="15"/>
      <c r="C84" s="16" t="s">
        <v>30</v>
      </c>
      <c r="D84" s="17"/>
      <c r="E84" s="17"/>
      <c r="F84" s="17">
        <f>ROUNDDOWN(D84*E84,1)</f>
        <v>0</v>
      </c>
      <c r="G84" s="17"/>
      <c r="H84" s="17">
        <f>ROUNDDOWN(D84*G84,1)</f>
        <v>0</v>
      </c>
      <c r="I84" s="17"/>
      <c r="J84" s="17">
        <f>ROUNDDOWN(D84*I84,1)</f>
        <v>0</v>
      </c>
      <c r="K84" s="17">
        <f t="shared" si="11"/>
        <v>0</v>
      </c>
      <c r="L84" s="17">
        <f t="shared" si="12"/>
        <v>0</v>
      </c>
      <c r="M84" s="15"/>
    </row>
    <row r="85" spans="1:20" ht="22.9" customHeight="1" x14ac:dyDescent="0.3">
      <c r="A85" s="14" t="s">
        <v>412</v>
      </c>
      <c r="B85" s="14" t="s">
        <v>413</v>
      </c>
      <c r="C85" s="16" t="s">
        <v>46</v>
      </c>
      <c r="D85" s="17">
        <v>0.20833333333333334</v>
      </c>
      <c r="E85" s="17">
        <v>0</v>
      </c>
      <c r="F85" s="17">
        <f>ROUNDDOWN(D85*E85,1)</f>
        <v>0</v>
      </c>
      <c r="G85" s="17">
        <f>단가대비표!O23</f>
        <v>283297</v>
      </c>
      <c r="H85" s="17">
        <f>ROUNDDOWN(D85*G85,1)</f>
        <v>59020.2</v>
      </c>
      <c r="I85" s="17">
        <v>0</v>
      </c>
      <c r="J85" s="17">
        <f>ROUNDDOWN(D85*I85,1)</f>
        <v>0</v>
      </c>
      <c r="K85" s="17">
        <f t="shared" si="11"/>
        <v>283297</v>
      </c>
      <c r="L85" s="17">
        <f t="shared" si="12"/>
        <v>59020.2</v>
      </c>
      <c r="M85" s="14" t="s">
        <v>272</v>
      </c>
      <c r="O85" s="2" t="s">
        <v>52</v>
      </c>
      <c r="P85" s="2" t="s">
        <v>438</v>
      </c>
      <c r="Q85" s="1">
        <v>1</v>
      </c>
    </row>
    <row r="86" spans="1:20" ht="22.9" customHeight="1" x14ac:dyDescent="0.3">
      <c r="A86" s="16" t="s">
        <v>429</v>
      </c>
      <c r="B86" s="15"/>
      <c r="C86" s="16" t="s">
        <v>30</v>
      </c>
      <c r="D86" s="17"/>
      <c r="E86" s="17"/>
      <c r="F86" s="17">
        <f>SUMIF(Q84:Q85,"1",F84:F85)</f>
        <v>0</v>
      </c>
      <c r="G86" s="17"/>
      <c r="H86" s="17">
        <f>SUMIF(Q84:Q85,"1",H84:H85)</f>
        <v>59020.2</v>
      </c>
      <c r="I86" s="17"/>
      <c r="J86" s="17">
        <f>SUMIF(Q84:Q85,"1",J84:J85)</f>
        <v>0</v>
      </c>
      <c r="K86" s="17">
        <f t="shared" si="11"/>
        <v>0</v>
      </c>
      <c r="L86" s="17">
        <f t="shared" si="12"/>
        <v>59020.2</v>
      </c>
      <c r="M86" s="15"/>
    </row>
    <row r="87" spans="1:20" ht="22.9" customHeight="1" x14ac:dyDescent="0.3">
      <c r="A87" s="18" t="s">
        <v>439</v>
      </c>
      <c r="B87" s="19"/>
      <c r="C87" s="20"/>
      <c r="D87" s="21"/>
      <c r="E87" s="21"/>
      <c r="F87" s="21">
        <f>ROUNDDOWN(SUMIF(Q77:Q86,"1",F77:F86),0)</f>
        <v>11532</v>
      </c>
      <c r="G87" s="21"/>
      <c r="H87" s="21">
        <f>ROUNDDOWN(SUMIF(Q77:Q86,"1",H77:H86),0)</f>
        <v>59020</v>
      </c>
      <c r="I87" s="21"/>
      <c r="J87" s="21">
        <f>ROUNDDOWN(SUMIF(Q77:Q86,"1",J77:J86),0)</f>
        <v>14120</v>
      </c>
      <c r="K87" s="21"/>
      <c r="L87" s="21">
        <f>F87+H87+J87</f>
        <v>84672</v>
      </c>
      <c r="M87" s="19"/>
    </row>
    <row r="88" spans="1:20" ht="22.9" customHeight="1" x14ac:dyDescent="0.3">
      <c r="A88" s="15"/>
      <c r="B88" s="15"/>
      <c r="C88" s="22"/>
      <c r="D88" s="17"/>
      <c r="E88" s="17"/>
      <c r="F88" s="17"/>
      <c r="G88" s="17"/>
      <c r="H88" s="17"/>
      <c r="I88" s="17"/>
      <c r="J88" s="17"/>
      <c r="K88" s="17"/>
      <c r="L88" s="17"/>
      <c r="M88" s="15"/>
    </row>
    <row r="89" spans="1:20" ht="22.9" customHeight="1" x14ac:dyDescent="0.3">
      <c r="A89" s="76" t="s">
        <v>133</v>
      </c>
      <c r="B89" s="77"/>
      <c r="C89" s="77"/>
      <c r="D89" s="77"/>
      <c r="E89" s="77"/>
      <c r="F89" s="77"/>
      <c r="G89" s="77"/>
      <c r="H89" s="77"/>
      <c r="I89" s="77"/>
      <c r="J89" s="77"/>
      <c r="K89" s="77"/>
      <c r="L89" s="77"/>
      <c r="M89" s="13" t="s">
        <v>156</v>
      </c>
    </row>
    <row r="90" spans="1:20" ht="22.9" customHeight="1" x14ac:dyDescent="0.3">
      <c r="A90" s="14" t="s">
        <v>443</v>
      </c>
      <c r="B90" s="15"/>
      <c r="C90" s="16" t="s">
        <v>30</v>
      </c>
      <c r="D90" s="17"/>
      <c r="E90" s="17"/>
      <c r="F90" s="17">
        <f>ROUNDDOWN(D90*E90,1)</f>
        <v>0</v>
      </c>
      <c r="G90" s="17"/>
      <c r="H90" s="17">
        <f>ROUNDDOWN(D90*G90,1)</f>
        <v>0</v>
      </c>
      <c r="I90" s="17"/>
      <c r="J90" s="17">
        <f>ROUNDDOWN(D90*I90,1)</f>
        <v>0</v>
      </c>
      <c r="K90" s="17">
        <f t="shared" ref="K90:K99" si="13">E90+G90+I90</f>
        <v>0</v>
      </c>
      <c r="L90" s="17">
        <f t="shared" ref="L90:L99" si="14">F90+H90+J90</f>
        <v>0</v>
      </c>
      <c r="M90" s="15"/>
    </row>
    <row r="91" spans="1:20" ht="22.9" customHeight="1" x14ac:dyDescent="0.3">
      <c r="A91" s="14" t="s">
        <v>399</v>
      </c>
      <c r="B91" s="14" t="s">
        <v>391</v>
      </c>
      <c r="C91" s="16" t="s">
        <v>40</v>
      </c>
      <c r="D91" s="17">
        <v>2.2790000000000001E-4</v>
      </c>
      <c r="E91" s="17">
        <v>0</v>
      </c>
      <c r="F91" s="17">
        <f>ROUNDDOWN(D91*E91,1)</f>
        <v>0</v>
      </c>
      <c r="G91" s="17">
        <v>0</v>
      </c>
      <c r="H91" s="17">
        <f>ROUNDDOWN(D91*G91,1)</f>
        <v>0</v>
      </c>
      <c r="I91" s="17">
        <f>단가대비표!O45</f>
        <v>90653000</v>
      </c>
      <c r="J91" s="17">
        <f>ROUNDDOWN(D91*I91,1)</f>
        <v>20659.8</v>
      </c>
      <c r="K91" s="17">
        <f t="shared" si="13"/>
        <v>90653000</v>
      </c>
      <c r="L91" s="17">
        <f t="shared" si="14"/>
        <v>20659.8</v>
      </c>
      <c r="M91" s="14" t="s">
        <v>231</v>
      </c>
      <c r="O91" s="2" t="s">
        <v>48</v>
      </c>
      <c r="P91" s="2" t="s">
        <v>438</v>
      </c>
      <c r="Q91" s="1">
        <v>1</v>
      </c>
    </row>
    <row r="92" spans="1:20" ht="22.9" customHeight="1" x14ac:dyDescent="0.3">
      <c r="A92" s="16" t="s">
        <v>429</v>
      </c>
      <c r="B92" s="15"/>
      <c r="C92" s="16" t="s">
        <v>30</v>
      </c>
      <c r="D92" s="17"/>
      <c r="E92" s="17"/>
      <c r="F92" s="17">
        <f>SUMIF(Q90:Q91,"1",F90:F91)</f>
        <v>0</v>
      </c>
      <c r="G92" s="17"/>
      <c r="H92" s="17">
        <f>SUMIF(Q90:Q91,"1",H90:H91)</f>
        <v>0</v>
      </c>
      <c r="I92" s="17"/>
      <c r="J92" s="17">
        <f>SUMIF(Q90:Q91,"1",J90:J91)</f>
        <v>20659.8</v>
      </c>
      <c r="K92" s="17">
        <f t="shared" si="13"/>
        <v>0</v>
      </c>
      <c r="L92" s="17">
        <f t="shared" si="14"/>
        <v>20659.8</v>
      </c>
      <c r="M92" s="15"/>
    </row>
    <row r="93" spans="1:20" ht="22.9" customHeight="1" x14ac:dyDescent="0.3">
      <c r="A93" s="14" t="s">
        <v>428</v>
      </c>
      <c r="B93" s="15"/>
      <c r="C93" s="16" t="s">
        <v>30</v>
      </c>
      <c r="D93" s="17"/>
      <c r="E93" s="17"/>
      <c r="F93" s="17">
        <f>ROUNDDOWN(D93*E93,1)</f>
        <v>0</v>
      </c>
      <c r="G93" s="17"/>
      <c r="H93" s="17">
        <f>ROUNDDOWN(D93*G93,1)</f>
        <v>0</v>
      </c>
      <c r="I93" s="17"/>
      <c r="J93" s="17">
        <f>ROUNDDOWN(D93*I93,1)</f>
        <v>0</v>
      </c>
      <c r="K93" s="17">
        <f t="shared" si="13"/>
        <v>0</v>
      </c>
      <c r="L93" s="17">
        <f t="shared" si="14"/>
        <v>0</v>
      </c>
      <c r="M93" s="15"/>
    </row>
    <row r="94" spans="1:20" ht="22.9" customHeight="1" x14ac:dyDescent="0.3">
      <c r="A94" s="14" t="s">
        <v>21</v>
      </c>
      <c r="B94" s="14" t="s">
        <v>365</v>
      </c>
      <c r="C94" s="16" t="s">
        <v>14</v>
      </c>
      <c r="D94" s="17">
        <v>15.9</v>
      </c>
      <c r="E94" s="17">
        <f>단가대비표!O5</f>
        <v>1657</v>
      </c>
      <c r="F94" s="17">
        <f>ROUNDDOWN(D94*E94,1)</f>
        <v>26346.3</v>
      </c>
      <c r="G94" s="17">
        <v>0</v>
      </c>
      <c r="H94" s="17">
        <f>ROUNDDOWN(D94*G94,1)</f>
        <v>0</v>
      </c>
      <c r="I94" s="17">
        <v>0</v>
      </c>
      <c r="J94" s="17">
        <f>ROUNDDOWN(D94*I94,1)</f>
        <v>0</v>
      </c>
      <c r="K94" s="17">
        <f t="shared" si="13"/>
        <v>1657</v>
      </c>
      <c r="L94" s="17">
        <f t="shared" si="14"/>
        <v>26346.3</v>
      </c>
      <c r="M94" s="15"/>
      <c r="O94" s="2" t="s">
        <v>41</v>
      </c>
      <c r="P94" s="2" t="s">
        <v>438</v>
      </c>
      <c r="Q94" s="1">
        <v>1</v>
      </c>
    </row>
    <row r="95" spans="1:20" ht="22.9" customHeight="1" x14ac:dyDescent="0.3">
      <c r="A95" s="14" t="s">
        <v>47</v>
      </c>
      <c r="B95" s="15" t="str">
        <f>"주연료비의 "&amp;N95*100&amp;"%"</f>
        <v>주연료비의 38%</v>
      </c>
      <c r="C95" s="16" t="s">
        <v>31</v>
      </c>
      <c r="D95" s="17">
        <v>1</v>
      </c>
      <c r="E95" s="17">
        <f>SUMIF(O90:O99,"01",F90:F99)</f>
        <v>26346.3</v>
      </c>
      <c r="F95" s="17">
        <f>ROUNDDOWN((E95)*N95,1)</f>
        <v>10011.5</v>
      </c>
      <c r="G95" s="17">
        <v>0</v>
      </c>
      <c r="H95" s="17">
        <v>0</v>
      </c>
      <c r="I95" s="17">
        <v>0</v>
      </c>
      <c r="J95" s="17">
        <v>0</v>
      </c>
      <c r="K95" s="17">
        <f t="shared" si="13"/>
        <v>26346.3</v>
      </c>
      <c r="L95" s="17">
        <f t="shared" si="14"/>
        <v>10011.5</v>
      </c>
      <c r="M95" s="14" t="s">
        <v>191</v>
      </c>
      <c r="N95" s="1">
        <v>0.38</v>
      </c>
      <c r="P95" s="2" t="s">
        <v>438</v>
      </c>
      <c r="Q95" s="1">
        <v>1</v>
      </c>
      <c r="R95" s="2" t="s">
        <v>32</v>
      </c>
      <c r="S95" s="2" t="s">
        <v>192</v>
      </c>
      <c r="T95" s="2" t="s">
        <v>33</v>
      </c>
    </row>
    <row r="96" spans="1:20" ht="22.9" customHeight="1" x14ac:dyDescent="0.3">
      <c r="A96" s="16" t="s">
        <v>429</v>
      </c>
      <c r="B96" s="15"/>
      <c r="C96" s="16" t="s">
        <v>30</v>
      </c>
      <c r="D96" s="17"/>
      <c r="E96" s="17"/>
      <c r="F96" s="17">
        <f>SUMIF(Q93:Q95,"1",F93:F95)</f>
        <v>36357.800000000003</v>
      </c>
      <c r="G96" s="17"/>
      <c r="H96" s="17">
        <f>SUMIF(Q93:Q95,"1",H93:H95)</f>
        <v>0</v>
      </c>
      <c r="I96" s="17"/>
      <c r="J96" s="17">
        <f>SUMIF(Q93:Q95,"1",J93:J95)</f>
        <v>0</v>
      </c>
      <c r="K96" s="17">
        <f t="shared" si="13"/>
        <v>0</v>
      </c>
      <c r="L96" s="17">
        <f t="shared" si="14"/>
        <v>36357.800000000003</v>
      </c>
      <c r="M96" s="15"/>
    </row>
    <row r="97" spans="1:17" ht="22.9" customHeight="1" x14ac:dyDescent="0.3">
      <c r="A97" s="14" t="s">
        <v>441</v>
      </c>
      <c r="B97" s="15"/>
      <c r="C97" s="16" t="s">
        <v>30</v>
      </c>
      <c r="D97" s="17"/>
      <c r="E97" s="17"/>
      <c r="F97" s="17">
        <f>ROUNDDOWN(D97*E97,1)</f>
        <v>0</v>
      </c>
      <c r="G97" s="17"/>
      <c r="H97" s="17">
        <f>ROUNDDOWN(D97*G97,1)</f>
        <v>0</v>
      </c>
      <c r="I97" s="17"/>
      <c r="J97" s="17">
        <f>ROUNDDOWN(D97*I97,1)</f>
        <v>0</v>
      </c>
      <c r="K97" s="17">
        <f t="shared" si="13"/>
        <v>0</v>
      </c>
      <c r="L97" s="17">
        <f t="shared" si="14"/>
        <v>0</v>
      </c>
      <c r="M97" s="15"/>
    </row>
    <row r="98" spans="1:17" ht="22.9" customHeight="1" x14ac:dyDescent="0.3">
      <c r="A98" s="14" t="s">
        <v>412</v>
      </c>
      <c r="B98" s="14" t="s">
        <v>413</v>
      </c>
      <c r="C98" s="16" t="s">
        <v>46</v>
      </c>
      <c r="D98" s="17">
        <v>0.20833333333333334</v>
      </c>
      <c r="E98" s="17">
        <v>0</v>
      </c>
      <c r="F98" s="17">
        <f>ROUNDDOWN(D98*E98,1)</f>
        <v>0</v>
      </c>
      <c r="G98" s="17">
        <f>단가대비표!O23</f>
        <v>283297</v>
      </c>
      <c r="H98" s="17">
        <f>ROUNDDOWN(D98*G98,1)</f>
        <v>59020.2</v>
      </c>
      <c r="I98" s="17">
        <v>0</v>
      </c>
      <c r="J98" s="17">
        <f>ROUNDDOWN(D98*I98,1)</f>
        <v>0</v>
      </c>
      <c r="K98" s="17">
        <f t="shared" si="13"/>
        <v>283297</v>
      </c>
      <c r="L98" s="17">
        <f t="shared" si="14"/>
        <v>59020.2</v>
      </c>
      <c r="M98" s="14" t="s">
        <v>272</v>
      </c>
      <c r="O98" s="2" t="s">
        <v>52</v>
      </c>
      <c r="P98" s="2" t="s">
        <v>438</v>
      </c>
      <c r="Q98" s="1">
        <v>1</v>
      </c>
    </row>
    <row r="99" spans="1:17" ht="22.9" customHeight="1" x14ac:dyDescent="0.3">
      <c r="A99" s="16" t="s">
        <v>429</v>
      </c>
      <c r="B99" s="15"/>
      <c r="C99" s="16" t="s">
        <v>30</v>
      </c>
      <c r="D99" s="17"/>
      <c r="E99" s="17"/>
      <c r="F99" s="17">
        <f>SUMIF(Q97:Q98,"1",F97:F98)</f>
        <v>0</v>
      </c>
      <c r="G99" s="17"/>
      <c r="H99" s="17">
        <f>SUMIF(Q97:Q98,"1",H97:H98)</f>
        <v>59020.2</v>
      </c>
      <c r="I99" s="17"/>
      <c r="J99" s="17">
        <f>SUMIF(Q97:Q98,"1",J97:J98)</f>
        <v>0</v>
      </c>
      <c r="K99" s="17">
        <f t="shared" si="13"/>
        <v>0</v>
      </c>
      <c r="L99" s="17">
        <f t="shared" si="14"/>
        <v>59020.2</v>
      </c>
      <c r="M99" s="15"/>
    </row>
    <row r="100" spans="1:17" ht="22.9" customHeight="1" x14ac:dyDescent="0.3">
      <c r="A100" s="18" t="s">
        <v>439</v>
      </c>
      <c r="B100" s="19"/>
      <c r="C100" s="20"/>
      <c r="D100" s="21"/>
      <c r="E100" s="21"/>
      <c r="F100" s="21">
        <f>ROUNDDOWN(SUMIF(Q90:Q99,"1",F90:F99),0)</f>
        <v>36357</v>
      </c>
      <c r="G100" s="21"/>
      <c r="H100" s="21">
        <f>ROUNDDOWN(SUMIF(Q90:Q99,"1",H90:H99),0)</f>
        <v>59020</v>
      </c>
      <c r="I100" s="21"/>
      <c r="J100" s="21">
        <f>ROUNDDOWN(SUMIF(Q90:Q99,"1",J90:J99),0)</f>
        <v>20659</v>
      </c>
      <c r="K100" s="21"/>
      <c r="L100" s="21">
        <f>F100+H100+J100</f>
        <v>116036</v>
      </c>
      <c r="M100" s="19"/>
    </row>
    <row r="101" spans="1:17" ht="22.9" customHeight="1" x14ac:dyDescent="0.3">
      <c r="A101" s="15"/>
      <c r="B101" s="15"/>
      <c r="C101" s="22"/>
      <c r="D101" s="17"/>
      <c r="E101" s="17"/>
      <c r="F101" s="17"/>
      <c r="G101" s="17"/>
      <c r="H101" s="17"/>
      <c r="I101" s="17"/>
      <c r="J101" s="17"/>
      <c r="K101" s="17"/>
      <c r="L101" s="17"/>
      <c r="M101" s="15"/>
    </row>
    <row r="102" spans="1:17" ht="22.9" customHeight="1" x14ac:dyDescent="0.3">
      <c r="A102" s="76" t="s">
        <v>596</v>
      </c>
      <c r="B102" s="77"/>
      <c r="C102" s="77"/>
      <c r="D102" s="77"/>
      <c r="E102" s="77"/>
      <c r="F102" s="77"/>
      <c r="G102" s="77"/>
      <c r="H102" s="77"/>
      <c r="I102" s="77"/>
      <c r="J102" s="77"/>
      <c r="K102" s="77"/>
      <c r="L102" s="77"/>
      <c r="M102" s="13" t="s">
        <v>223</v>
      </c>
    </row>
    <row r="103" spans="1:17" ht="22.9" customHeight="1" x14ac:dyDescent="0.3">
      <c r="A103" s="14" t="s">
        <v>443</v>
      </c>
      <c r="B103" s="15"/>
      <c r="C103" s="16" t="s">
        <v>30</v>
      </c>
      <c r="D103" s="17"/>
      <c r="E103" s="17"/>
      <c r="F103" s="17">
        <f>ROUNDDOWN(D103*E103,1)</f>
        <v>0</v>
      </c>
      <c r="G103" s="17"/>
      <c r="H103" s="17">
        <f>ROUNDDOWN(D103*G103,1)</f>
        <v>0</v>
      </c>
      <c r="I103" s="17"/>
      <c r="J103" s="17">
        <f>ROUNDDOWN(D103*I103,1)</f>
        <v>0</v>
      </c>
      <c r="K103" s="17">
        <f t="shared" ref="K103:L105" si="15">E103+G103+I103</f>
        <v>0</v>
      </c>
      <c r="L103" s="17">
        <f t="shared" si="15"/>
        <v>0</v>
      </c>
      <c r="M103" s="15"/>
    </row>
    <row r="104" spans="1:17" ht="22.9" customHeight="1" x14ac:dyDescent="0.3">
      <c r="A104" s="14" t="s">
        <v>51</v>
      </c>
      <c r="B104" s="15"/>
      <c r="C104" s="16" t="s">
        <v>40</v>
      </c>
      <c r="D104" s="17">
        <v>1.147E-3</v>
      </c>
      <c r="E104" s="17">
        <v>0</v>
      </c>
      <c r="F104" s="17">
        <f>ROUNDDOWN(D104*E104,1)</f>
        <v>0</v>
      </c>
      <c r="G104" s="17">
        <v>0</v>
      </c>
      <c r="H104" s="17">
        <f>ROUNDDOWN(D104*G104,1)</f>
        <v>0</v>
      </c>
      <c r="I104" s="17">
        <f>단가대비표!O44</f>
        <v>420000</v>
      </c>
      <c r="J104" s="17">
        <f>ROUNDDOWN(D104*I104,1)</f>
        <v>481.7</v>
      </c>
      <c r="K104" s="17">
        <f t="shared" si="15"/>
        <v>420000</v>
      </c>
      <c r="L104" s="17">
        <f t="shared" si="15"/>
        <v>481.7</v>
      </c>
      <c r="M104" s="14" t="s">
        <v>223</v>
      </c>
      <c r="O104" s="2" t="s">
        <v>48</v>
      </c>
      <c r="P104" s="2" t="s">
        <v>438</v>
      </c>
      <c r="Q104" s="1">
        <v>1</v>
      </c>
    </row>
    <row r="105" spans="1:17" ht="22.9" customHeight="1" x14ac:dyDescent="0.3">
      <c r="A105" s="16" t="s">
        <v>429</v>
      </c>
      <c r="B105" s="15"/>
      <c r="C105" s="16" t="s">
        <v>30</v>
      </c>
      <c r="D105" s="17"/>
      <c r="E105" s="17"/>
      <c r="F105" s="17">
        <f>SUMIF(Q103:Q104,"1",F103:F104)</f>
        <v>0</v>
      </c>
      <c r="G105" s="17"/>
      <c r="H105" s="17">
        <f>SUMIF(Q103:Q104,"1",H103:H104)</f>
        <v>0</v>
      </c>
      <c r="I105" s="17"/>
      <c r="J105" s="17">
        <f>SUMIF(Q103:Q104,"1",J103:J104)</f>
        <v>481.7</v>
      </c>
      <c r="K105" s="17">
        <f t="shared" si="15"/>
        <v>0</v>
      </c>
      <c r="L105" s="17">
        <f t="shared" si="15"/>
        <v>481.7</v>
      </c>
      <c r="M105" s="15"/>
    </row>
    <row r="106" spans="1:17" ht="22.9" customHeight="1" x14ac:dyDescent="0.3">
      <c r="A106" s="18" t="s">
        <v>439</v>
      </c>
      <c r="B106" s="19"/>
      <c r="C106" s="20"/>
      <c r="D106" s="21"/>
      <c r="E106" s="21"/>
      <c r="F106" s="21">
        <f>ROUNDDOWN(SUMIF(Q103:Q105,"1",F103:F105),0)</f>
        <v>0</v>
      </c>
      <c r="G106" s="21"/>
      <c r="H106" s="21">
        <f>ROUNDDOWN(SUMIF(Q103:Q105,"1",H103:H105),0)</f>
        <v>0</v>
      </c>
      <c r="I106" s="21"/>
      <c r="J106" s="21">
        <f>ROUNDDOWN(SUMIF(Q103:Q105,"1",J103:J105),0)</f>
        <v>481</v>
      </c>
      <c r="K106" s="21"/>
      <c r="L106" s="21">
        <f>F106+H106+J106</f>
        <v>481</v>
      </c>
      <c r="M106" s="19"/>
    </row>
    <row r="107" spans="1:17" ht="22.9" customHeight="1" x14ac:dyDescent="0.3">
      <c r="A107" s="15"/>
      <c r="B107" s="15"/>
      <c r="C107" s="22"/>
      <c r="D107" s="17"/>
      <c r="E107" s="17"/>
      <c r="F107" s="17"/>
      <c r="G107" s="17"/>
      <c r="H107" s="17"/>
      <c r="I107" s="17"/>
      <c r="J107" s="17"/>
      <c r="K107" s="17"/>
      <c r="L107" s="17"/>
      <c r="M107" s="15"/>
    </row>
    <row r="108" spans="1:17" ht="22.9" customHeight="1" x14ac:dyDescent="0.3">
      <c r="A108" s="76" t="s">
        <v>313</v>
      </c>
      <c r="B108" s="77"/>
      <c r="C108" s="77"/>
      <c r="D108" s="77"/>
      <c r="E108" s="77"/>
      <c r="F108" s="77"/>
      <c r="G108" s="77"/>
      <c r="H108" s="77"/>
      <c r="I108" s="77"/>
      <c r="J108" s="77"/>
      <c r="K108" s="77"/>
      <c r="L108" s="77"/>
      <c r="M108" s="13" t="s">
        <v>162</v>
      </c>
    </row>
    <row r="109" spans="1:17" ht="22.9" customHeight="1" x14ac:dyDescent="0.3">
      <c r="A109" s="14" t="s">
        <v>443</v>
      </c>
      <c r="B109" s="15"/>
      <c r="C109" s="16" t="s">
        <v>30</v>
      </c>
      <c r="D109" s="17"/>
      <c r="E109" s="17"/>
      <c r="F109" s="17">
        <f>ROUNDDOWN(D109*E109,1)</f>
        <v>0</v>
      </c>
      <c r="G109" s="17"/>
      <c r="H109" s="17">
        <f>ROUNDDOWN(D109*G109,1)</f>
        <v>0</v>
      </c>
      <c r="I109" s="17"/>
      <c r="J109" s="17">
        <f>ROUNDDOWN(D109*I109,1)</f>
        <v>0</v>
      </c>
      <c r="K109" s="17">
        <f t="shared" ref="K109:K118" si="16">E109+G109+I109</f>
        <v>0</v>
      </c>
      <c r="L109" s="17">
        <f t="shared" ref="L109:L118" si="17">F109+H109+J109</f>
        <v>0</v>
      </c>
      <c r="M109" s="15"/>
    </row>
    <row r="110" spans="1:17" ht="22.9" customHeight="1" x14ac:dyDescent="0.3">
      <c r="A110" s="14" t="s">
        <v>195</v>
      </c>
      <c r="B110" s="14" t="s">
        <v>421</v>
      </c>
      <c r="C110" s="16" t="s">
        <v>40</v>
      </c>
      <c r="D110" s="17">
        <v>3.7080000000000001E-4</v>
      </c>
      <c r="E110" s="17">
        <v>0</v>
      </c>
      <c r="F110" s="17">
        <f>ROUNDDOWN(D110*E110,1)</f>
        <v>0</v>
      </c>
      <c r="G110" s="17">
        <v>0</v>
      </c>
      <c r="H110" s="17">
        <f>ROUNDDOWN(D110*G110,1)</f>
        <v>0</v>
      </c>
      <c r="I110" s="17">
        <f>단가대비표!O52</f>
        <v>1673000</v>
      </c>
      <c r="J110" s="17">
        <f>ROUNDDOWN(D110*I110,1)</f>
        <v>620.29999999999995</v>
      </c>
      <c r="K110" s="17">
        <f t="shared" si="16"/>
        <v>1673000</v>
      </c>
      <c r="L110" s="17">
        <f t="shared" si="17"/>
        <v>620.29999999999995</v>
      </c>
      <c r="M110" s="14" t="s">
        <v>225</v>
      </c>
      <c r="O110" s="2" t="s">
        <v>48</v>
      </c>
      <c r="P110" s="2" t="s">
        <v>438</v>
      </c>
      <c r="Q110" s="1">
        <v>1</v>
      </c>
    </row>
    <row r="111" spans="1:17" ht="22.9" customHeight="1" x14ac:dyDescent="0.3">
      <c r="A111" s="16" t="s">
        <v>429</v>
      </c>
      <c r="B111" s="15"/>
      <c r="C111" s="16" t="s">
        <v>30</v>
      </c>
      <c r="D111" s="17"/>
      <c r="E111" s="17"/>
      <c r="F111" s="17">
        <f>SUMIF(Q109:Q110,"1",F109:F110)</f>
        <v>0</v>
      </c>
      <c r="G111" s="17"/>
      <c r="H111" s="17">
        <f>SUMIF(Q109:Q110,"1",H109:H110)</f>
        <v>0</v>
      </c>
      <c r="I111" s="17"/>
      <c r="J111" s="17">
        <f>SUMIF(Q109:Q110,"1",J109:J110)</f>
        <v>620.29999999999995</v>
      </c>
      <c r="K111" s="17">
        <f t="shared" si="16"/>
        <v>0</v>
      </c>
      <c r="L111" s="17">
        <f t="shared" si="17"/>
        <v>620.29999999999995</v>
      </c>
      <c r="M111" s="15"/>
    </row>
    <row r="112" spans="1:17" ht="22.9" customHeight="1" x14ac:dyDescent="0.3">
      <c r="A112" s="14" t="s">
        <v>428</v>
      </c>
      <c r="B112" s="15"/>
      <c r="C112" s="16" t="s">
        <v>30</v>
      </c>
      <c r="D112" s="17"/>
      <c r="E112" s="17"/>
      <c r="F112" s="17">
        <f>ROUNDDOWN(D112*E112,1)</f>
        <v>0</v>
      </c>
      <c r="G112" s="17"/>
      <c r="H112" s="17">
        <f>ROUNDDOWN(D112*G112,1)</f>
        <v>0</v>
      </c>
      <c r="I112" s="17"/>
      <c r="J112" s="17">
        <f>ROUNDDOWN(D112*I112,1)</f>
        <v>0</v>
      </c>
      <c r="K112" s="17">
        <f t="shared" si="16"/>
        <v>0</v>
      </c>
      <c r="L112" s="17">
        <f t="shared" si="17"/>
        <v>0</v>
      </c>
      <c r="M112" s="15"/>
    </row>
    <row r="113" spans="1:20" ht="22.9" customHeight="1" x14ac:dyDescent="0.3">
      <c r="A113" s="14" t="s">
        <v>381</v>
      </c>
      <c r="B113" s="14" t="s">
        <v>285</v>
      </c>
      <c r="C113" s="16" t="s">
        <v>14</v>
      </c>
      <c r="D113" s="17">
        <v>1</v>
      </c>
      <c r="E113" s="17">
        <f>단가대비표!O7</f>
        <v>1676</v>
      </c>
      <c r="F113" s="17">
        <f>ROUNDDOWN(D113*E113,1)</f>
        <v>1676</v>
      </c>
      <c r="G113" s="17">
        <v>0</v>
      </c>
      <c r="H113" s="17">
        <f>ROUNDDOWN(D113*G113,1)</f>
        <v>0</v>
      </c>
      <c r="I113" s="17">
        <v>0</v>
      </c>
      <c r="J113" s="17">
        <f>ROUNDDOWN(D113*I113,1)</f>
        <v>0</v>
      </c>
      <c r="K113" s="17">
        <f t="shared" si="16"/>
        <v>1676</v>
      </c>
      <c r="L113" s="17">
        <f t="shared" si="17"/>
        <v>1676</v>
      </c>
      <c r="M113" s="15"/>
      <c r="O113" s="2" t="s">
        <v>41</v>
      </c>
      <c r="P113" s="2" t="s">
        <v>438</v>
      </c>
      <c r="Q113" s="1">
        <v>1</v>
      </c>
    </row>
    <row r="114" spans="1:20" ht="22.9" customHeight="1" x14ac:dyDescent="0.3">
      <c r="A114" s="14" t="s">
        <v>47</v>
      </c>
      <c r="B114" s="15" t="str">
        <f>"주연료비의 "&amp;N114*100&amp;"%"</f>
        <v>주연료비의 20%</v>
      </c>
      <c r="C114" s="16" t="s">
        <v>31</v>
      </c>
      <c r="D114" s="17">
        <v>1</v>
      </c>
      <c r="E114" s="17">
        <f>SUMIF(O109:O118,"01",F109:F118)</f>
        <v>1676</v>
      </c>
      <c r="F114" s="17">
        <f>ROUNDDOWN((E114)*N114,1)</f>
        <v>335.2</v>
      </c>
      <c r="G114" s="17">
        <v>0</v>
      </c>
      <c r="H114" s="17">
        <v>0</v>
      </c>
      <c r="I114" s="17">
        <v>0</v>
      </c>
      <c r="J114" s="17">
        <v>0</v>
      </c>
      <c r="K114" s="17">
        <f t="shared" si="16"/>
        <v>1676</v>
      </c>
      <c r="L114" s="17">
        <f t="shared" si="17"/>
        <v>335.2</v>
      </c>
      <c r="M114" s="14" t="s">
        <v>191</v>
      </c>
      <c r="N114" s="1">
        <v>0.2</v>
      </c>
      <c r="P114" s="2" t="s">
        <v>438</v>
      </c>
      <c r="Q114" s="1">
        <v>1</v>
      </c>
      <c r="R114" s="2" t="s">
        <v>32</v>
      </c>
      <c r="S114" s="2" t="s">
        <v>192</v>
      </c>
      <c r="T114" s="2" t="s">
        <v>33</v>
      </c>
    </row>
    <row r="115" spans="1:20" ht="22.9" customHeight="1" x14ac:dyDescent="0.3">
      <c r="A115" s="16" t="s">
        <v>429</v>
      </c>
      <c r="B115" s="15"/>
      <c r="C115" s="16" t="s">
        <v>30</v>
      </c>
      <c r="D115" s="17"/>
      <c r="E115" s="17"/>
      <c r="F115" s="17">
        <f>SUMIF(Q112:Q114,"1",F112:F114)</f>
        <v>2011.2</v>
      </c>
      <c r="G115" s="17"/>
      <c r="H115" s="17">
        <f>SUMIF(Q112:Q114,"1",H112:H114)</f>
        <v>0</v>
      </c>
      <c r="I115" s="17"/>
      <c r="J115" s="17">
        <f>SUMIF(Q112:Q114,"1",J112:J114)</f>
        <v>0</v>
      </c>
      <c r="K115" s="17">
        <f t="shared" si="16"/>
        <v>0</v>
      </c>
      <c r="L115" s="17">
        <f t="shared" si="17"/>
        <v>2011.2</v>
      </c>
      <c r="M115" s="15"/>
    </row>
    <row r="116" spans="1:20" ht="22.9" customHeight="1" x14ac:dyDescent="0.3">
      <c r="A116" s="14" t="s">
        <v>441</v>
      </c>
      <c r="B116" s="15"/>
      <c r="C116" s="16" t="s">
        <v>30</v>
      </c>
      <c r="D116" s="17"/>
      <c r="E116" s="17"/>
      <c r="F116" s="17">
        <f>ROUNDDOWN(D116*E116,1)</f>
        <v>0</v>
      </c>
      <c r="G116" s="17"/>
      <c r="H116" s="17">
        <f>ROUNDDOWN(D116*G116,1)</f>
        <v>0</v>
      </c>
      <c r="I116" s="17"/>
      <c r="J116" s="17">
        <f>ROUNDDOWN(D116*I116,1)</f>
        <v>0</v>
      </c>
      <c r="K116" s="17">
        <f t="shared" si="16"/>
        <v>0</v>
      </c>
      <c r="L116" s="17">
        <f t="shared" si="17"/>
        <v>0</v>
      </c>
      <c r="M116" s="15"/>
    </row>
    <row r="117" spans="1:20" ht="22.9" customHeight="1" x14ac:dyDescent="0.3">
      <c r="A117" s="14" t="s">
        <v>388</v>
      </c>
      <c r="B117" s="14" t="s">
        <v>413</v>
      </c>
      <c r="C117" s="16" t="s">
        <v>46</v>
      </c>
      <c r="D117" s="17">
        <v>0.20833333333333334</v>
      </c>
      <c r="E117" s="17">
        <v>0</v>
      </c>
      <c r="F117" s="17">
        <f>ROUNDDOWN(D117*E117,1)</f>
        <v>0</v>
      </c>
      <c r="G117" s="17">
        <f>단가대비표!O32</f>
        <v>173995</v>
      </c>
      <c r="H117" s="17">
        <f>ROUNDDOWN(D117*G117,1)</f>
        <v>36248.9</v>
      </c>
      <c r="I117" s="17">
        <v>0</v>
      </c>
      <c r="J117" s="17">
        <f>ROUNDDOWN(D117*I117,1)</f>
        <v>0</v>
      </c>
      <c r="K117" s="17">
        <f t="shared" si="16"/>
        <v>173995</v>
      </c>
      <c r="L117" s="17">
        <f t="shared" si="17"/>
        <v>36248.9</v>
      </c>
      <c r="M117" s="14" t="s">
        <v>393</v>
      </c>
      <c r="O117" s="2" t="s">
        <v>52</v>
      </c>
      <c r="P117" s="2" t="s">
        <v>438</v>
      </c>
      <c r="Q117" s="1">
        <v>1</v>
      </c>
    </row>
    <row r="118" spans="1:20" ht="22.9" customHeight="1" x14ac:dyDescent="0.3">
      <c r="A118" s="16" t="s">
        <v>429</v>
      </c>
      <c r="B118" s="15"/>
      <c r="C118" s="16" t="s">
        <v>30</v>
      </c>
      <c r="D118" s="17"/>
      <c r="E118" s="17"/>
      <c r="F118" s="17">
        <f>SUMIF(Q116:Q117,"1",F116:F117)</f>
        <v>0</v>
      </c>
      <c r="G118" s="17"/>
      <c r="H118" s="17">
        <f>SUMIF(Q116:Q117,"1",H116:H117)</f>
        <v>36248.9</v>
      </c>
      <c r="I118" s="17"/>
      <c r="J118" s="17">
        <f>SUMIF(Q116:Q117,"1",J116:J117)</f>
        <v>0</v>
      </c>
      <c r="K118" s="17">
        <f t="shared" si="16"/>
        <v>0</v>
      </c>
      <c r="L118" s="17">
        <f t="shared" si="17"/>
        <v>36248.9</v>
      </c>
      <c r="M118" s="15"/>
    </row>
    <row r="119" spans="1:20" ht="22.9" customHeight="1" x14ac:dyDescent="0.3">
      <c r="A119" s="18" t="s">
        <v>439</v>
      </c>
      <c r="B119" s="19"/>
      <c r="C119" s="20"/>
      <c r="D119" s="21"/>
      <c r="E119" s="21"/>
      <c r="F119" s="21">
        <f>ROUNDDOWN(SUMIF(Q109:Q118,"1",F109:F118),0)</f>
        <v>2011</v>
      </c>
      <c r="G119" s="21"/>
      <c r="H119" s="21">
        <f>ROUNDDOWN(SUMIF(Q109:Q118,"1",H109:H118),0)</f>
        <v>36248</v>
      </c>
      <c r="I119" s="21"/>
      <c r="J119" s="21">
        <f>ROUNDDOWN(SUMIF(Q109:Q118,"1",J109:J118),0)</f>
        <v>620</v>
      </c>
      <c r="K119" s="21"/>
      <c r="L119" s="21">
        <f>F119+H119+J119</f>
        <v>38879</v>
      </c>
      <c r="M119" s="19"/>
    </row>
    <row r="120" spans="1:20" ht="22.9" customHeight="1" x14ac:dyDescent="0.3">
      <c r="A120" s="15"/>
      <c r="B120" s="15"/>
      <c r="C120" s="22"/>
      <c r="D120" s="17"/>
      <c r="E120" s="17"/>
      <c r="F120" s="17"/>
      <c r="G120" s="17"/>
      <c r="H120" s="17"/>
      <c r="I120" s="17"/>
      <c r="J120" s="17"/>
      <c r="K120" s="17"/>
      <c r="L120" s="17"/>
      <c r="M120" s="15"/>
    </row>
    <row r="121" spans="1:20" ht="22.9" customHeight="1" x14ac:dyDescent="0.3">
      <c r="A121" s="76" t="s">
        <v>135</v>
      </c>
      <c r="B121" s="77"/>
      <c r="C121" s="77"/>
      <c r="D121" s="77"/>
      <c r="E121" s="77"/>
      <c r="F121" s="77"/>
      <c r="G121" s="77"/>
      <c r="H121" s="77"/>
      <c r="I121" s="77"/>
      <c r="J121" s="77"/>
      <c r="K121" s="77"/>
      <c r="L121" s="77"/>
      <c r="M121" s="13" t="s">
        <v>174</v>
      </c>
    </row>
    <row r="122" spans="1:20" ht="22.9" customHeight="1" x14ac:dyDescent="0.3">
      <c r="A122" s="14" t="s">
        <v>443</v>
      </c>
      <c r="B122" s="15"/>
      <c r="C122" s="16" t="s">
        <v>30</v>
      </c>
      <c r="D122" s="17"/>
      <c r="E122" s="17"/>
      <c r="F122" s="17">
        <f>ROUNDDOWN(D122*E122,1)</f>
        <v>0</v>
      </c>
      <c r="G122" s="17"/>
      <c r="H122" s="17">
        <f>ROUNDDOWN(D122*G122,1)</f>
        <v>0</v>
      </c>
      <c r="I122" s="17"/>
      <c r="J122" s="17">
        <f>ROUNDDOWN(D122*I122,1)</f>
        <v>0</v>
      </c>
      <c r="K122" s="17">
        <f t="shared" ref="K122:L128" si="18">E122+G122+I122</f>
        <v>0</v>
      </c>
      <c r="L122" s="17">
        <f t="shared" si="18"/>
        <v>0</v>
      </c>
      <c r="M122" s="15"/>
    </row>
    <row r="123" spans="1:20" ht="22.9" customHeight="1" x14ac:dyDescent="0.3">
      <c r="A123" s="14" t="s">
        <v>224</v>
      </c>
      <c r="B123" s="14" t="s">
        <v>392</v>
      </c>
      <c r="C123" s="16" t="s">
        <v>40</v>
      </c>
      <c r="D123" s="17">
        <v>2.8249999999999998E-4</v>
      </c>
      <c r="E123" s="17">
        <v>0</v>
      </c>
      <c r="F123" s="17">
        <f>ROUNDDOWN(D123*E123,1)</f>
        <v>0</v>
      </c>
      <c r="G123" s="17">
        <v>0</v>
      </c>
      <c r="H123" s="17">
        <f>ROUNDDOWN(D123*G123,1)</f>
        <v>0</v>
      </c>
      <c r="I123" s="17">
        <f>단가대비표!O50</f>
        <v>6966000</v>
      </c>
      <c r="J123" s="17">
        <f>ROUNDDOWN(D123*I123,1)</f>
        <v>1967.8</v>
      </c>
      <c r="K123" s="17">
        <f t="shared" si="18"/>
        <v>6966000</v>
      </c>
      <c r="L123" s="17">
        <f t="shared" si="18"/>
        <v>1967.8</v>
      </c>
      <c r="M123" s="14" t="s">
        <v>234</v>
      </c>
      <c r="O123" s="2" t="s">
        <v>48</v>
      </c>
      <c r="P123" s="2" t="s">
        <v>438</v>
      </c>
      <c r="Q123" s="1">
        <v>1</v>
      </c>
    </row>
    <row r="124" spans="1:20" ht="22.9" customHeight="1" x14ac:dyDescent="0.3">
      <c r="A124" s="16" t="s">
        <v>429</v>
      </c>
      <c r="B124" s="15"/>
      <c r="C124" s="16" t="s">
        <v>30</v>
      </c>
      <c r="D124" s="17"/>
      <c r="E124" s="17"/>
      <c r="F124" s="17">
        <f>SUMIF(Q122:Q123,"1",F122:F123)</f>
        <v>0</v>
      </c>
      <c r="G124" s="17"/>
      <c r="H124" s="17">
        <f>SUMIF(Q122:Q123,"1",H122:H123)</f>
        <v>0</v>
      </c>
      <c r="I124" s="17"/>
      <c r="J124" s="17">
        <f>SUMIF(Q122:Q123,"1",J122:J123)</f>
        <v>1967.8</v>
      </c>
      <c r="K124" s="17">
        <f t="shared" si="18"/>
        <v>0</v>
      </c>
      <c r="L124" s="17">
        <f t="shared" si="18"/>
        <v>1967.8</v>
      </c>
      <c r="M124" s="15"/>
    </row>
    <row r="125" spans="1:20" ht="22.9" customHeight="1" x14ac:dyDescent="0.3">
      <c r="A125" s="14" t="s">
        <v>428</v>
      </c>
      <c r="B125" s="15"/>
      <c r="C125" s="16" t="s">
        <v>30</v>
      </c>
      <c r="D125" s="17"/>
      <c r="E125" s="17"/>
      <c r="F125" s="17">
        <f>ROUNDDOWN(D125*E125,1)</f>
        <v>0</v>
      </c>
      <c r="G125" s="17"/>
      <c r="H125" s="17">
        <f>ROUNDDOWN(D125*G125,1)</f>
        <v>0</v>
      </c>
      <c r="I125" s="17"/>
      <c r="J125" s="17">
        <f>ROUNDDOWN(D125*I125,1)</f>
        <v>0</v>
      </c>
      <c r="K125" s="17">
        <f t="shared" si="18"/>
        <v>0</v>
      </c>
      <c r="L125" s="17">
        <f t="shared" si="18"/>
        <v>0</v>
      </c>
      <c r="M125" s="15"/>
    </row>
    <row r="126" spans="1:20" ht="22.9" customHeight="1" x14ac:dyDescent="0.3">
      <c r="A126" s="14" t="s">
        <v>21</v>
      </c>
      <c r="B126" s="14" t="s">
        <v>365</v>
      </c>
      <c r="C126" s="16" t="s">
        <v>14</v>
      </c>
      <c r="D126" s="17">
        <v>2.2000000000000002</v>
      </c>
      <c r="E126" s="17">
        <f>단가대비표!O5</f>
        <v>1657</v>
      </c>
      <c r="F126" s="17">
        <f>ROUNDDOWN(D126*E126,1)</f>
        <v>3645.4</v>
      </c>
      <c r="G126" s="17">
        <v>0</v>
      </c>
      <c r="H126" s="17">
        <f>ROUNDDOWN(D126*G126,1)</f>
        <v>0</v>
      </c>
      <c r="I126" s="17">
        <v>0</v>
      </c>
      <c r="J126" s="17">
        <f>ROUNDDOWN(D126*I126,1)</f>
        <v>0</v>
      </c>
      <c r="K126" s="17">
        <f t="shared" si="18"/>
        <v>1657</v>
      </c>
      <c r="L126" s="17">
        <f t="shared" si="18"/>
        <v>3645.4</v>
      </c>
      <c r="M126" s="15"/>
      <c r="O126" s="2" t="s">
        <v>41</v>
      </c>
      <c r="P126" s="2" t="s">
        <v>438</v>
      </c>
      <c r="Q126" s="1">
        <v>1</v>
      </c>
    </row>
    <row r="127" spans="1:20" ht="22.9" customHeight="1" x14ac:dyDescent="0.3">
      <c r="A127" s="14" t="s">
        <v>47</v>
      </c>
      <c r="B127" s="15" t="str">
        <f>"주연료비의 "&amp;N127*100&amp;"%"</f>
        <v>주연료비의 13%</v>
      </c>
      <c r="C127" s="16" t="s">
        <v>31</v>
      </c>
      <c r="D127" s="17">
        <v>1</v>
      </c>
      <c r="E127" s="17">
        <f>SUMIF(O122:O128,"01",F122:F128)</f>
        <v>3645.4</v>
      </c>
      <c r="F127" s="17">
        <f>ROUNDDOWN((E127)*N127,1)</f>
        <v>473.9</v>
      </c>
      <c r="G127" s="17">
        <v>0</v>
      </c>
      <c r="H127" s="17">
        <v>0</v>
      </c>
      <c r="I127" s="17">
        <v>0</v>
      </c>
      <c r="J127" s="17">
        <v>0</v>
      </c>
      <c r="K127" s="17">
        <f t="shared" si="18"/>
        <v>3645.4</v>
      </c>
      <c r="L127" s="17">
        <f t="shared" si="18"/>
        <v>473.9</v>
      </c>
      <c r="M127" s="14" t="s">
        <v>191</v>
      </c>
      <c r="N127" s="1">
        <v>0.13</v>
      </c>
      <c r="P127" s="2" t="s">
        <v>438</v>
      </c>
      <c r="Q127" s="1">
        <v>1</v>
      </c>
      <c r="R127" s="2" t="s">
        <v>32</v>
      </c>
      <c r="S127" s="2" t="s">
        <v>192</v>
      </c>
      <c r="T127" s="2" t="s">
        <v>33</v>
      </c>
    </row>
    <row r="128" spans="1:20" ht="22.9" customHeight="1" x14ac:dyDescent="0.3">
      <c r="A128" s="16" t="s">
        <v>429</v>
      </c>
      <c r="B128" s="15"/>
      <c r="C128" s="16" t="s">
        <v>30</v>
      </c>
      <c r="D128" s="17"/>
      <c r="E128" s="17"/>
      <c r="F128" s="17">
        <f>SUMIF(Q125:Q127,"1",F125:F127)</f>
        <v>4119.3</v>
      </c>
      <c r="G128" s="17"/>
      <c r="H128" s="17">
        <f>SUMIF(Q125:Q127,"1",H125:H127)</f>
        <v>0</v>
      </c>
      <c r="I128" s="17"/>
      <c r="J128" s="17">
        <f>SUMIF(Q125:Q127,"1",J125:J127)</f>
        <v>0</v>
      </c>
      <c r="K128" s="17">
        <f t="shared" si="18"/>
        <v>0</v>
      </c>
      <c r="L128" s="17">
        <f t="shared" si="18"/>
        <v>4119.3</v>
      </c>
      <c r="M128" s="15"/>
    </row>
    <row r="129" spans="1:20" ht="22.9" customHeight="1" x14ac:dyDescent="0.3">
      <c r="A129" s="18" t="s">
        <v>439</v>
      </c>
      <c r="B129" s="19"/>
      <c r="C129" s="20"/>
      <c r="D129" s="21"/>
      <c r="E129" s="21"/>
      <c r="F129" s="21">
        <f>ROUNDDOWN(SUMIF(Q122:Q128,"1",F122:F128),0)</f>
        <v>4119</v>
      </c>
      <c r="G129" s="21"/>
      <c r="H129" s="21">
        <f>ROUNDDOWN(SUMIF(Q122:Q128,"1",H122:H128),0)</f>
        <v>0</v>
      </c>
      <c r="I129" s="21"/>
      <c r="J129" s="21">
        <f>ROUNDDOWN(SUMIF(Q122:Q128,"1",J122:J128),0)</f>
        <v>1967</v>
      </c>
      <c r="K129" s="21"/>
      <c r="L129" s="21">
        <f>F129+H129+J129</f>
        <v>6086</v>
      </c>
      <c r="M129" s="19"/>
    </row>
    <row r="130" spans="1:20" ht="22.9" customHeight="1" x14ac:dyDescent="0.3">
      <c r="A130" s="15"/>
      <c r="B130" s="15"/>
      <c r="C130" s="22"/>
      <c r="D130" s="17"/>
      <c r="E130" s="17"/>
      <c r="F130" s="17"/>
      <c r="G130" s="17"/>
      <c r="H130" s="17"/>
      <c r="I130" s="17"/>
      <c r="J130" s="17"/>
      <c r="K130" s="17"/>
      <c r="L130" s="17"/>
      <c r="M130" s="15"/>
    </row>
    <row r="131" spans="1:20" ht="22.9" customHeight="1" x14ac:dyDescent="0.3">
      <c r="A131" s="76" t="s">
        <v>307</v>
      </c>
      <c r="B131" s="77"/>
      <c r="C131" s="77"/>
      <c r="D131" s="77"/>
      <c r="E131" s="77"/>
      <c r="F131" s="77"/>
      <c r="G131" s="77"/>
      <c r="H131" s="77"/>
      <c r="I131" s="77"/>
      <c r="J131" s="77"/>
      <c r="K131" s="77"/>
      <c r="L131" s="77"/>
      <c r="M131" s="13" t="s">
        <v>158</v>
      </c>
    </row>
    <row r="132" spans="1:20" ht="22.9" customHeight="1" x14ac:dyDescent="0.3">
      <c r="A132" s="14" t="s">
        <v>443</v>
      </c>
      <c r="B132" s="15"/>
      <c r="C132" s="16" t="s">
        <v>30</v>
      </c>
      <c r="D132" s="17"/>
      <c r="E132" s="17"/>
      <c r="F132" s="17">
        <f>ROUNDDOWN(D132*E132,1)</f>
        <v>0</v>
      </c>
      <c r="G132" s="17"/>
      <c r="H132" s="17">
        <f>ROUNDDOWN(D132*G132,1)</f>
        <v>0</v>
      </c>
      <c r="I132" s="17"/>
      <c r="J132" s="17">
        <f>ROUNDDOWN(D132*I132,1)</f>
        <v>0</v>
      </c>
      <c r="K132" s="17">
        <f t="shared" ref="K132:K141" si="19">E132+G132+I132</f>
        <v>0</v>
      </c>
      <c r="L132" s="17">
        <f t="shared" ref="L132:L141" si="20">F132+H132+J132</f>
        <v>0</v>
      </c>
      <c r="M132" s="15"/>
    </row>
    <row r="133" spans="1:20" ht="22.9" customHeight="1" x14ac:dyDescent="0.3">
      <c r="A133" s="14" t="s">
        <v>269</v>
      </c>
      <c r="B133" s="14" t="s">
        <v>398</v>
      </c>
      <c r="C133" s="16" t="s">
        <v>40</v>
      </c>
      <c r="D133" s="17">
        <v>2.085E-4</v>
      </c>
      <c r="E133" s="17">
        <v>0</v>
      </c>
      <c r="F133" s="17">
        <f>ROUNDDOWN(D133*E133,1)</f>
        <v>0</v>
      </c>
      <c r="G133" s="17">
        <v>0</v>
      </c>
      <c r="H133" s="17">
        <f>ROUNDDOWN(D133*G133,1)</f>
        <v>0</v>
      </c>
      <c r="I133" s="17">
        <f>단가대비표!O41</f>
        <v>112342000</v>
      </c>
      <c r="J133" s="17">
        <f>ROUNDDOWN(D133*I133,1)</f>
        <v>23423.3</v>
      </c>
      <c r="K133" s="17">
        <f t="shared" si="19"/>
        <v>112342000</v>
      </c>
      <c r="L133" s="17">
        <f t="shared" si="20"/>
        <v>23423.3</v>
      </c>
      <c r="M133" s="14" t="s">
        <v>233</v>
      </c>
      <c r="O133" s="2" t="s">
        <v>48</v>
      </c>
      <c r="P133" s="2" t="s">
        <v>438</v>
      </c>
      <c r="Q133" s="1">
        <v>1</v>
      </c>
    </row>
    <row r="134" spans="1:20" ht="22.9" customHeight="1" x14ac:dyDescent="0.3">
      <c r="A134" s="16" t="s">
        <v>429</v>
      </c>
      <c r="B134" s="15"/>
      <c r="C134" s="16" t="s">
        <v>30</v>
      </c>
      <c r="D134" s="17"/>
      <c r="E134" s="17"/>
      <c r="F134" s="17">
        <f>SUMIF(Q132:Q133,"1",F132:F133)</f>
        <v>0</v>
      </c>
      <c r="G134" s="17"/>
      <c r="H134" s="17">
        <f>SUMIF(Q132:Q133,"1",H132:H133)</f>
        <v>0</v>
      </c>
      <c r="I134" s="17"/>
      <c r="J134" s="17">
        <f>SUMIF(Q132:Q133,"1",J132:J133)</f>
        <v>23423.3</v>
      </c>
      <c r="K134" s="17">
        <f t="shared" si="19"/>
        <v>0</v>
      </c>
      <c r="L134" s="17">
        <f t="shared" si="20"/>
        <v>23423.3</v>
      </c>
      <c r="M134" s="15"/>
    </row>
    <row r="135" spans="1:20" ht="22.9" customHeight="1" x14ac:dyDescent="0.3">
      <c r="A135" s="14" t="s">
        <v>428</v>
      </c>
      <c r="B135" s="15"/>
      <c r="C135" s="16" t="s">
        <v>30</v>
      </c>
      <c r="D135" s="17"/>
      <c r="E135" s="17"/>
      <c r="F135" s="17">
        <f>ROUNDDOWN(D135*E135,1)</f>
        <v>0</v>
      </c>
      <c r="G135" s="17"/>
      <c r="H135" s="17">
        <f>ROUNDDOWN(D135*G135,1)</f>
        <v>0</v>
      </c>
      <c r="I135" s="17"/>
      <c r="J135" s="17">
        <f>ROUNDDOWN(D135*I135,1)</f>
        <v>0</v>
      </c>
      <c r="K135" s="17">
        <f t="shared" si="19"/>
        <v>0</v>
      </c>
      <c r="L135" s="17">
        <f t="shared" si="20"/>
        <v>0</v>
      </c>
      <c r="M135" s="15"/>
    </row>
    <row r="136" spans="1:20" ht="22.9" customHeight="1" x14ac:dyDescent="0.3">
      <c r="A136" s="14" t="s">
        <v>21</v>
      </c>
      <c r="B136" s="14" t="s">
        <v>365</v>
      </c>
      <c r="C136" s="16" t="s">
        <v>14</v>
      </c>
      <c r="D136" s="17">
        <v>10.199999999999999</v>
      </c>
      <c r="E136" s="17">
        <f>단가대비표!O5</f>
        <v>1657</v>
      </c>
      <c r="F136" s="17">
        <f>ROUNDDOWN(D136*E136,1)</f>
        <v>16901.400000000001</v>
      </c>
      <c r="G136" s="17">
        <v>0</v>
      </c>
      <c r="H136" s="17">
        <f>ROUNDDOWN(D136*G136,1)</f>
        <v>0</v>
      </c>
      <c r="I136" s="17">
        <v>0</v>
      </c>
      <c r="J136" s="17">
        <f>ROUNDDOWN(D136*I136,1)</f>
        <v>0</v>
      </c>
      <c r="K136" s="17">
        <f t="shared" si="19"/>
        <v>1657</v>
      </c>
      <c r="L136" s="17">
        <f t="shared" si="20"/>
        <v>16901.400000000001</v>
      </c>
      <c r="M136" s="15"/>
      <c r="O136" s="2" t="s">
        <v>41</v>
      </c>
      <c r="P136" s="2" t="s">
        <v>438</v>
      </c>
      <c r="Q136" s="1">
        <v>1</v>
      </c>
    </row>
    <row r="137" spans="1:20" ht="22.9" customHeight="1" x14ac:dyDescent="0.3">
      <c r="A137" s="14" t="s">
        <v>47</v>
      </c>
      <c r="B137" s="15" t="str">
        <f>"주연료비의 "&amp;N137*100&amp;"%"</f>
        <v>주연료비의 22%</v>
      </c>
      <c r="C137" s="16" t="s">
        <v>31</v>
      </c>
      <c r="D137" s="17">
        <v>1</v>
      </c>
      <c r="E137" s="17">
        <f>SUMIF(O132:O141,"01",F132:F141)</f>
        <v>16901.400000000001</v>
      </c>
      <c r="F137" s="17">
        <f>ROUNDDOWN((E137)*N137,1)</f>
        <v>3718.3</v>
      </c>
      <c r="G137" s="17">
        <v>0</v>
      </c>
      <c r="H137" s="17">
        <v>0</v>
      </c>
      <c r="I137" s="17">
        <v>0</v>
      </c>
      <c r="J137" s="17">
        <v>0</v>
      </c>
      <c r="K137" s="17">
        <f t="shared" si="19"/>
        <v>16901.400000000001</v>
      </c>
      <c r="L137" s="17">
        <f t="shared" si="20"/>
        <v>3718.3</v>
      </c>
      <c r="M137" s="14" t="s">
        <v>191</v>
      </c>
      <c r="N137" s="1">
        <v>0.22</v>
      </c>
      <c r="P137" s="2" t="s">
        <v>438</v>
      </c>
      <c r="Q137" s="1">
        <v>1</v>
      </c>
      <c r="R137" s="2" t="s">
        <v>32</v>
      </c>
      <c r="S137" s="2" t="s">
        <v>192</v>
      </c>
      <c r="T137" s="2" t="s">
        <v>33</v>
      </c>
    </row>
    <row r="138" spans="1:20" ht="22.9" customHeight="1" x14ac:dyDescent="0.3">
      <c r="A138" s="16" t="s">
        <v>429</v>
      </c>
      <c r="B138" s="15"/>
      <c r="C138" s="16" t="s">
        <v>30</v>
      </c>
      <c r="D138" s="17"/>
      <c r="E138" s="17"/>
      <c r="F138" s="17">
        <f>SUMIF(Q135:Q137,"1",F135:F137)</f>
        <v>20619.7</v>
      </c>
      <c r="G138" s="17"/>
      <c r="H138" s="17">
        <f>SUMIF(Q135:Q137,"1",H135:H137)</f>
        <v>0</v>
      </c>
      <c r="I138" s="17"/>
      <c r="J138" s="17">
        <f>SUMIF(Q135:Q137,"1",J135:J137)</f>
        <v>0</v>
      </c>
      <c r="K138" s="17">
        <f t="shared" si="19"/>
        <v>0</v>
      </c>
      <c r="L138" s="17">
        <f t="shared" si="20"/>
        <v>20619.7</v>
      </c>
      <c r="M138" s="15"/>
    </row>
    <row r="139" spans="1:20" ht="22.9" customHeight="1" x14ac:dyDescent="0.3">
      <c r="A139" s="14" t="s">
        <v>441</v>
      </c>
      <c r="B139" s="15"/>
      <c r="C139" s="16" t="s">
        <v>30</v>
      </c>
      <c r="D139" s="17"/>
      <c r="E139" s="17"/>
      <c r="F139" s="17">
        <f>ROUNDDOWN(D139*E139,1)</f>
        <v>0</v>
      </c>
      <c r="G139" s="17"/>
      <c r="H139" s="17">
        <f>ROUNDDOWN(D139*G139,1)</f>
        <v>0</v>
      </c>
      <c r="I139" s="17"/>
      <c r="J139" s="17">
        <f>ROUNDDOWN(D139*I139,1)</f>
        <v>0</v>
      </c>
      <c r="K139" s="17">
        <f t="shared" si="19"/>
        <v>0</v>
      </c>
      <c r="L139" s="17">
        <f t="shared" si="20"/>
        <v>0</v>
      </c>
      <c r="M139" s="15"/>
    </row>
    <row r="140" spans="1:20" ht="22.9" customHeight="1" x14ac:dyDescent="0.3">
      <c r="A140" s="14" t="s">
        <v>412</v>
      </c>
      <c r="B140" s="14" t="s">
        <v>413</v>
      </c>
      <c r="C140" s="16" t="s">
        <v>46</v>
      </c>
      <c r="D140" s="17">
        <v>0.20833333333333334</v>
      </c>
      <c r="E140" s="17">
        <v>0</v>
      </c>
      <c r="F140" s="17">
        <f>ROUNDDOWN(D140*E140,1)</f>
        <v>0</v>
      </c>
      <c r="G140" s="17">
        <f>단가대비표!O23</f>
        <v>283297</v>
      </c>
      <c r="H140" s="17">
        <f>ROUNDDOWN(D140*G140,1)</f>
        <v>59020.2</v>
      </c>
      <c r="I140" s="17">
        <v>0</v>
      </c>
      <c r="J140" s="17">
        <f>ROUNDDOWN(D140*I140,1)</f>
        <v>0</v>
      </c>
      <c r="K140" s="17">
        <f t="shared" si="19"/>
        <v>283297</v>
      </c>
      <c r="L140" s="17">
        <f t="shared" si="20"/>
        <v>59020.2</v>
      </c>
      <c r="M140" s="14" t="s">
        <v>272</v>
      </c>
      <c r="O140" s="2" t="s">
        <v>52</v>
      </c>
      <c r="P140" s="2" t="s">
        <v>438</v>
      </c>
      <c r="Q140" s="1">
        <v>1</v>
      </c>
    </row>
    <row r="141" spans="1:20" ht="22.9" customHeight="1" x14ac:dyDescent="0.3">
      <c r="A141" s="16" t="s">
        <v>429</v>
      </c>
      <c r="B141" s="15"/>
      <c r="C141" s="16" t="s">
        <v>30</v>
      </c>
      <c r="D141" s="17"/>
      <c r="E141" s="17"/>
      <c r="F141" s="17">
        <f>SUMIF(Q139:Q140,"1",F139:F140)</f>
        <v>0</v>
      </c>
      <c r="G141" s="17"/>
      <c r="H141" s="17">
        <f>SUMIF(Q139:Q140,"1",H139:H140)</f>
        <v>59020.2</v>
      </c>
      <c r="I141" s="17"/>
      <c r="J141" s="17">
        <f>SUMIF(Q139:Q140,"1",J139:J140)</f>
        <v>0</v>
      </c>
      <c r="K141" s="17">
        <f t="shared" si="19"/>
        <v>0</v>
      </c>
      <c r="L141" s="17">
        <f t="shared" si="20"/>
        <v>59020.2</v>
      </c>
      <c r="M141" s="15"/>
    </row>
    <row r="142" spans="1:20" ht="22.9" customHeight="1" x14ac:dyDescent="0.3">
      <c r="A142" s="18" t="s">
        <v>439</v>
      </c>
      <c r="B142" s="19"/>
      <c r="C142" s="20"/>
      <c r="D142" s="21"/>
      <c r="E142" s="21"/>
      <c r="F142" s="21">
        <f>ROUNDDOWN(SUMIF(Q132:Q141,"1",F132:F141),0)</f>
        <v>20619</v>
      </c>
      <c r="G142" s="21"/>
      <c r="H142" s="21">
        <f>ROUNDDOWN(SUMIF(Q132:Q141,"1",H132:H141),0)</f>
        <v>59020</v>
      </c>
      <c r="I142" s="21"/>
      <c r="J142" s="21">
        <f>ROUNDDOWN(SUMIF(Q132:Q141,"1",J132:J141),0)</f>
        <v>23423</v>
      </c>
      <c r="K142" s="21"/>
      <c r="L142" s="21">
        <f>F142+H142+J142</f>
        <v>103062</v>
      </c>
      <c r="M142" s="19"/>
    </row>
    <row r="143" spans="1:20" ht="22.9" customHeight="1" x14ac:dyDescent="0.3">
      <c r="A143" s="15"/>
      <c r="B143" s="15"/>
      <c r="C143" s="22"/>
      <c r="D143" s="17"/>
      <c r="E143" s="17"/>
      <c r="F143" s="17"/>
      <c r="G143" s="17"/>
      <c r="H143" s="17"/>
      <c r="I143" s="17"/>
      <c r="J143" s="17"/>
      <c r="K143" s="17"/>
      <c r="L143" s="17"/>
      <c r="M143" s="15"/>
    </row>
    <row r="144" spans="1:20" ht="22.9" customHeight="1" x14ac:dyDescent="0.3">
      <c r="A144" s="76" t="s">
        <v>129</v>
      </c>
      <c r="B144" s="77"/>
      <c r="C144" s="77"/>
      <c r="D144" s="77"/>
      <c r="E144" s="77"/>
      <c r="F144" s="77"/>
      <c r="G144" s="77"/>
      <c r="H144" s="77"/>
      <c r="I144" s="77"/>
      <c r="J144" s="77"/>
      <c r="K144" s="77"/>
      <c r="L144" s="77"/>
      <c r="M144" s="13" t="s">
        <v>235</v>
      </c>
    </row>
    <row r="145" spans="1:20" ht="22.9" customHeight="1" x14ac:dyDescent="0.3">
      <c r="A145" s="14" t="s">
        <v>443</v>
      </c>
      <c r="B145" s="15"/>
      <c r="C145" s="16" t="s">
        <v>30</v>
      </c>
      <c r="D145" s="17"/>
      <c r="E145" s="17"/>
      <c r="F145" s="17">
        <f>ROUNDDOWN(D145*E145,1)</f>
        <v>0</v>
      </c>
      <c r="G145" s="17"/>
      <c r="H145" s="17">
        <f>ROUNDDOWN(D145*G145,1)</f>
        <v>0</v>
      </c>
      <c r="I145" s="17"/>
      <c r="J145" s="17">
        <f>ROUNDDOWN(D145*I145,1)</f>
        <v>0</v>
      </c>
      <c r="K145" s="17">
        <f t="shared" ref="K145:K155" si="21">E145+G145+I145</f>
        <v>0</v>
      </c>
      <c r="L145" s="17">
        <f t="shared" ref="L145:L155" si="22">F145+H145+J145</f>
        <v>0</v>
      </c>
      <c r="M145" s="15"/>
    </row>
    <row r="146" spans="1:20" ht="22.9" customHeight="1" x14ac:dyDescent="0.3">
      <c r="A146" s="14" t="s">
        <v>269</v>
      </c>
      <c r="B146" s="14" t="s">
        <v>394</v>
      </c>
      <c r="C146" s="16" t="s">
        <v>40</v>
      </c>
      <c r="D146" s="17">
        <v>2.085E-4</v>
      </c>
      <c r="E146" s="17">
        <v>0</v>
      </c>
      <c r="F146" s="17">
        <f>ROUNDDOWN(D146*E146,1)</f>
        <v>0</v>
      </c>
      <c r="G146" s="17">
        <v>0</v>
      </c>
      <c r="H146" s="17">
        <f>ROUNDDOWN(D146*G146,1)</f>
        <v>0</v>
      </c>
      <c r="I146" s="17">
        <f>단가대비표!O43</f>
        <v>142069000</v>
      </c>
      <c r="J146" s="17">
        <f>ROUNDDOWN(D146*I146,1)</f>
        <v>29621.3</v>
      </c>
      <c r="K146" s="17">
        <f t="shared" si="21"/>
        <v>142069000</v>
      </c>
      <c r="L146" s="17">
        <f t="shared" si="22"/>
        <v>29621.3</v>
      </c>
      <c r="M146" s="14" t="s">
        <v>233</v>
      </c>
      <c r="O146" s="2" t="s">
        <v>48</v>
      </c>
      <c r="P146" s="2" t="s">
        <v>438</v>
      </c>
      <c r="Q146" s="1">
        <v>1</v>
      </c>
    </row>
    <row r="147" spans="1:20" ht="22.9" customHeight="1" x14ac:dyDescent="0.3">
      <c r="A147" s="14" t="s">
        <v>196</v>
      </c>
      <c r="B147" s="14" t="s">
        <v>389</v>
      </c>
      <c r="C147" s="16" t="s">
        <v>40</v>
      </c>
      <c r="D147" s="17">
        <v>6.6010000000000005E-4</v>
      </c>
      <c r="E147" s="17">
        <v>0</v>
      </c>
      <c r="F147" s="17">
        <f>ROUNDDOWN(D147*E147,1)</f>
        <v>0</v>
      </c>
      <c r="G147" s="17">
        <v>0</v>
      </c>
      <c r="H147" s="17">
        <f>ROUNDDOWN(D147*G147,1)</f>
        <v>0</v>
      </c>
      <c r="I147" s="17">
        <f>단가대비표!O49</f>
        <v>28567000</v>
      </c>
      <c r="J147" s="17">
        <f>ROUNDDOWN(D147*I147,1)</f>
        <v>18857</v>
      </c>
      <c r="K147" s="17">
        <f t="shared" si="21"/>
        <v>28567000</v>
      </c>
      <c r="L147" s="17">
        <f t="shared" si="22"/>
        <v>18857</v>
      </c>
      <c r="M147" s="14" t="s">
        <v>232</v>
      </c>
      <c r="O147" s="2" t="s">
        <v>48</v>
      </c>
      <c r="P147" s="2" t="s">
        <v>438</v>
      </c>
      <c r="Q147" s="1">
        <v>1</v>
      </c>
    </row>
    <row r="148" spans="1:20" ht="22.9" customHeight="1" x14ac:dyDescent="0.3">
      <c r="A148" s="16" t="s">
        <v>429</v>
      </c>
      <c r="B148" s="15"/>
      <c r="C148" s="16" t="s">
        <v>30</v>
      </c>
      <c r="D148" s="17"/>
      <c r="E148" s="17"/>
      <c r="F148" s="17">
        <f>SUMIF(Q145:Q147,"1",F145:F147)</f>
        <v>0</v>
      </c>
      <c r="G148" s="17"/>
      <c r="H148" s="17">
        <f>SUMIF(Q145:Q147,"1",H145:H147)</f>
        <v>0</v>
      </c>
      <c r="I148" s="17"/>
      <c r="J148" s="17">
        <f>SUMIF(Q145:Q147,"1",J145:J147)</f>
        <v>48478.3</v>
      </c>
      <c r="K148" s="17">
        <f t="shared" si="21"/>
        <v>0</v>
      </c>
      <c r="L148" s="17">
        <f t="shared" si="22"/>
        <v>48478.3</v>
      </c>
      <c r="M148" s="15"/>
    </row>
    <row r="149" spans="1:20" ht="22.9" customHeight="1" x14ac:dyDescent="0.3">
      <c r="A149" s="14" t="s">
        <v>428</v>
      </c>
      <c r="B149" s="15"/>
      <c r="C149" s="16" t="s">
        <v>30</v>
      </c>
      <c r="D149" s="17"/>
      <c r="E149" s="17"/>
      <c r="F149" s="17">
        <f>ROUNDDOWN(D149*E149,1)</f>
        <v>0</v>
      </c>
      <c r="G149" s="17"/>
      <c r="H149" s="17">
        <f>ROUNDDOWN(D149*G149,1)</f>
        <v>0</v>
      </c>
      <c r="I149" s="17"/>
      <c r="J149" s="17">
        <f>ROUNDDOWN(D149*I149,1)</f>
        <v>0</v>
      </c>
      <c r="K149" s="17">
        <f t="shared" si="21"/>
        <v>0</v>
      </c>
      <c r="L149" s="17">
        <f t="shared" si="22"/>
        <v>0</v>
      </c>
      <c r="M149" s="15"/>
    </row>
    <row r="150" spans="1:20" ht="22.9" customHeight="1" x14ac:dyDescent="0.3">
      <c r="A150" s="14" t="s">
        <v>21</v>
      </c>
      <c r="B150" s="14" t="s">
        <v>365</v>
      </c>
      <c r="C150" s="16" t="s">
        <v>14</v>
      </c>
      <c r="D150" s="17">
        <v>19.5</v>
      </c>
      <c r="E150" s="17">
        <f>단가대비표!O5</f>
        <v>1657</v>
      </c>
      <c r="F150" s="17">
        <f>ROUNDDOWN(D150*E150,1)</f>
        <v>32311.5</v>
      </c>
      <c r="G150" s="17">
        <v>0</v>
      </c>
      <c r="H150" s="17">
        <f>ROUNDDOWN(D150*G150,1)</f>
        <v>0</v>
      </c>
      <c r="I150" s="17">
        <v>0</v>
      </c>
      <c r="J150" s="17">
        <f>ROUNDDOWN(D150*I150,1)</f>
        <v>0</v>
      </c>
      <c r="K150" s="17">
        <f t="shared" si="21"/>
        <v>1657</v>
      </c>
      <c r="L150" s="17">
        <f t="shared" si="22"/>
        <v>32311.5</v>
      </c>
      <c r="M150" s="15"/>
      <c r="O150" s="2" t="s">
        <v>41</v>
      </c>
      <c r="P150" s="2" t="s">
        <v>438</v>
      </c>
      <c r="Q150" s="1">
        <v>1</v>
      </c>
    </row>
    <row r="151" spans="1:20" ht="22.9" customHeight="1" x14ac:dyDescent="0.3">
      <c r="A151" s="14" t="s">
        <v>47</v>
      </c>
      <c r="B151" s="15" t="str">
        <f>"주연료비의 "&amp;N151*100&amp;"%"</f>
        <v>주연료비의 16%</v>
      </c>
      <c r="C151" s="16" t="s">
        <v>31</v>
      </c>
      <c r="D151" s="17">
        <v>1</v>
      </c>
      <c r="E151" s="17">
        <f>SUMIF(O145:O155,"01",F145:F155)</f>
        <v>32311.5</v>
      </c>
      <c r="F151" s="17">
        <f>ROUNDDOWN((E151)*N151,1)</f>
        <v>5169.8</v>
      </c>
      <c r="G151" s="17">
        <v>0</v>
      </c>
      <c r="H151" s="17">
        <v>0</v>
      </c>
      <c r="I151" s="17">
        <v>0</v>
      </c>
      <c r="J151" s="17">
        <v>0</v>
      </c>
      <c r="K151" s="17">
        <f t="shared" si="21"/>
        <v>32311.5</v>
      </c>
      <c r="L151" s="17">
        <f t="shared" si="22"/>
        <v>5169.8</v>
      </c>
      <c r="M151" s="14" t="s">
        <v>191</v>
      </c>
      <c r="N151" s="1">
        <v>0.16</v>
      </c>
      <c r="P151" s="2" t="s">
        <v>438</v>
      </c>
      <c r="Q151" s="1">
        <v>1</v>
      </c>
      <c r="R151" s="2" t="s">
        <v>32</v>
      </c>
      <c r="S151" s="2" t="s">
        <v>192</v>
      </c>
      <c r="T151" s="2" t="s">
        <v>33</v>
      </c>
    </row>
    <row r="152" spans="1:20" ht="22.9" customHeight="1" x14ac:dyDescent="0.3">
      <c r="A152" s="16" t="s">
        <v>429</v>
      </c>
      <c r="B152" s="15"/>
      <c r="C152" s="16" t="s">
        <v>30</v>
      </c>
      <c r="D152" s="17"/>
      <c r="E152" s="17"/>
      <c r="F152" s="17">
        <f>SUMIF(Q149:Q151,"1",F149:F151)</f>
        <v>37481.300000000003</v>
      </c>
      <c r="G152" s="17"/>
      <c r="H152" s="17">
        <f>SUMIF(Q149:Q151,"1",H149:H151)</f>
        <v>0</v>
      </c>
      <c r="I152" s="17"/>
      <c r="J152" s="17">
        <f>SUMIF(Q149:Q151,"1",J149:J151)</f>
        <v>0</v>
      </c>
      <c r="K152" s="17">
        <f t="shared" si="21"/>
        <v>0</v>
      </c>
      <c r="L152" s="17">
        <f t="shared" si="22"/>
        <v>37481.300000000003</v>
      </c>
      <c r="M152" s="15"/>
    </row>
    <row r="153" spans="1:20" ht="22.9" customHeight="1" x14ac:dyDescent="0.3">
      <c r="A153" s="14" t="s">
        <v>441</v>
      </c>
      <c r="B153" s="15"/>
      <c r="C153" s="16" t="s">
        <v>30</v>
      </c>
      <c r="D153" s="17"/>
      <c r="E153" s="17"/>
      <c r="F153" s="17">
        <f>ROUNDDOWN(D153*E153,1)</f>
        <v>0</v>
      </c>
      <c r="G153" s="17"/>
      <c r="H153" s="17">
        <f>ROUNDDOWN(D153*G153,1)</f>
        <v>0</v>
      </c>
      <c r="I153" s="17"/>
      <c r="J153" s="17">
        <f>ROUNDDOWN(D153*I153,1)</f>
        <v>0</v>
      </c>
      <c r="K153" s="17">
        <f t="shared" si="21"/>
        <v>0</v>
      </c>
      <c r="L153" s="17">
        <f t="shared" si="22"/>
        <v>0</v>
      </c>
      <c r="M153" s="15"/>
    </row>
    <row r="154" spans="1:20" ht="22.9" customHeight="1" x14ac:dyDescent="0.3">
      <c r="A154" s="14" t="s">
        <v>412</v>
      </c>
      <c r="B154" s="14" t="s">
        <v>413</v>
      </c>
      <c r="C154" s="16" t="s">
        <v>46</v>
      </c>
      <c r="D154" s="17">
        <v>0.20833333333333334</v>
      </c>
      <c r="E154" s="17">
        <v>0</v>
      </c>
      <c r="F154" s="17">
        <f>ROUNDDOWN(D154*E154,1)</f>
        <v>0</v>
      </c>
      <c r="G154" s="17">
        <f>단가대비표!O23</f>
        <v>283297</v>
      </c>
      <c r="H154" s="17">
        <f>ROUNDDOWN(D154*G154,1)</f>
        <v>59020.2</v>
      </c>
      <c r="I154" s="17">
        <v>0</v>
      </c>
      <c r="J154" s="17">
        <f>ROUNDDOWN(D154*I154,1)</f>
        <v>0</v>
      </c>
      <c r="K154" s="17">
        <f t="shared" si="21"/>
        <v>283297</v>
      </c>
      <c r="L154" s="17">
        <f t="shared" si="22"/>
        <v>59020.2</v>
      </c>
      <c r="M154" s="14" t="s">
        <v>272</v>
      </c>
      <c r="O154" s="2" t="s">
        <v>52</v>
      </c>
      <c r="P154" s="2" t="s">
        <v>438</v>
      </c>
      <c r="Q154" s="1">
        <v>1</v>
      </c>
    </row>
    <row r="155" spans="1:20" ht="22.9" customHeight="1" x14ac:dyDescent="0.3">
      <c r="A155" s="16" t="s">
        <v>429</v>
      </c>
      <c r="B155" s="15"/>
      <c r="C155" s="16" t="s">
        <v>30</v>
      </c>
      <c r="D155" s="17"/>
      <c r="E155" s="17"/>
      <c r="F155" s="17">
        <f>SUMIF(Q153:Q154,"1",F153:F154)</f>
        <v>0</v>
      </c>
      <c r="G155" s="17"/>
      <c r="H155" s="17">
        <f>SUMIF(Q153:Q154,"1",H153:H154)</f>
        <v>59020.2</v>
      </c>
      <c r="I155" s="17"/>
      <c r="J155" s="17">
        <f>SUMIF(Q153:Q154,"1",J153:J154)</f>
        <v>0</v>
      </c>
      <c r="K155" s="17">
        <f t="shared" si="21"/>
        <v>0</v>
      </c>
      <c r="L155" s="17">
        <f t="shared" si="22"/>
        <v>59020.2</v>
      </c>
      <c r="M155" s="15"/>
    </row>
    <row r="156" spans="1:20" ht="22.9" customHeight="1" x14ac:dyDescent="0.3">
      <c r="A156" s="18" t="s">
        <v>439</v>
      </c>
      <c r="B156" s="19"/>
      <c r="C156" s="20"/>
      <c r="D156" s="21"/>
      <c r="E156" s="21"/>
      <c r="F156" s="21">
        <f>ROUNDDOWN(SUMIF(Q145:Q155,"1",F145:F155),0)</f>
        <v>37481</v>
      </c>
      <c r="G156" s="21"/>
      <c r="H156" s="21">
        <f>ROUNDDOWN(SUMIF(Q145:Q155,"1",H145:H155),0)</f>
        <v>59020</v>
      </c>
      <c r="I156" s="21"/>
      <c r="J156" s="21">
        <f>ROUNDDOWN(SUMIF(Q145:Q155,"1",J145:J155),0)</f>
        <v>48478</v>
      </c>
      <c r="K156" s="21"/>
      <c r="L156" s="21">
        <f>F156+H156+J156</f>
        <v>144979</v>
      </c>
      <c r="M156" s="19"/>
    </row>
    <row r="157" spans="1:20" ht="22.9" customHeight="1" x14ac:dyDescent="0.3">
      <c r="A157" s="15"/>
      <c r="B157" s="15"/>
      <c r="C157" s="22"/>
      <c r="D157" s="17"/>
      <c r="E157" s="17"/>
      <c r="F157" s="17"/>
      <c r="G157" s="17"/>
      <c r="H157" s="17"/>
      <c r="I157" s="17"/>
      <c r="J157" s="17"/>
      <c r="K157" s="17"/>
      <c r="L157" s="17"/>
      <c r="M157" s="15"/>
    </row>
    <row r="158" spans="1:20" ht="22.9" customHeight="1" x14ac:dyDescent="0.3">
      <c r="A158" s="15"/>
      <c r="B158" s="15"/>
      <c r="C158" s="22"/>
      <c r="D158" s="17"/>
      <c r="E158" s="17"/>
      <c r="F158" s="17"/>
      <c r="G158" s="17"/>
      <c r="H158" s="17"/>
      <c r="I158" s="17"/>
      <c r="J158" s="17"/>
      <c r="K158" s="17"/>
      <c r="L158" s="17"/>
      <c r="M158" s="15"/>
    </row>
    <row r="159" spans="1:20" ht="22.9" customHeight="1" x14ac:dyDescent="0.3">
      <c r="A159" s="15"/>
      <c r="B159" s="15"/>
      <c r="C159" s="22"/>
      <c r="D159" s="17"/>
      <c r="E159" s="17"/>
      <c r="F159" s="17"/>
      <c r="G159" s="17"/>
      <c r="H159" s="17"/>
      <c r="I159" s="17"/>
      <c r="J159" s="17"/>
      <c r="K159" s="17"/>
      <c r="L159" s="17"/>
      <c r="M159" s="15"/>
    </row>
    <row r="160" spans="1:20" ht="22.9" customHeight="1" x14ac:dyDescent="0.3">
      <c r="A160" s="15"/>
      <c r="B160" s="15"/>
      <c r="C160" s="22"/>
      <c r="D160" s="17"/>
      <c r="E160" s="17"/>
      <c r="F160" s="17"/>
      <c r="G160" s="17"/>
      <c r="H160" s="17"/>
      <c r="I160" s="17"/>
      <c r="J160" s="17"/>
      <c r="K160" s="17"/>
      <c r="L160" s="17"/>
      <c r="M160" s="15"/>
    </row>
    <row r="161" spans="1:13" ht="22.9" customHeight="1" x14ac:dyDescent="0.3">
      <c r="A161" s="15"/>
      <c r="B161" s="15"/>
      <c r="C161" s="22"/>
      <c r="D161" s="17"/>
      <c r="E161" s="17"/>
      <c r="F161" s="17"/>
      <c r="G161" s="17"/>
      <c r="H161" s="17"/>
      <c r="I161" s="17"/>
      <c r="J161" s="17"/>
      <c r="K161" s="17"/>
      <c r="L161" s="17"/>
      <c r="M161" s="15"/>
    </row>
    <row r="162" spans="1:13" ht="22.9" customHeight="1" x14ac:dyDescent="0.3">
      <c r="A162" s="15"/>
      <c r="B162" s="15"/>
      <c r="C162" s="22"/>
      <c r="D162" s="17"/>
      <c r="E162" s="17"/>
      <c r="F162" s="17"/>
      <c r="G162" s="17"/>
      <c r="H162" s="17"/>
      <c r="I162" s="17"/>
      <c r="J162" s="17"/>
      <c r="K162" s="17"/>
      <c r="L162" s="17"/>
      <c r="M162" s="15"/>
    </row>
    <row r="163" spans="1:13" ht="22.9" customHeight="1" x14ac:dyDescent="0.3">
      <c r="A163" s="15"/>
      <c r="B163" s="15"/>
      <c r="C163" s="22"/>
      <c r="D163" s="17"/>
      <c r="E163" s="17"/>
      <c r="F163" s="17"/>
      <c r="G163" s="17"/>
      <c r="H163" s="17"/>
      <c r="I163" s="17"/>
      <c r="J163" s="17"/>
      <c r="K163" s="17"/>
      <c r="L163" s="17"/>
      <c r="M163" s="15"/>
    </row>
    <row r="164" spans="1:13" ht="22.9" customHeight="1" x14ac:dyDescent="0.3">
      <c r="A164" s="15"/>
      <c r="B164" s="15"/>
      <c r="C164" s="22"/>
      <c r="D164" s="17"/>
      <c r="E164" s="17"/>
      <c r="F164" s="17"/>
      <c r="G164" s="17"/>
      <c r="H164" s="17"/>
      <c r="I164" s="17"/>
      <c r="J164" s="17"/>
      <c r="K164" s="17"/>
      <c r="L164" s="17"/>
      <c r="M164" s="15"/>
    </row>
  </sheetData>
  <mergeCells count="24">
    <mergeCell ref="A50:L50"/>
    <mergeCell ref="A1:M1"/>
    <mergeCell ref="A2:M2"/>
    <mergeCell ref="A3:A4"/>
    <mergeCell ref="B3:B4"/>
    <mergeCell ref="C3:C4"/>
    <mergeCell ref="D3:D4"/>
    <mergeCell ref="M3:M4"/>
    <mergeCell ref="E3:F3"/>
    <mergeCell ref="G3:H3"/>
    <mergeCell ref="I3:J3"/>
    <mergeCell ref="K3:L3"/>
    <mergeCell ref="A5:L5"/>
    <mergeCell ref="A11:L11"/>
    <mergeCell ref="A24:L24"/>
    <mergeCell ref="A37:L37"/>
    <mergeCell ref="A131:L131"/>
    <mergeCell ref="A144:L144"/>
    <mergeCell ref="A63:L63"/>
    <mergeCell ref="A76:L76"/>
    <mergeCell ref="A89:L89"/>
    <mergeCell ref="A102:L102"/>
    <mergeCell ref="A108:L108"/>
    <mergeCell ref="A121:L121"/>
  </mergeCells>
  <phoneticPr fontId="12" type="noConversion"/>
  <conditionalFormatting sqref="A5 M5 A6:M164">
    <cfRule type="containsText" dxfId="7" priority="1" stopIfTrue="1" operator="containsText" text=".">
      <formula>NOT(ISERROR(SEARCH(".",A5)))</formula>
    </cfRule>
    <cfRule type="containsText" dxfId="6" priority="2" stopIfTrue="1" operator="containsText" text=".">
      <formula>ISERROR(SEARCH(".",A5))</formula>
    </cfRule>
  </conditionalFormatting>
  <pageMargins left="0.74763888120651245" right="0" top="0.55097222328186035" bottom="0.15722222626209259" header="0.31486111879348755" footer="0.15722222626209259"/>
  <pageSetup paperSize="9" scale="95" orientation="landscape"/>
  <rowBreaks count="10" manualBreakCount="10">
    <brk id="20" max="1048575" man="1"/>
    <brk id="36" max="1048575" man="1"/>
    <brk id="52" max="1048575" man="1"/>
    <brk id="68" max="1048575" man="1"/>
    <brk id="84" max="1048575" man="1"/>
    <brk id="100" max="1048575" man="1"/>
    <brk id="116" max="1048575" man="1"/>
    <brk id="132" max="1048575" man="1"/>
    <brk id="148" max="1048575" man="1"/>
    <brk id="164" max="104857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9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11</vt:i4>
      </vt:variant>
      <vt:variant>
        <vt:lpstr>이름 지정된 범위</vt:lpstr>
      </vt:variant>
      <vt:variant>
        <vt:i4>20</vt:i4>
      </vt:variant>
    </vt:vector>
  </HeadingPairs>
  <TitlesOfParts>
    <vt:vector size="31" baseType="lpstr">
      <vt:lpstr>원가계산서</vt:lpstr>
      <vt:lpstr>집계표</vt:lpstr>
      <vt:lpstr>내역서</vt:lpstr>
      <vt:lpstr>일위대가목록</vt:lpstr>
      <vt:lpstr>일위대가표</vt:lpstr>
      <vt:lpstr>단가산출서목록</vt:lpstr>
      <vt:lpstr>단가산출서</vt:lpstr>
      <vt:lpstr>중기경비목록</vt:lpstr>
      <vt:lpstr>중기경비</vt:lpstr>
      <vt:lpstr>단가대비표</vt:lpstr>
      <vt:lpstr>Sheet1</vt:lpstr>
      <vt:lpstr>내역서!Print_Area</vt:lpstr>
      <vt:lpstr>단가대비표!Print_Area</vt:lpstr>
      <vt:lpstr>단가산출서!Print_Area</vt:lpstr>
      <vt:lpstr>단가산출서목록!Print_Area</vt:lpstr>
      <vt:lpstr>원가계산서!Print_Area</vt:lpstr>
      <vt:lpstr>일위대가목록!Print_Area</vt:lpstr>
      <vt:lpstr>일위대가표!Print_Area</vt:lpstr>
      <vt:lpstr>중기경비!Print_Area</vt:lpstr>
      <vt:lpstr>중기경비목록!Print_Area</vt:lpstr>
      <vt:lpstr>집계표!Print_Area</vt:lpstr>
      <vt:lpstr>내역서!Print_Titles</vt:lpstr>
      <vt:lpstr>단가대비표!Print_Titles</vt:lpstr>
      <vt:lpstr>단가산출서!Print_Titles</vt:lpstr>
      <vt:lpstr>단가산출서목록!Print_Titles</vt:lpstr>
      <vt:lpstr>원가계산서!Print_Titles</vt:lpstr>
      <vt:lpstr>일위대가목록!Print_Titles</vt:lpstr>
      <vt:lpstr>일위대가표!Print_Titles</vt:lpstr>
      <vt:lpstr>중기경비!Print_Titles</vt:lpstr>
      <vt:lpstr>중기경비목록!Print_Titles</vt:lpstr>
      <vt:lpstr>집계표!Print_Titles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 k</dc:creator>
  <cp:lastModifiedBy>User</cp:lastModifiedBy>
  <cp:revision>4</cp:revision>
  <cp:lastPrinted>2026-09-04T00:45:58Z</cp:lastPrinted>
  <dcterms:created xsi:type="dcterms:W3CDTF">2026-05-13T02:53:33Z</dcterms:created>
  <dcterms:modified xsi:type="dcterms:W3CDTF">2026-09-04T01:30:20Z</dcterms:modified>
  <cp:version>1000.0100.01</cp:version>
</cp:coreProperties>
</file>