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계약\견적제출공고\2026년 공고\"/>
    </mc:Choice>
  </mc:AlternateContent>
  <xr:revisionPtr revIDLastSave="0" documentId="8_{659FF0C7-756C-46C7-B50B-0308EABD41A9}" xr6:coauthVersionLast="36" xr6:coauthVersionMax="36" xr10:uidLastSave="{00000000-0000-0000-0000-000000000000}"/>
  <bookViews>
    <workbookView xWindow="105" yWindow="105" windowWidth="10005" windowHeight="7005" xr2:uid="{00000000-000D-0000-FFFF-FFFF00000000}"/>
  </bookViews>
  <sheets>
    <sheet name="원가계산서" sheetId="1" r:id="rId1"/>
    <sheet name="내역서총괄표" sheetId="2" r:id="rId2"/>
    <sheet name="내역서" sheetId="3" r:id="rId3"/>
    <sheet name="일위대가총괄표" sheetId="4" r:id="rId4"/>
    <sheet name="일위대가" sheetId="5" r:id="rId5"/>
    <sheet name="단가산출총괄표" sheetId="6" r:id="rId6"/>
    <sheet name="단가산출" sheetId="7" r:id="rId7"/>
    <sheet name="기계경비총괄표" sheetId="8" r:id="rId8"/>
    <sheet name="기계경비" sheetId="9" r:id="rId9"/>
    <sheet name="기계경비적용기준" sheetId="10" r:id="rId10"/>
    <sheet name="자재단가" sheetId="11" r:id="rId11"/>
    <sheet name="노임단가" sheetId="12" r:id="rId12"/>
  </sheets>
  <definedNames>
    <definedName name="_xlnm.Print_Area" localSheetId="8">기계경비!$B$1:$AD$58</definedName>
    <definedName name="_xlnm.Print_Area" localSheetId="7">기계경비총괄표!$B$1:$I$12</definedName>
    <definedName name="_xlnm.Print_Area" localSheetId="2">내역서!$B$1:$N$87</definedName>
    <definedName name="_xlnm.Print_Area" localSheetId="1">내역서총괄표!$B$1:$J$31</definedName>
    <definedName name="_xlnm.Print_Area" localSheetId="11">노임단가!$B$1:$H$13</definedName>
    <definedName name="_xlnm.Print_Area" localSheetId="6">단가산출!$B$2:$EO$561</definedName>
    <definedName name="_xlnm.Print_Area" localSheetId="5">단가산출총괄표!$B$1:$J$21</definedName>
    <definedName name="_xlnm.Print_Area" localSheetId="0">원가계산서!$B$1:$F$32</definedName>
    <definedName name="_xlnm.Print_Area" localSheetId="4">일위대가!$B$1:$O$9</definedName>
    <definedName name="_xlnm.Print_Area" localSheetId="3">일위대가총괄표!$B$1:$J$4</definedName>
    <definedName name="_xlnm.Print_Area" localSheetId="10">자재단가!$B$1:$S$23</definedName>
    <definedName name="_xlnm.Print_Titles" localSheetId="8">기계경비!$1:$3</definedName>
    <definedName name="_xlnm.Print_Titles" localSheetId="7">기계경비총괄표!$1:$3</definedName>
    <definedName name="_xlnm.Print_Titles" localSheetId="2">내역서!$1:$4</definedName>
    <definedName name="_xlnm.Print_Titles" localSheetId="1">내역서총괄표!$1:$3</definedName>
    <definedName name="_xlnm.Print_Titles" localSheetId="11">노임단가!$1:$3</definedName>
    <definedName name="_xlnm.Print_Titles" localSheetId="6">단가산출!$1:$3</definedName>
    <definedName name="_xlnm.Print_Titles" localSheetId="5">단가산출총괄표!$1:$3</definedName>
    <definedName name="_xlnm.Print_Titles" localSheetId="4">일위대가!$1:$4</definedName>
    <definedName name="_xlnm.Print_Titles" localSheetId="3">일위대가총괄표!$1:$3</definedName>
    <definedName name="_xlnm.Print_Titles" localSheetId="10">자재단가!$1:$4</definedName>
  </definedNames>
  <calcPr calcId="191029"/>
</workbook>
</file>

<file path=xl/calcChain.xml><?xml version="1.0" encoding="utf-8"?>
<calcChain xmlns="http://schemas.openxmlformats.org/spreadsheetml/2006/main">
  <c r="AC5" i="9" l="1"/>
  <c r="AC4" i="9" s="1"/>
  <c r="I4" i="8" s="1"/>
  <c r="I8" i="9"/>
  <c r="AC11" i="9"/>
  <c r="AC10" i="9" s="1"/>
  <c r="I5" i="8" s="1"/>
  <c r="I14" i="9"/>
  <c r="AC17" i="9"/>
  <c r="AC16" i="9" s="1"/>
  <c r="I6" i="8" s="1"/>
  <c r="P147" i="7" s="1"/>
  <c r="I20" i="9"/>
  <c r="AC23" i="9"/>
  <c r="AC22" i="9" s="1"/>
  <c r="I7" i="8" s="1"/>
  <c r="I26" i="9"/>
  <c r="AB26" i="9" s="1"/>
  <c r="AC29" i="9"/>
  <c r="AC30" i="9"/>
  <c r="Z30" i="9" s="1"/>
  <c r="I33" i="9"/>
  <c r="AC36" i="9"/>
  <c r="I39" i="9"/>
  <c r="AC42" i="9"/>
  <c r="Z42" i="9" s="1"/>
  <c r="I45" i="9"/>
  <c r="AB45" i="9" s="1"/>
  <c r="AC48" i="9"/>
  <c r="AC47" i="9" s="1"/>
  <c r="I11" i="8" s="1"/>
  <c r="P478" i="7" s="1"/>
  <c r="I51" i="9"/>
  <c r="AC54" i="9"/>
  <c r="AC53" i="9" s="1"/>
  <c r="I12" i="8" s="1"/>
  <c r="I57" i="9"/>
  <c r="AB57" i="9"/>
  <c r="Z57" i="9" s="1"/>
  <c r="E21" i="10"/>
  <c r="E22" i="10"/>
  <c r="E23" i="10"/>
  <c r="E24" i="10"/>
  <c r="E25" i="10"/>
  <c r="F5" i="3"/>
  <c r="F6" i="3"/>
  <c r="F7" i="3"/>
  <c r="F13" i="3"/>
  <c r="F14" i="3"/>
  <c r="F21" i="3"/>
  <c r="F24" i="3"/>
  <c r="F25" i="3"/>
  <c r="F27" i="3"/>
  <c r="F28" i="3"/>
  <c r="F31" i="3"/>
  <c r="F32" i="3"/>
  <c r="I33" i="3"/>
  <c r="K33" i="3"/>
  <c r="K32" i="3" s="1"/>
  <c r="I34" i="3"/>
  <c r="K34" i="3"/>
  <c r="F35" i="3"/>
  <c r="K35" i="3"/>
  <c r="I36" i="3"/>
  <c r="I35" i="3" s="1"/>
  <c r="K36" i="3"/>
  <c r="F37" i="3"/>
  <c r="F38" i="3"/>
  <c r="J39" i="3"/>
  <c r="K39" i="3" s="1"/>
  <c r="L39" i="3"/>
  <c r="M39" i="3" s="1"/>
  <c r="M38" i="3" s="1"/>
  <c r="J40" i="3"/>
  <c r="K40" i="3" s="1"/>
  <c r="L40" i="3"/>
  <c r="M40" i="3" s="1"/>
  <c r="F41" i="3"/>
  <c r="J42" i="3"/>
  <c r="K42" i="3" s="1"/>
  <c r="K41" i="3" s="1"/>
  <c r="L42" i="3"/>
  <c r="M42" i="3"/>
  <c r="M41" i="3" s="1"/>
  <c r="F43" i="3"/>
  <c r="J44" i="3"/>
  <c r="L44" i="3"/>
  <c r="M44" i="3"/>
  <c r="J45" i="3"/>
  <c r="K45" i="3" s="1"/>
  <c r="L45" i="3"/>
  <c r="M45" i="3" s="1"/>
  <c r="F46" i="3"/>
  <c r="J47" i="3"/>
  <c r="L47" i="3"/>
  <c r="M47" i="3"/>
  <c r="J48" i="3"/>
  <c r="K48" i="3"/>
  <c r="L48" i="3"/>
  <c r="M48" i="3"/>
  <c r="J49" i="3"/>
  <c r="K49" i="3" s="1"/>
  <c r="L49" i="3"/>
  <c r="M49" i="3" s="1"/>
  <c r="M46" i="3" s="1"/>
  <c r="J50" i="3"/>
  <c r="L50" i="3"/>
  <c r="M50" i="3" s="1"/>
  <c r="F51" i="3"/>
  <c r="G51" i="3"/>
  <c r="F52" i="3"/>
  <c r="G52" i="3"/>
  <c r="F53" i="3"/>
  <c r="G53" i="3"/>
  <c r="F54" i="3"/>
  <c r="G54" i="3"/>
  <c r="F55" i="3"/>
  <c r="G55" i="3"/>
  <c r="F56" i="3"/>
  <c r="G56" i="3"/>
  <c r="F57" i="3"/>
  <c r="G57" i="3"/>
  <c r="F58" i="3"/>
  <c r="G58" i="3"/>
  <c r="F59" i="3"/>
  <c r="G59" i="3"/>
  <c r="F60" i="3"/>
  <c r="G60" i="3"/>
  <c r="F61" i="3"/>
  <c r="G61" i="3"/>
  <c r="F62" i="3"/>
  <c r="G62" i="3"/>
  <c r="F63" i="3"/>
  <c r="G63" i="3"/>
  <c r="F64" i="3"/>
  <c r="G64" i="3"/>
  <c r="F65" i="3"/>
  <c r="G65" i="3"/>
  <c r="F66" i="3"/>
  <c r="G66" i="3"/>
  <c r="F67" i="3"/>
  <c r="G67" i="3"/>
  <c r="F68" i="3"/>
  <c r="G68" i="3"/>
  <c r="F69" i="3"/>
  <c r="G69" i="3"/>
  <c r="F70" i="3"/>
  <c r="G70" i="3"/>
  <c r="F71" i="3"/>
  <c r="G71" i="3"/>
  <c r="F72" i="3"/>
  <c r="G72" i="3"/>
  <c r="F73" i="3"/>
  <c r="G73" i="3"/>
  <c r="F74" i="3"/>
  <c r="F75" i="3"/>
  <c r="J76" i="3"/>
  <c r="K76" i="3" s="1"/>
  <c r="L76" i="3"/>
  <c r="M76" i="3" s="1"/>
  <c r="M75" i="3" s="1"/>
  <c r="F77" i="3"/>
  <c r="G77" i="3"/>
  <c r="F78" i="3"/>
  <c r="J79" i="3"/>
  <c r="L79" i="3"/>
  <c r="M79" i="3" s="1"/>
  <c r="M78" i="3" s="1"/>
  <c r="F80" i="3"/>
  <c r="G80" i="3"/>
  <c r="F81" i="3"/>
  <c r="G81" i="3"/>
  <c r="F82" i="3"/>
  <c r="M82" i="3"/>
  <c r="F83" i="3"/>
  <c r="J84" i="3"/>
  <c r="K84" i="3"/>
  <c r="L84" i="3"/>
  <c r="M84" i="3" s="1"/>
  <c r="M83" i="3" s="1"/>
  <c r="F85" i="3"/>
  <c r="G85" i="3"/>
  <c r="F86" i="3"/>
  <c r="G86" i="3"/>
  <c r="F87" i="3"/>
  <c r="G87" i="3"/>
  <c r="K8" i="7"/>
  <c r="V8" i="7"/>
  <c r="AG8" i="7" s="1"/>
  <c r="Z8" i="7"/>
  <c r="AU8" i="7"/>
  <c r="AU12" i="7" s="1"/>
  <c r="K10" i="7"/>
  <c r="W10" i="7"/>
  <c r="L12" i="7"/>
  <c r="AI12" i="7" s="1"/>
  <c r="AP12" i="7"/>
  <c r="BF12" i="7"/>
  <c r="AU14" i="7"/>
  <c r="P18" i="7"/>
  <c r="K32" i="7"/>
  <c r="AO36" i="7" s="1"/>
  <c r="Z32" i="7"/>
  <c r="AD32" i="7"/>
  <c r="AZ32" i="7"/>
  <c r="K34" i="7"/>
  <c r="BE36" i="7" s="1"/>
  <c r="Y34" i="7"/>
  <c r="AU38" i="7" s="1"/>
  <c r="AS34" i="7"/>
  <c r="AB40" i="7" s="1"/>
  <c r="L36" i="7"/>
  <c r="AH36" i="7" s="1"/>
  <c r="K58" i="7"/>
  <c r="AZ62" i="7" s="1"/>
  <c r="X58" i="7"/>
  <c r="BG62" i="7" s="1"/>
  <c r="AI58" i="7"/>
  <c r="AM58" i="7"/>
  <c r="AT58" i="7"/>
  <c r="K60" i="7"/>
  <c r="BU62" i="7" s="1"/>
  <c r="X60" i="7"/>
  <c r="BG64" i="7" s="1"/>
  <c r="AP60" i="7"/>
  <c r="AB66" i="7" s="1"/>
  <c r="L62" i="7"/>
  <c r="AQ62" i="7" s="1"/>
  <c r="K79" i="7"/>
  <c r="Z79" i="7"/>
  <c r="AG79" i="7"/>
  <c r="BC79" i="7"/>
  <c r="AU83" i="7" s="1"/>
  <c r="L81" i="7"/>
  <c r="Q81" i="7"/>
  <c r="W81" i="7"/>
  <c r="AP81" i="7"/>
  <c r="AU85" i="7" s="1"/>
  <c r="L83" i="7"/>
  <c r="AI83" i="7" s="1"/>
  <c r="AP83" i="7"/>
  <c r="P89" i="7"/>
  <c r="K103" i="7"/>
  <c r="AP107" i="7" s="1"/>
  <c r="Z103" i="7"/>
  <c r="AK103" i="7" s="1"/>
  <c r="AZ107" i="7" s="1"/>
  <c r="AD103" i="7"/>
  <c r="AZ103" i="7"/>
  <c r="AU107" i="7" s="1"/>
  <c r="L105" i="7"/>
  <c r="Q105" i="7"/>
  <c r="W105" i="7"/>
  <c r="AP105" i="7"/>
  <c r="AU109" i="7" s="1"/>
  <c r="L107" i="7"/>
  <c r="AI107" i="7" s="1"/>
  <c r="V132" i="7"/>
  <c r="AI132" i="7"/>
  <c r="AO132" i="7"/>
  <c r="V134" i="7"/>
  <c r="AI134" i="7"/>
  <c r="AO134" i="7"/>
  <c r="U139" i="7"/>
  <c r="K143" i="7"/>
  <c r="X143" i="7" s="1"/>
  <c r="Q143" i="7"/>
  <c r="EO157" i="7"/>
  <c r="AV163" i="7"/>
  <c r="T166" i="7"/>
  <c r="T170" i="7"/>
  <c r="AT170" i="7" s="1"/>
  <c r="R174" i="7" s="1"/>
  <c r="AG170" i="7"/>
  <c r="AM170" i="7"/>
  <c r="T172" i="7"/>
  <c r="AG172" i="7"/>
  <c r="AM172" i="7"/>
  <c r="AU172" i="7" s="1"/>
  <c r="U178" i="7"/>
  <c r="EO187" i="7"/>
  <c r="BJ191" i="7"/>
  <c r="R194" i="7"/>
  <c r="T198" i="7"/>
  <c r="AF198" i="7"/>
  <c r="U200" i="7"/>
  <c r="AP200" i="7" s="1"/>
  <c r="AG200" i="7"/>
  <c r="EO211" i="7"/>
  <c r="S216" i="7"/>
  <c r="T230" i="7"/>
  <c r="AV230" i="7" s="1"/>
  <c r="AG230" i="7"/>
  <c r="AM230" i="7"/>
  <c r="T232" i="7"/>
  <c r="AG232" i="7"/>
  <c r="AM232" i="7"/>
  <c r="AW232" i="7" s="1"/>
  <c r="V238" i="7"/>
  <c r="EO254" i="7"/>
  <c r="I13" i="6" s="1"/>
  <c r="L19" i="3" s="1"/>
  <c r="M19" i="3" s="1"/>
  <c r="BD258" i="7"/>
  <c r="T262" i="7"/>
  <c r="EO271" i="7"/>
  <c r="BT275" i="7"/>
  <c r="T279" i="7"/>
  <c r="AQ279" i="7" s="1"/>
  <c r="AF279" i="7"/>
  <c r="T281" i="7"/>
  <c r="AF281" i="7"/>
  <c r="Z296" i="7"/>
  <c r="BK304" i="7" s="1"/>
  <c r="AH298" i="7"/>
  <c r="AU298" i="7" s="1"/>
  <c r="T302" i="7"/>
  <c r="AU302" i="7" s="1"/>
  <c r="AG302" i="7"/>
  <c r="BF302" i="7" s="1"/>
  <c r="T304" i="7"/>
  <c r="AG304" i="7"/>
  <c r="BF304" i="7" s="1"/>
  <c r="P312" i="7"/>
  <c r="AM324" i="7"/>
  <c r="AM325" i="7"/>
  <c r="AM326" i="7"/>
  <c r="S346" i="7"/>
  <c r="AW361" i="7" s="1"/>
  <c r="AT346" i="7"/>
  <c r="BC361" i="7" s="1"/>
  <c r="R348" i="7"/>
  <c r="AR363" i="7" s="1"/>
  <c r="AQ348" i="7"/>
  <c r="BD363" i="7" s="1"/>
  <c r="R349" i="7"/>
  <c r="AQ349" i="7"/>
  <c r="BI363" i="7" s="1"/>
  <c r="K351" i="7"/>
  <c r="W353" i="7" s="1"/>
  <c r="AB351" i="7"/>
  <c r="AU351" i="7"/>
  <c r="AN371" i="7" s="1"/>
  <c r="Q353" i="7"/>
  <c r="AF353" i="7" s="1"/>
  <c r="Z353" i="7"/>
  <c r="AY353" i="7"/>
  <c r="AQ371" i="7" s="1"/>
  <c r="L355" i="7"/>
  <c r="AL357" i="7" s="1"/>
  <c r="Z355" i="7"/>
  <c r="AT357" i="7" s="1"/>
  <c r="AM355" i="7"/>
  <c r="BI359" i="7" s="1"/>
  <c r="BA355" i="7"/>
  <c r="AL359" i="7" s="1"/>
  <c r="Y359" i="7"/>
  <c r="BC359" i="7" s="1"/>
  <c r="BH361" i="7"/>
  <c r="AK362" i="7"/>
  <c r="BO362" i="7"/>
  <c r="AW363" i="7"/>
  <c r="L365" i="7"/>
  <c r="AY367" i="7" s="1"/>
  <c r="X365" i="7"/>
  <c r="BE367" i="7" s="1"/>
  <c r="AK365" i="7"/>
  <c r="BL367" i="7" s="1"/>
  <c r="L371" i="7"/>
  <c r="AD371" i="7" s="1"/>
  <c r="S389" i="7"/>
  <c r="AB430" i="7" s="1"/>
  <c r="AL396" i="7"/>
  <c r="BJ421" i="7" s="1"/>
  <c r="AL402" i="7"/>
  <c r="K407" i="7"/>
  <c r="AV409" i="7" s="1"/>
  <c r="Z407" i="7"/>
  <c r="L409" i="7"/>
  <c r="AG413" i="7" s="1"/>
  <c r="AH409" i="7"/>
  <c r="BI409" i="7" s="1"/>
  <c r="AK409" i="7"/>
  <c r="BD409" i="7" s="1"/>
  <c r="L411" i="7"/>
  <c r="AQ417" i="7" s="1"/>
  <c r="AA411" i="7"/>
  <c r="AX413" i="7" s="1"/>
  <c r="K415" i="7"/>
  <c r="AB415" i="7"/>
  <c r="AN419" i="7"/>
  <c r="BM419" i="7" s="1"/>
  <c r="BJ419" i="7"/>
  <c r="AR420" i="7"/>
  <c r="BW420" i="7" s="1"/>
  <c r="P421" i="7"/>
  <c r="AN421" i="7"/>
  <c r="BM421" i="7" s="1"/>
  <c r="AT421" i="7"/>
  <c r="K428" i="7"/>
  <c r="AG430" i="7" s="1"/>
  <c r="Z428" i="7"/>
  <c r="AE432" i="7" s="1"/>
  <c r="S430" i="7"/>
  <c r="V430" i="7"/>
  <c r="AO430" i="7" s="1"/>
  <c r="L432" i="7"/>
  <c r="AA432" i="7" s="1"/>
  <c r="T463" i="7"/>
  <c r="AG463" i="7"/>
  <c r="AN463" i="7"/>
  <c r="AV463" i="7"/>
  <c r="BA463" i="7"/>
  <c r="T465" i="7"/>
  <c r="AG465" i="7"/>
  <c r="AN465" i="7"/>
  <c r="AV465" i="7"/>
  <c r="R470" i="7"/>
  <c r="K474" i="7"/>
  <c r="X474" i="7" s="1"/>
  <c r="R474" i="7"/>
  <c r="AK476" i="7"/>
  <c r="AK477" i="7"/>
  <c r="AK478" i="7"/>
  <c r="EM488" i="7"/>
  <c r="EO488" i="7"/>
  <c r="AL496" i="7"/>
  <c r="BC496" i="7" s="1"/>
  <c r="EN496" i="7" s="1"/>
  <c r="AX496" i="7"/>
  <c r="U513" i="7"/>
  <c r="AH513" i="7"/>
  <c r="AN513" i="7"/>
  <c r="U515" i="7"/>
  <c r="AU515" i="7" s="1"/>
  <c r="AH515" i="7"/>
  <c r="AN515" i="7"/>
  <c r="K521" i="7"/>
  <c r="Q521" i="7"/>
  <c r="P525" i="7"/>
  <c r="S532" i="7"/>
  <c r="EM549" i="7"/>
  <c r="EN549" i="7"/>
  <c r="H21" i="6" s="1"/>
  <c r="BG553" i="7"/>
  <c r="I10" i="6"/>
  <c r="L16" i="3" s="1"/>
  <c r="M16" i="3" s="1"/>
  <c r="I11" i="6"/>
  <c r="L17" i="3" s="1"/>
  <c r="M17" i="3" s="1"/>
  <c r="I12" i="6"/>
  <c r="L18" i="3" s="1"/>
  <c r="M18" i="3" s="1"/>
  <c r="I14" i="6"/>
  <c r="L20" i="3" s="1"/>
  <c r="M20" i="3" s="1"/>
  <c r="G19" i="6"/>
  <c r="H23" i="3" s="1"/>
  <c r="I23" i="3" s="1"/>
  <c r="I19" i="6"/>
  <c r="L23" i="3" s="1"/>
  <c r="M23" i="3" s="1"/>
  <c r="G21" i="6"/>
  <c r="I6" i="5"/>
  <c r="J6" i="5" s="1"/>
  <c r="K6" i="5"/>
  <c r="L6" i="5"/>
  <c r="M6" i="5"/>
  <c r="N6" i="5" s="1"/>
  <c r="N5" i="5" s="1"/>
  <c r="I4" i="4" s="1"/>
  <c r="L26" i="3" s="1"/>
  <c r="M26" i="3" s="1"/>
  <c r="M25" i="3" s="1"/>
  <c r="M24" i="3" s="1"/>
  <c r="I7" i="2" s="1"/>
  <c r="I7" i="5"/>
  <c r="J7" i="5" s="1"/>
  <c r="K7" i="5"/>
  <c r="L7" i="5" s="1"/>
  <c r="M7" i="5"/>
  <c r="N7" i="5" s="1"/>
  <c r="M8" i="5"/>
  <c r="N8" i="5" s="1"/>
  <c r="J9" i="5"/>
  <c r="L9" i="5"/>
  <c r="N9" i="5"/>
  <c r="R5" i="11"/>
  <c r="R6" i="11"/>
  <c r="AJ163" i="7" s="1"/>
  <c r="BF163" i="7" s="1"/>
  <c r="R7" i="11"/>
  <c r="AY191" i="7" s="1"/>
  <c r="BP191" i="7" s="1"/>
  <c r="R8" i="11"/>
  <c r="BI275" i="7" s="1"/>
  <c r="CB275" i="7" s="1"/>
  <c r="EM275" i="7" s="1"/>
  <c r="R9" i="11"/>
  <c r="H39" i="3" s="1"/>
  <c r="I39" i="3" s="1"/>
  <c r="R10" i="11"/>
  <c r="H42" i="3" s="1"/>
  <c r="I42" i="3" s="1"/>
  <c r="I41" i="3" s="1"/>
  <c r="R11" i="11"/>
  <c r="H48" i="3" s="1"/>
  <c r="R12" i="11"/>
  <c r="H49" i="3" s="1"/>
  <c r="R13" i="11"/>
  <c r="AT258" i="7" s="1"/>
  <c r="BL258" i="7" s="1"/>
  <c r="R14" i="11"/>
  <c r="H45" i="3" s="1"/>
  <c r="R15" i="11"/>
  <c r="H47" i="3" s="1"/>
  <c r="I47" i="3" s="1"/>
  <c r="R16" i="11"/>
  <c r="AV553" i="7" s="1"/>
  <c r="BN553" i="7" s="1"/>
  <c r="EO553" i="7" s="1"/>
  <c r="R17" i="11"/>
  <c r="R18" i="11"/>
  <c r="H44" i="3" s="1"/>
  <c r="I44" i="3" s="1"/>
  <c r="R19" i="11"/>
  <c r="H76" i="3" s="1"/>
  <c r="R20" i="11"/>
  <c r="H79" i="3" s="1"/>
  <c r="I79" i="3" s="1"/>
  <c r="I78" i="3" s="1"/>
  <c r="R21" i="11"/>
  <c r="H84" i="3" s="1"/>
  <c r="I84" i="3" s="1"/>
  <c r="I83" i="3" s="1"/>
  <c r="I82" i="3" s="1"/>
  <c r="R22" i="11"/>
  <c r="H40" i="3" s="1"/>
  <c r="I40" i="3" s="1"/>
  <c r="R23" i="11"/>
  <c r="H50" i="3" s="1"/>
  <c r="I50" i="3" s="1"/>
  <c r="AB145" i="7" l="1"/>
  <c r="AB147" i="7"/>
  <c r="AB22" i="9"/>
  <c r="Z26" i="9"/>
  <c r="Z45" i="9"/>
  <c r="AB41" i="9"/>
  <c r="H6" i="5"/>
  <c r="BA465" i="7"/>
  <c r="R467" i="7" s="1"/>
  <c r="AT430" i="7"/>
  <c r="AL432" i="7" s="1"/>
  <c r="AN298" i="7"/>
  <c r="AA81" i="7"/>
  <c r="BF83" i="7" s="1"/>
  <c r="AK32" i="7"/>
  <c r="AY36" i="7" s="1"/>
  <c r="M43" i="3"/>
  <c r="BM13" i="7"/>
  <c r="I32" i="3"/>
  <c r="I31" i="3" s="1"/>
  <c r="G9" i="2" s="1"/>
  <c r="X521" i="7"/>
  <c r="AB524" i="7" s="1"/>
  <c r="H7" i="5"/>
  <c r="BA409" i="7"/>
  <c r="AC41" i="9"/>
  <c r="I10" i="8" s="1"/>
  <c r="AR361" i="7"/>
  <c r="AS281" i="7"/>
  <c r="R283" i="7" s="1"/>
  <c r="EN283" i="7" s="1"/>
  <c r="Q287" i="7" s="1"/>
  <c r="EN290" i="7" s="1"/>
  <c r="EN271" i="7" s="1"/>
  <c r="H14" i="6" s="1"/>
  <c r="AQ409" i="7"/>
  <c r="Z17" i="9"/>
  <c r="M31" i="1"/>
  <c r="AB33" i="9"/>
  <c r="AB8" i="9"/>
  <c r="R234" i="7"/>
  <c r="G6" i="5"/>
  <c r="AN417" i="7"/>
  <c r="BQ302" i="7"/>
  <c r="AC28" i="9"/>
  <c r="I8" i="8" s="1"/>
  <c r="P377" i="7" s="1"/>
  <c r="AB51" i="9"/>
  <c r="Z29" i="9"/>
  <c r="Z5" i="9"/>
  <c r="M30" i="1"/>
  <c r="M74" i="3"/>
  <c r="Q500" i="7"/>
  <c r="EL496" i="7"/>
  <c r="AB530" i="7"/>
  <c r="AB531" i="7"/>
  <c r="AN532" i="7"/>
  <c r="EO533" i="7" s="1"/>
  <c r="AA539" i="7" s="1"/>
  <c r="AB532" i="7"/>
  <c r="AB523" i="7"/>
  <c r="AB525" i="7"/>
  <c r="Q288" i="7"/>
  <c r="EM290" i="7" s="1"/>
  <c r="EM271" i="7" s="1"/>
  <c r="G14" i="6" s="1"/>
  <c r="H20" i="3" s="1"/>
  <c r="I20" i="3" s="1"/>
  <c r="EL275" i="7"/>
  <c r="AB476" i="7"/>
  <c r="AB477" i="7"/>
  <c r="AP478" i="7"/>
  <c r="EO479" i="7" s="1"/>
  <c r="Q485" i="7" s="1"/>
  <c r="EO486" i="7" s="1"/>
  <c r="EO453" i="7" s="1"/>
  <c r="I18" i="6" s="1"/>
  <c r="L22" i="3" s="1"/>
  <c r="M22" i="3" s="1"/>
  <c r="M21" i="3" s="1"/>
  <c r="AB478" i="7"/>
  <c r="EL553" i="7"/>
  <c r="R559" i="7"/>
  <c r="G238" i="7"/>
  <c r="EN234" i="7"/>
  <c r="Q242" i="7" s="1"/>
  <c r="M37" i="3"/>
  <c r="I10" i="2" s="1"/>
  <c r="F48" i="3"/>
  <c r="I48" i="3"/>
  <c r="G48" i="3" s="1"/>
  <c r="F44" i="3"/>
  <c r="AL413" i="7"/>
  <c r="BE413" i="7"/>
  <c r="AL430" i="7"/>
  <c r="AU304" i="7"/>
  <c r="BQ304" i="7"/>
  <c r="R306" i="7" s="1"/>
  <c r="EN306" i="7" s="1"/>
  <c r="AA238" i="7"/>
  <c r="EM238" i="7" s="1"/>
  <c r="Q326" i="7"/>
  <c r="P436" i="7"/>
  <c r="F49" i="3"/>
  <c r="I49" i="3"/>
  <c r="G49" i="3" s="1"/>
  <c r="AJ353" i="7"/>
  <c r="G41" i="3"/>
  <c r="F50" i="3"/>
  <c r="K8" i="10"/>
  <c r="J55" i="9"/>
  <c r="AA55" i="9" s="1"/>
  <c r="J18" i="9"/>
  <c r="AA18" i="9" s="1"/>
  <c r="J43" i="9"/>
  <c r="AA43" i="9" s="1"/>
  <c r="J24" i="9"/>
  <c r="AA24" i="9" s="1"/>
  <c r="J49" i="9"/>
  <c r="AA49" i="9" s="1"/>
  <c r="K7" i="10"/>
  <c r="J6" i="9"/>
  <c r="AA6" i="9" s="1"/>
  <c r="J31" i="9"/>
  <c r="AA31" i="9" s="1"/>
  <c r="J12" i="9"/>
  <c r="AA12" i="9" s="1"/>
  <c r="J37" i="9"/>
  <c r="AA37" i="9" s="1"/>
  <c r="AU513" i="7"/>
  <c r="R517" i="7" s="1"/>
  <c r="EN517" i="7" s="1"/>
  <c r="EN174" i="7"/>
  <c r="Q182" i="7" s="1"/>
  <c r="G178" i="7"/>
  <c r="Z178" i="7"/>
  <c r="EM178" i="7" s="1"/>
  <c r="EM258" i="7"/>
  <c r="G262" i="7"/>
  <c r="Y262" i="7"/>
  <c r="EN262" i="7" s="1"/>
  <c r="G7" i="5"/>
  <c r="AK525" i="7"/>
  <c r="EO526" i="7" s="1"/>
  <c r="AS432" i="7"/>
  <c r="Z166" i="7"/>
  <c r="EM166" i="7" s="1"/>
  <c r="EM163" i="7"/>
  <c r="G166" i="7"/>
  <c r="I45" i="3"/>
  <c r="I43" i="3" s="1"/>
  <c r="F45" i="3"/>
  <c r="G194" i="7"/>
  <c r="EM191" i="7"/>
  <c r="W194" i="7"/>
  <c r="EM194" i="7" s="1"/>
  <c r="F40" i="3"/>
  <c r="F47" i="3"/>
  <c r="AB28" i="9"/>
  <c r="Z33" i="9"/>
  <c r="H10" i="8"/>
  <c r="X415" i="7"/>
  <c r="BK302" i="7"/>
  <c r="AT36" i="7"/>
  <c r="AZ12" i="7"/>
  <c r="K38" i="3"/>
  <c r="G39" i="3"/>
  <c r="BT420" i="7"/>
  <c r="AB146" i="7"/>
  <c r="F39" i="3"/>
  <c r="K31" i="3"/>
  <c r="AC35" i="9"/>
  <c r="I9" i="8" s="1"/>
  <c r="Q319" i="7" s="1"/>
  <c r="Z36" i="9"/>
  <c r="AL147" i="7"/>
  <c r="EO148" i="7" s="1"/>
  <c r="Q154" i="7" s="1"/>
  <c r="EO155" i="7" s="1"/>
  <c r="EO123" i="7" s="1"/>
  <c r="I9" i="6" s="1"/>
  <c r="L15" i="3" s="1"/>
  <c r="M15" i="3" s="1"/>
  <c r="M14" i="3" s="1"/>
  <c r="M13" i="3" s="1"/>
  <c r="I6" i="2" s="1"/>
  <c r="AV134" i="7"/>
  <c r="I38" i="3"/>
  <c r="AS413" i="7"/>
  <c r="AZ298" i="7"/>
  <c r="AL312" i="7" s="1"/>
  <c r="EO313" i="7" s="1"/>
  <c r="AO198" i="7"/>
  <c r="R202" i="7" s="1"/>
  <c r="EN202" i="7" s="1"/>
  <c r="Q206" i="7" s="1"/>
  <c r="AA105" i="7"/>
  <c r="BF107" i="7" s="1"/>
  <c r="AN79" i="7"/>
  <c r="AZ83" i="7" s="1"/>
  <c r="K75" i="3"/>
  <c r="F42" i="3"/>
  <c r="Z51" i="9"/>
  <c r="AB47" i="9"/>
  <c r="BL84" i="7"/>
  <c r="BN62" i="7"/>
  <c r="CC63" i="7"/>
  <c r="G45" i="3"/>
  <c r="F76" i="3"/>
  <c r="I76" i="3"/>
  <c r="I75" i="3" s="1"/>
  <c r="I74" i="3" s="1"/>
  <c r="AV132" i="7"/>
  <c r="Z8" i="9"/>
  <c r="AB4" i="9"/>
  <c r="H7" i="8"/>
  <c r="AB16" i="7"/>
  <c r="AC17" i="7"/>
  <c r="K83" i="3"/>
  <c r="G84" i="3"/>
  <c r="K79" i="3"/>
  <c r="F79" i="3"/>
  <c r="P113" i="7"/>
  <c r="P44" i="7"/>
  <c r="P72" i="7"/>
  <c r="BT362" i="7"/>
  <c r="AQ367" i="7" s="1"/>
  <c r="BL108" i="7"/>
  <c r="F84" i="3"/>
  <c r="G40" i="3"/>
  <c r="K44" i="3"/>
  <c r="AB20" i="9"/>
  <c r="AB39" i="9"/>
  <c r="Z11" i="9"/>
  <c r="Z54" i="9"/>
  <c r="K50" i="3"/>
  <c r="G50" i="3" s="1"/>
  <c r="K47" i="3"/>
  <c r="AB14" i="9"/>
  <c r="AB53" i="9"/>
  <c r="G42" i="3"/>
  <c r="Z48" i="9"/>
  <c r="Z23" i="9"/>
  <c r="G470" i="7" l="1"/>
  <c r="EN467" i="7"/>
  <c r="W470" i="7"/>
  <c r="EM470" i="7" s="1"/>
  <c r="BL37" i="7"/>
  <c r="AH40" i="7" s="1"/>
  <c r="BA44" i="7" s="1"/>
  <c r="EO45" i="7" s="1"/>
  <c r="Q51" i="7" s="1"/>
  <c r="EO52" i="7" s="1"/>
  <c r="EO28" i="7" s="1"/>
  <c r="I5" i="6" s="1"/>
  <c r="L9" i="3" s="1"/>
  <c r="M9" i="3" s="1"/>
  <c r="M7" i="3" s="1"/>
  <c r="M6" i="3" s="1"/>
  <c r="I46" i="3"/>
  <c r="AN18" i="7"/>
  <c r="EO19" i="7" s="1"/>
  <c r="Q25" i="7" s="1"/>
  <c r="EO26" i="7" s="1"/>
  <c r="EO4" i="7" s="1"/>
  <c r="I4" i="6" s="1"/>
  <c r="L8" i="3" s="1"/>
  <c r="M8" i="3" s="1"/>
  <c r="AB18" i="7"/>
  <c r="Q333" i="7"/>
  <c r="Q331" i="7"/>
  <c r="K43" i="3"/>
  <c r="G43" i="3" s="1"/>
  <c r="G44" i="3"/>
  <c r="Z20" i="9"/>
  <c r="AB16" i="9"/>
  <c r="K78" i="3"/>
  <c r="G78" i="3" s="1"/>
  <c r="G79" i="3"/>
  <c r="EN209" i="7"/>
  <c r="H8" i="8"/>
  <c r="AB434" i="7"/>
  <c r="AA436" i="7"/>
  <c r="AB435" i="7"/>
  <c r="Q483" i="7"/>
  <c r="Z43" i="9"/>
  <c r="J44" i="9"/>
  <c r="AA44" i="9" s="1"/>
  <c r="Z44" i="9" s="1"/>
  <c r="AW326" i="7"/>
  <c r="EO327" i="7" s="1"/>
  <c r="AI333" i="7" s="1"/>
  <c r="EN245" i="7"/>
  <c r="AG183" i="7"/>
  <c r="EL178" i="7"/>
  <c r="Z18" i="9"/>
  <c r="J19" i="9"/>
  <c r="AA19" i="9" s="1"/>
  <c r="Z19" i="9" s="1"/>
  <c r="Q243" i="7"/>
  <c r="EM245" i="7" s="1"/>
  <c r="Q250" i="7" s="1"/>
  <c r="EM252" i="7" s="1"/>
  <c r="EM211" i="7" s="1"/>
  <c r="G12" i="6" s="1"/>
  <c r="H18" i="3" s="1"/>
  <c r="I18" i="3" s="1"/>
  <c r="EL238" i="7"/>
  <c r="G83" i="3"/>
  <c r="K82" i="3"/>
  <c r="G82" i="3" s="1"/>
  <c r="AH66" i="7"/>
  <c r="AX72" i="7" s="1"/>
  <c r="EO73" i="7" s="1"/>
  <c r="EO54" i="7" s="1"/>
  <c r="I6" i="6" s="1"/>
  <c r="L10" i="3" s="1"/>
  <c r="M10" i="3" s="1"/>
  <c r="T66" i="7"/>
  <c r="Z55" i="9"/>
  <c r="J56" i="9"/>
  <c r="AA56" i="9" s="1"/>
  <c r="Z56" i="9" s="1"/>
  <c r="R290" i="7"/>
  <c r="I37" i="3"/>
  <c r="G10" i="2" s="1"/>
  <c r="G38" i="3"/>
  <c r="EN185" i="7"/>
  <c r="Q539" i="7"/>
  <c r="AI539" i="7"/>
  <c r="EO540" i="7" s="1"/>
  <c r="R546" i="7" s="1"/>
  <c r="EO547" i="7" s="1"/>
  <c r="EO505" i="7" s="1"/>
  <c r="I20" i="6" s="1"/>
  <c r="L30" i="3" s="1"/>
  <c r="M30" i="3" s="1"/>
  <c r="Q537" i="7"/>
  <c r="EO560" i="7"/>
  <c r="S560" i="7"/>
  <c r="T40" i="7"/>
  <c r="Q207" i="7"/>
  <c r="AG207" i="7"/>
  <c r="EM209" i="7" s="1"/>
  <c r="EM187" i="7" s="1"/>
  <c r="G11" i="6" s="1"/>
  <c r="H17" i="3" s="1"/>
  <c r="I17" i="3" s="1"/>
  <c r="EL191" i="7"/>
  <c r="Z37" i="9"/>
  <c r="J38" i="9"/>
  <c r="AA38" i="9" s="1"/>
  <c r="Z38" i="9" s="1"/>
  <c r="AA35" i="9"/>
  <c r="G9" i="8" s="1"/>
  <c r="Q318" i="7" s="1"/>
  <c r="AN318" i="7" s="1"/>
  <c r="EM320" i="7" s="1"/>
  <c r="AA332" i="7" s="1"/>
  <c r="Y207" i="7"/>
  <c r="EL194" i="7"/>
  <c r="BB357" i="7"/>
  <c r="AH371" i="7"/>
  <c r="AC357" i="7"/>
  <c r="AX417" i="7"/>
  <c r="BF417" i="7"/>
  <c r="BN420" i="7" s="1"/>
  <c r="AH415" i="7"/>
  <c r="AG417" i="7"/>
  <c r="AB310" i="7"/>
  <c r="AB326" i="7"/>
  <c r="AB312" i="7"/>
  <c r="AB317" i="7"/>
  <c r="AB324" i="7"/>
  <c r="AB311" i="7"/>
  <c r="AB318" i="7"/>
  <c r="AB325" i="7"/>
  <c r="AB319" i="7"/>
  <c r="H12" i="8"/>
  <c r="H11" i="8"/>
  <c r="AG72" i="7"/>
  <c r="AN319" i="7"/>
  <c r="EO320" i="7" s="1"/>
  <c r="AA333" i="7" s="1"/>
  <c r="Z31" i="9"/>
  <c r="J32" i="9"/>
  <c r="AA32" i="9" s="1"/>
  <c r="Z32" i="9" s="1"/>
  <c r="AG44" i="7"/>
  <c r="G76" i="3"/>
  <c r="Z6" i="9"/>
  <c r="J7" i="9"/>
  <c r="AA7" i="9" s="1"/>
  <c r="Z7" i="9" s="1"/>
  <c r="AC112" i="7"/>
  <c r="AB113" i="7"/>
  <c r="AB111" i="7"/>
  <c r="Z14" i="9"/>
  <c r="AB10" i="9"/>
  <c r="P419" i="7"/>
  <c r="J13" i="9"/>
  <c r="AA13" i="9" s="1"/>
  <c r="Z13" i="9" s="1"/>
  <c r="AA10" i="9"/>
  <c r="G5" i="8" s="1"/>
  <c r="I8" i="5" s="1"/>
  <c r="J8" i="5" s="1"/>
  <c r="J5" i="5" s="1"/>
  <c r="G4" i="4" s="1"/>
  <c r="H26" i="3" s="1"/>
  <c r="I26" i="3" s="1"/>
  <c r="I25" i="3" s="1"/>
  <c r="I24" i="3" s="1"/>
  <c r="G7" i="2" s="1"/>
  <c r="Z12" i="9"/>
  <c r="H4" i="8"/>
  <c r="R266" i="7"/>
  <c r="EL262" i="7"/>
  <c r="AN113" i="7"/>
  <c r="EO114" i="7" s="1"/>
  <c r="Q120" i="7" s="1"/>
  <c r="EO121" i="7" s="1"/>
  <c r="EO99" i="7" s="1"/>
  <c r="I8" i="6" s="1"/>
  <c r="L12" i="3" s="1"/>
  <c r="M12" i="3" s="1"/>
  <c r="G75" i="3"/>
  <c r="K74" i="3"/>
  <c r="G74" i="3" s="1"/>
  <c r="H9" i="2"/>
  <c r="EL258" i="7"/>
  <c r="R267" i="7"/>
  <c r="EM269" i="7" s="1"/>
  <c r="EM254" i="7" s="1"/>
  <c r="G13" i="6" s="1"/>
  <c r="H19" i="3" s="1"/>
  <c r="I19" i="3" s="1"/>
  <c r="G47" i="3"/>
  <c r="K46" i="3"/>
  <c r="G46" i="3" s="1"/>
  <c r="T136" i="7"/>
  <c r="P324" i="7"/>
  <c r="AW324" i="7" s="1"/>
  <c r="P434" i="7"/>
  <c r="AK434" i="7" s="1"/>
  <c r="Q183" i="7"/>
  <c r="EL163" i="7"/>
  <c r="AP183" i="7"/>
  <c r="EM185" i="7" s="1"/>
  <c r="EM157" i="7" s="1"/>
  <c r="G10" i="6" s="1"/>
  <c r="H16" i="3" s="1"/>
  <c r="I16" i="3" s="1"/>
  <c r="Z49" i="9"/>
  <c r="J50" i="9"/>
  <c r="AA50" i="9" s="1"/>
  <c r="Z50" i="9" s="1"/>
  <c r="AP415" i="7"/>
  <c r="EL290" i="7"/>
  <c r="EL271" i="7" s="1"/>
  <c r="AB87" i="7"/>
  <c r="AB88" i="7"/>
  <c r="AB89" i="7"/>
  <c r="AL89" i="7"/>
  <c r="EO90" i="7" s="1"/>
  <c r="Q96" i="7" s="1"/>
  <c r="EO97" i="7" s="1"/>
  <c r="EO75" i="7" s="1"/>
  <c r="I7" i="6" s="1"/>
  <c r="L11" i="3" s="1"/>
  <c r="M11" i="3" s="1"/>
  <c r="Z39" i="9"/>
  <c r="AB35" i="9"/>
  <c r="EL166" i="7"/>
  <c r="AA183" i="7"/>
  <c r="EL470" i="7"/>
  <c r="Q484" i="7"/>
  <c r="Z24" i="9"/>
  <c r="J25" i="9"/>
  <c r="AA25" i="9" s="1"/>
  <c r="Z25" i="9" s="1"/>
  <c r="AJ436" i="7"/>
  <c r="EO437" i="7" s="1"/>
  <c r="Q443" i="7" s="1"/>
  <c r="EO444" i="7" s="1"/>
  <c r="AB450" i="7" s="1"/>
  <c r="J20" i="3"/>
  <c r="F14" i="6"/>
  <c r="R503" i="7"/>
  <c r="EN503" i="7"/>
  <c r="AA22" i="9" l="1"/>
  <c r="R209" i="7"/>
  <c r="R245" i="7"/>
  <c r="AA41" i="9"/>
  <c r="I5" i="2"/>
  <c r="EN327" i="7"/>
  <c r="EL209" i="7"/>
  <c r="EL187" i="7" s="1"/>
  <c r="EN187" i="7"/>
  <c r="H11" i="6" s="1"/>
  <c r="D31" i="1"/>
  <c r="F30" i="2" s="1"/>
  <c r="L31" i="1"/>
  <c r="G10" i="8"/>
  <c r="Z41" i="9"/>
  <c r="G7" i="8"/>
  <c r="Z22" i="9"/>
  <c r="AQ70" i="7"/>
  <c r="AQ71" i="7"/>
  <c r="AQ72" i="7"/>
  <c r="Z139" i="7"/>
  <c r="EM139" i="7" s="1"/>
  <c r="G139" i="7"/>
  <c r="EN136" i="7"/>
  <c r="P476" i="7"/>
  <c r="AP476" i="7" s="1"/>
  <c r="EL185" i="7"/>
  <c r="EL157" i="7" s="1"/>
  <c r="EN157" i="7"/>
  <c r="H10" i="6" s="1"/>
  <c r="P42" i="7"/>
  <c r="P70" i="7"/>
  <c r="P16" i="7"/>
  <c r="AL16" i="7" s="1"/>
  <c r="P87" i="7"/>
  <c r="AL87" i="7" s="1"/>
  <c r="P111" i="7"/>
  <c r="AL111" i="7" s="1"/>
  <c r="AB421" i="7"/>
  <c r="AB420" i="7"/>
  <c r="BD421" i="7"/>
  <c r="AB419" i="7"/>
  <c r="BD419" i="7"/>
  <c r="BH420" i="7"/>
  <c r="BR421" i="7"/>
  <c r="EO422" i="7" s="1"/>
  <c r="AA4" i="9"/>
  <c r="P530" i="7"/>
  <c r="AK530" i="7" s="1"/>
  <c r="R185" i="7"/>
  <c r="Z16" i="9"/>
  <c r="H6" i="8"/>
  <c r="EN269" i="7"/>
  <c r="S269" i="7"/>
  <c r="K37" i="3"/>
  <c r="AA16" i="9"/>
  <c r="G6" i="8" s="1"/>
  <c r="AQ42" i="7"/>
  <c r="AQ43" i="7"/>
  <c r="AQ44" i="7"/>
  <c r="AA47" i="9"/>
  <c r="K20" i="3"/>
  <c r="G20" i="3" s="1"/>
  <c r="F20" i="3"/>
  <c r="AT419" i="7"/>
  <c r="BQ419" i="7"/>
  <c r="EN488" i="7"/>
  <c r="H19" i="6" s="1"/>
  <c r="EL503" i="7"/>
  <c r="EL488" i="7" s="1"/>
  <c r="Z35" i="9"/>
  <c r="H9" i="8"/>
  <c r="D30" i="1"/>
  <c r="F29" i="2" s="1"/>
  <c r="L30" i="1"/>
  <c r="Z10" i="9"/>
  <c r="H5" i="8"/>
  <c r="AA28" i="9"/>
  <c r="AT359" i="7"/>
  <c r="BQ359" i="7"/>
  <c r="EL560" i="7"/>
  <c r="EL549" i="7" s="1"/>
  <c r="EO549" i="7"/>
  <c r="I21" i="6" s="1"/>
  <c r="P375" i="7"/>
  <c r="AR333" i="7"/>
  <c r="EO334" i="7" s="1"/>
  <c r="EO292" i="7" s="1"/>
  <c r="I15" i="6" s="1"/>
  <c r="L29" i="3" s="1"/>
  <c r="M29" i="3" s="1"/>
  <c r="M28" i="3" s="1"/>
  <c r="M27" i="3" s="1"/>
  <c r="I8" i="2" s="1"/>
  <c r="EN437" i="7"/>
  <c r="AA53" i="9"/>
  <c r="EL245" i="7"/>
  <c r="Q249" i="7"/>
  <c r="AG42" i="7" l="1"/>
  <c r="BA42" i="7"/>
  <c r="J16" i="3"/>
  <c r="F10" i="6"/>
  <c r="F9" i="8"/>
  <c r="P317" i="7"/>
  <c r="AL317" i="7" s="1"/>
  <c r="P524" i="7"/>
  <c r="AK524" i="7" s="1"/>
  <c r="EM526" i="7" s="1"/>
  <c r="P146" i="7"/>
  <c r="AL146" i="7" s="1"/>
  <c r="EM148" i="7" s="1"/>
  <c r="Y153" i="7" s="1"/>
  <c r="P311" i="7"/>
  <c r="AN311" i="7" s="1"/>
  <c r="EM313" i="7" s="1"/>
  <c r="P325" i="7"/>
  <c r="AW325" i="7" s="1"/>
  <c r="P435" i="7"/>
  <c r="AK435" i="7" s="1"/>
  <c r="F10" i="8"/>
  <c r="G4" i="8"/>
  <c r="Z4" i="9"/>
  <c r="EN479" i="7"/>
  <c r="Q441" i="7"/>
  <c r="G37" i="3"/>
  <c r="H10" i="2"/>
  <c r="F10" i="2" s="1"/>
  <c r="AM450" i="7"/>
  <c r="EO451" i="7" s="1"/>
  <c r="EO387" i="7" s="1"/>
  <c r="I17" i="6" s="1"/>
  <c r="Q450" i="7"/>
  <c r="P420" i="7"/>
  <c r="F7" i="8"/>
  <c r="L34" i="3"/>
  <c r="F21" i="6"/>
  <c r="F19" i="6"/>
  <c r="J23" i="3"/>
  <c r="EN254" i="7"/>
  <c r="H13" i="6" s="1"/>
  <c r="EL269" i="7"/>
  <c r="EL254" i="7" s="1"/>
  <c r="Q152" i="7"/>
  <c r="J17" i="3"/>
  <c r="F11" i="6"/>
  <c r="BR367" i="7"/>
  <c r="AF369" i="7"/>
  <c r="AK367" i="7"/>
  <c r="EN422" i="7"/>
  <c r="F6" i="8"/>
  <c r="P145" i="7"/>
  <c r="AL145" i="7" s="1"/>
  <c r="P310" i="7"/>
  <c r="AL310" i="7" s="1"/>
  <c r="P523" i="7"/>
  <c r="AK523" i="7" s="1"/>
  <c r="EN114" i="7"/>
  <c r="EL139" i="7"/>
  <c r="Q153" i="7"/>
  <c r="AS331" i="7"/>
  <c r="R252" i="7"/>
  <c r="EN252" i="7"/>
  <c r="EN90" i="7"/>
  <c r="G8" i="8"/>
  <c r="Z28" i="9"/>
  <c r="EN19" i="7"/>
  <c r="EN533" i="7"/>
  <c r="G12" i="8"/>
  <c r="Z53" i="9"/>
  <c r="F5" i="8"/>
  <c r="K8" i="5"/>
  <c r="G11" i="8"/>
  <c r="Z47" i="9"/>
  <c r="AG70" i="7"/>
  <c r="AX70" i="7"/>
  <c r="Z369" i="7" l="1"/>
  <c r="AK369" i="7"/>
  <c r="AS369" i="7"/>
  <c r="AI373" i="7"/>
  <c r="AX372" i="7"/>
  <c r="AX420" i="7"/>
  <c r="CA420" i="7"/>
  <c r="EM437" i="7"/>
  <c r="AF437" i="7"/>
  <c r="EM327" i="7"/>
  <c r="AP332" i="7" s="1"/>
  <c r="EM334" i="7" s="1"/>
  <c r="EM292" i="7" s="1"/>
  <c r="G15" i="6" s="1"/>
  <c r="H29" i="3" s="1"/>
  <c r="I29" i="3" s="1"/>
  <c r="AQ327" i="7"/>
  <c r="Q332" i="7"/>
  <c r="Q23" i="7"/>
  <c r="Q538" i="7"/>
  <c r="EN73" i="7"/>
  <c r="K17" i="3"/>
  <c r="G17" i="3" s="1"/>
  <c r="F17" i="3"/>
  <c r="Q94" i="7"/>
  <c r="AH320" i="7"/>
  <c r="EN320" i="7"/>
  <c r="AG526" i="7"/>
  <c r="EN526" i="7"/>
  <c r="AG148" i="7"/>
  <c r="EN148" i="7"/>
  <c r="J19" i="3"/>
  <c r="F13" i="6"/>
  <c r="AH313" i="7"/>
  <c r="EN313" i="7"/>
  <c r="EN444" i="7"/>
  <c r="L8" i="5"/>
  <c r="G8" i="5"/>
  <c r="EN211" i="7"/>
  <c r="H12" i="6" s="1"/>
  <c r="EL252" i="7"/>
  <c r="EL211" i="7" s="1"/>
  <c r="F23" i="3"/>
  <c r="K23" i="3"/>
  <c r="G23" i="3" s="1"/>
  <c r="P477" i="7"/>
  <c r="AP477" i="7" s="1"/>
  <c r="F11" i="8"/>
  <c r="Q448" i="7"/>
  <c r="Y483" i="7"/>
  <c r="AH483" i="7"/>
  <c r="Q118" i="7"/>
  <c r="P376" i="7"/>
  <c r="AK376" i="7" s="1"/>
  <c r="EM378" i="7" s="1"/>
  <c r="R383" i="7" s="1"/>
  <c r="EM385" i="7" s="1"/>
  <c r="EM336" i="7" s="1"/>
  <c r="G16" i="6" s="1"/>
  <c r="F8" i="8"/>
  <c r="Q531" i="7"/>
  <c r="AM531" i="7" s="1"/>
  <c r="F12" i="8"/>
  <c r="F16" i="3"/>
  <c r="K16" i="3"/>
  <c r="G16" i="3" s="1"/>
  <c r="F34" i="3"/>
  <c r="M34" i="3"/>
  <c r="G34" i="3" s="1"/>
  <c r="P43" i="7"/>
  <c r="P71" i="7"/>
  <c r="Q17" i="7"/>
  <c r="AO17" i="7" s="1"/>
  <c r="P88" i="7"/>
  <c r="AL88" i="7" s="1"/>
  <c r="Q112" i="7"/>
  <c r="AO112" i="7" s="1"/>
  <c r="F4" i="8"/>
  <c r="EN45" i="7"/>
  <c r="AL537" i="7"/>
  <c r="AJ153" i="7"/>
  <c r="EM155" i="7" s="1"/>
  <c r="EM123" i="7" s="1"/>
  <c r="G9" i="6" s="1"/>
  <c r="H15" i="3" s="1"/>
  <c r="I15" i="3" s="1"/>
  <c r="I14" i="3" s="1"/>
  <c r="EN26" i="7" l="1"/>
  <c r="AG43" i="7"/>
  <c r="BA43" i="7"/>
  <c r="H8" i="5"/>
  <c r="L5" i="5"/>
  <c r="AC448" i="7"/>
  <c r="AO448" i="7"/>
  <c r="AI332" i="7"/>
  <c r="EL327" i="7"/>
  <c r="EN97" i="7"/>
  <c r="EL313" i="7"/>
  <c r="Y331" i="7"/>
  <c r="BD331" i="7"/>
  <c r="EM90" i="7"/>
  <c r="AE90" i="7"/>
  <c r="Q442" i="7"/>
  <c r="EL437" i="7"/>
  <c r="Q49" i="7"/>
  <c r="EN54" i="7"/>
  <c r="H6" i="6" s="1"/>
  <c r="EM422" i="7"/>
  <c r="BL422" i="7"/>
  <c r="EM479" i="7"/>
  <c r="AL479" i="7"/>
  <c r="F19" i="3"/>
  <c r="K19" i="3"/>
  <c r="G19" i="3" s="1"/>
  <c r="EM533" i="7"/>
  <c r="AG533" i="7"/>
  <c r="AB152" i="7"/>
  <c r="EL148" i="7"/>
  <c r="AM152" i="7"/>
  <c r="AB375" i="7"/>
  <c r="AB376" i="7"/>
  <c r="AB377" i="7"/>
  <c r="AK377" i="7"/>
  <c r="EO378" i="7" s="1"/>
  <c r="R384" i="7" s="1"/>
  <c r="EO385" i="7" s="1"/>
  <c r="EO336" i="7" s="1"/>
  <c r="I16" i="6" s="1"/>
  <c r="AK375" i="7"/>
  <c r="EM114" i="7"/>
  <c r="AH114" i="7"/>
  <c r="EM19" i="7"/>
  <c r="AH19" i="7"/>
  <c r="EN121" i="7"/>
  <c r="J18" i="3"/>
  <c r="F12" i="6"/>
  <c r="EL526" i="7"/>
  <c r="AB537" i="7"/>
  <c r="AW537" i="7"/>
  <c r="AG71" i="7"/>
  <c r="AX71" i="7"/>
  <c r="EN486" i="7"/>
  <c r="EL320" i="7"/>
  <c r="AI331" i="7"/>
  <c r="Q24" i="7" l="1"/>
  <c r="EL19" i="7"/>
  <c r="EM444" i="7"/>
  <c r="R444" i="7"/>
  <c r="EN99" i="7"/>
  <c r="H8" i="6" s="1"/>
  <c r="EN52" i="7"/>
  <c r="EN453" i="7"/>
  <c r="H18" i="6" s="1"/>
  <c r="EM73" i="7"/>
  <c r="AC73" i="7"/>
  <c r="Q119" i="7"/>
  <c r="EL114" i="7"/>
  <c r="Q95" i="7"/>
  <c r="EL90" i="7"/>
  <c r="H5" i="5"/>
  <c r="H4" i="4"/>
  <c r="EN451" i="7"/>
  <c r="AH378" i="7"/>
  <c r="EN378" i="7"/>
  <c r="EN334" i="7"/>
  <c r="R334" i="7"/>
  <c r="EN540" i="7"/>
  <c r="Y484" i="7"/>
  <c r="AH484" i="7"/>
  <c r="EL479" i="7"/>
  <c r="EM45" i="7"/>
  <c r="AY45" i="7"/>
  <c r="AA538" i="7"/>
  <c r="AJ538" i="7"/>
  <c r="EM540" i="7" s="1"/>
  <c r="R545" i="7" s="1"/>
  <c r="EM547" i="7" s="1"/>
  <c r="EM505" i="7" s="1"/>
  <c r="G20" i="6" s="1"/>
  <c r="H30" i="3" s="1"/>
  <c r="I30" i="3" s="1"/>
  <c r="I28" i="3" s="1"/>
  <c r="I27" i="3" s="1"/>
  <c r="G8" i="2" s="1"/>
  <c r="EL533" i="7"/>
  <c r="EN75" i="7"/>
  <c r="H7" i="6" s="1"/>
  <c r="EN4" i="7"/>
  <c r="H4" i="6" s="1"/>
  <c r="J10" i="3"/>
  <c r="Q449" i="7"/>
  <c r="AL449" i="7"/>
  <c r="EM451" i="7" s="1"/>
  <c r="EM387" i="7" s="1"/>
  <c r="G17" i="6" s="1"/>
  <c r="EL422" i="7"/>
  <c r="F18" i="3"/>
  <c r="K18" i="3"/>
  <c r="G18" i="3" s="1"/>
  <c r="R155" i="7"/>
  <c r="EN155" i="7"/>
  <c r="EM54" i="7" l="1"/>
  <c r="G6" i="6" s="1"/>
  <c r="EL73" i="7"/>
  <c r="EL54" i="7" s="1"/>
  <c r="R382" i="7"/>
  <c r="EL378" i="7"/>
  <c r="J22" i="3"/>
  <c r="R451" i="7"/>
  <c r="EN28" i="7"/>
  <c r="H5" i="6" s="1"/>
  <c r="EN387" i="7"/>
  <c r="H17" i="6" s="1"/>
  <c r="EL451" i="7"/>
  <c r="EL387" i="7" s="1"/>
  <c r="Q50" i="7"/>
  <c r="EL45" i="7"/>
  <c r="J26" i="3"/>
  <c r="F4" i="4"/>
  <c r="EN292" i="7"/>
  <c r="H15" i="6" s="1"/>
  <c r="EL334" i="7"/>
  <c r="EL292" i="7" s="1"/>
  <c r="J12" i="3"/>
  <c r="EN123" i="7"/>
  <c r="H9" i="6" s="1"/>
  <c r="EL155" i="7"/>
  <c r="EL123" i="7" s="1"/>
  <c r="J11" i="3"/>
  <c r="EM486" i="7"/>
  <c r="R486" i="7"/>
  <c r="K10" i="3"/>
  <c r="EM97" i="7"/>
  <c r="R97" i="7"/>
  <c r="AB449" i="7"/>
  <c r="EL444" i="7"/>
  <c r="EL540" i="7"/>
  <c r="R544" i="7"/>
  <c r="J8" i="3"/>
  <c r="R540" i="7"/>
  <c r="EM121" i="7"/>
  <c r="R121" i="7"/>
  <c r="EM26" i="7"/>
  <c r="R26" i="7"/>
  <c r="EM52" i="7" l="1"/>
  <c r="R52" i="7"/>
  <c r="EM453" i="7"/>
  <c r="G18" i="6" s="1"/>
  <c r="EL486" i="7"/>
  <c r="EL453" i="7" s="1"/>
  <c r="K8" i="3"/>
  <c r="K11" i="3"/>
  <c r="L36" i="3"/>
  <c r="F17" i="6"/>
  <c r="J15" i="3"/>
  <c r="F9" i="6"/>
  <c r="J9" i="3"/>
  <c r="K12" i="3"/>
  <c r="EN547" i="7"/>
  <c r="S547" i="7"/>
  <c r="K22" i="3"/>
  <c r="EM75" i="7"/>
  <c r="G7" i="6" s="1"/>
  <c r="EL97" i="7"/>
  <c r="EL75" i="7" s="1"/>
  <c r="J29" i="3"/>
  <c r="F15" i="6"/>
  <c r="EM4" i="7"/>
  <c r="G4" i="6" s="1"/>
  <c r="EL26" i="7"/>
  <c r="EL4" i="7" s="1"/>
  <c r="S385" i="7"/>
  <c r="EN385" i="7"/>
  <c r="F26" i="3"/>
  <c r="K26" i="3"/>
  <c r="EM99" i="7"/>
  <c r="G8" i="6" s="1"/>
  <c r="EL121" i="7"/>
  <c r="EL99" i="7" s="1"/>
  <c r="H10" i="3"/>
  <c r="F6" i="6"/>
  <c r="F36" i="3" l="1"/>
  <c r="M36" i="3"/>
  <c r="F29" i="3"/>
  <c r="K29" i="3"/>
  <c r="H12" i="3"/>
  <c r="F8" i="6"/>
  <c r="H11" i="3"/>
  <c r="F7" i="6"/>
  <c r="G26" i="3"/>
  <c r="K25" i="3"/>
  <c r="K21" i="3"/>
  <c r="F15" i="3"/>
  <c r="K15" i="3"/>
  <c r="EN505" i="7"/>
  <c r="H20" i="6" s="1"/>
  <c r="EL547" i="7"/>
  <c r="EL505" i="7" s="1"/>
  <c r="EL385" i="7"/>
  <c r="EL336" i="7" s="1"/>
  <c r="EN336" i="7"/>
  <c r="H16" i="6" s="1"/>
  <c r="H22" i="3"/>
  <c r="F18" i="6"/>
  <c r="I10" i="3"/>
  <c r="G10" i="3" s="1"/>
  <c r="F10" i="3"/>
  <c r="H8" i="3"/>
  <c r="F4" i="6"/>
  <c r="K9" i="3"/>
  <c r="EM28" i="7"/>
  <c r="G5" i="6" s="1"/>
  <c r="EL52" i="7"/>
  <c r="EL28" i="7" s="1"/>
  <c r="I11" i="3" l="1"/>
  <c r="G11" i="3" s="1"/>
  <c r="F11" i="3"/>
  <c r="K14" i="3"/>
  <c r="G15" i="3"/>
  <c r="I12" i="3"/>
  <c r="G12" i="3" s="1"/>
  <c r="F12" i="3"/>
  <c r="K24" i="3"/>
  <c r="G25" i="3"/>
  <c r="G29" i="3"/>
  <c r="L33" i="3"/>
  <c r="F16" i="6"/>
  <c r="I8" i="3"/>
  <c r="F8" i="3"/>
  <c r="J30" i="3"/>
  <c r="F20" i="6"/>
  <c r="K7" i="3"/>
  <c r="M35" i="3"/>
  <c r="G35" i="3" s="1"/>
  <c r="G36" i="3"/>
  <c r="I22" i="3"/>
  <c r="F22" i="3"/>
  <c r="H9" i="3"/>
  <c r="F5" i="6"/>
  <c r="G24" i="3" l="1"/>
  <c r="H7" i="2"/>
  <c r="F7" i="2" s="1"/>
  <c r="K6" i="3"/>
  <c r="I9" i="3"/>
  <c r="G9" i="3" s="1"/>
  <c r="F9" i="3"/>
  <c r="G14" i="3"/>
  <c r="K13" i="3"/>
  <c r="M33" i="3"/>
  <c r="F33" i="3"/>
  <c r="I7" i="3"/>
  <c r="I6" i="3" s="1"/>
  <c r="G8" i="3"/>
  <c r="I21" i="3"/>
  <c r="G22" i="3"/>
  <c r="F30" i="3"/>
  <c r="K30" i="3"/>
  <c r="M32" i="3" l="1"/>
  <c r="G33" i="3"/>
  <c r="H6" i="2"/>
  <c r="G30" i="3"/>
  <c r="K28" i="3"/>
  <c r="G7" i="3"/>
  <c r="H5" i="2"/>
  <c r="G6" i="3"/>
  <c r="G5" i="2"/>
  <c r="I13" i="3"/>
  <c r="G6" i="2" s="1"/>
  <c r="G21" i="3"/>
  <c r="I5" i="3" l="1"/>
  <c r="G4" i="2" s="1"/>
  <c r="F5" i="2"/>
  <c r="G28" i="3"/>
  <c r="K27" i="3"/>
  <c r="G13" i="3"/>
  <c r="F6" i="2"/>
  <c r="M31" i="3"/>
  <c r="G32" i="3"/>
  <c r="D7" i="1" l="1"/>
  <c r="D5" i="1" s="1"/>
  <c r="I9" i="2"/>
  <c r="F9" i="2" s="1"/>
  <c r="G31" i="3"/>
  <c r="M5" i="3"/>
  <c r="H8" i="2"/>
  <c r="F8" i="2" s="1"/>
  <c r="G27" i="3"/>
  <c r="K5" i="3"/>
  <c r="G5" i="3" l="1"/>
  <c r="D4" i="1" s="1"/>
  <c r="H4" i="2"/>
  <c r="D9" i="1"/>
  <c r="I4" i="2"/>
  <c r="D12" i="1"/>
  <c r="F4" i="2" l="1"/>
  <c r="D15" i="1"/>
  <c r="D16" i="1"/>
  <c r="F15" i="2" s="1"/>
  <c r="D10" i="1"/>
  <c r="F11" i="2" s="1"/>
  <c r="D20" i="1"/>
  <c r="F19" i="2" s="1"/>
  <c r="D19" i="1"/>
  <c r="F18" i="2" s="1"/>
  <c r="D18" i="1"/>
  <c r="F17" i="2" s="1"/>
  <c r="D8" i="1" l="1"/>
  <c r="F14" i="2"/>
  <c r="D17" i="1"/>
  <c r="F16" i="2" s="1"/>
  <c r="D21" i="1" l="1"/>
  <c r="F20" i="2" s="1"/>
  <c r="D22" i="1"/>
  <c r="F21" i="2" s="1"/>
  <c r="D13" i="1"/>
  <c r="D14" i="1"/>
  <c r="F13" i="2" s="1"/>
  <c r="D23" i="1"/>
  <c r="F22" i="2" s="1"/>
  <c r="F12" i="2" l="1"/>
  <c r="D11" i="1"/>
  <c r="D24" i="1" l="1"/>
  <c r="F23" i="2" l="1"/>
  <c r="D25" i="1"/>
  <c r="F24" i="2" l="1"/>
  <c r="D26" i="1"/>
  <c r="F25" i="2" s="1"/>
  <c r="D27" i="1" l="1"/>
  <c r="F26" i="2" l="1"/>
  <c r="L52" i="1"/>
  <c r="D28" i="1" s="1"/>
  <c r="F27" i="2" s="1"/>
  <c r="D29" i="1" l="1"/>
  <c r="F28" i="2" l="1"/>
  <c r="D32" i="1"/>
  <c r="F31" i="2" s="1"/>
</calcChain>
</file>

<file path=xl/sharedStrings.xml><?xml version="1.0" encoding="utf-8"?>
<sst xmlns="http://schemas.openxmlformats.org/spreadsheetml/2006/main" count="3700" uniqueCount="661">
  <si>
    <t>&lt; 품셈 6-7-1 : 25년 개정 &gt;</t>
  </si>
  <si>
    <t>규  격</t>
  </si>
  <si>
    <t>단  가</t>
  </si>
  <si>
    <t xml:space="preserve">  노반준비공</t>
  </si>
  <si>
    <t xml:space="preserve">  흙깎기</t>
  </si>
  <si>
    <t>◈</t>
  </si>
  <si>
    <t>年</t>
  </si>
  <si>
    <t>휘발유</t>
  </si>
  <si>
    <t xml:space="preserve"> 1) L  형  측  구</t>
  </si>
  <si>
    <t>8hr/12주</t>
  </si>
  <si>
    <t>물탱크</t>
  </si>
  <si>
    <t>도급액</t>
  </si>
  <si>
    <t>별도계상</t>
  </si>
  <si>
    <t>비     고</t>
  </si>
  <si>
    <t>PVC파이프(일반관),서울</t>
  </si>
  <si>
    <t>0.09%</t>
  </si>
  <si>
    <t>8. 굴착기(무한궤도)</t>
  </si>
  <si>
    <t>잔디블록</t>
  </si>
  <si>
    <t>비포장</t>
  </si>
  <si>
    <t>손     료</t>
  </si>
  <si>
    <t>형옹벽</t>
  </si>
  <si>
    <t>레미콘타설(장비사용타설)</t>
  </si>
  <si>
    <t>-</t>
  </si>
  <si>
    <t>14</t>
  </si>
  <si>
    <t>수 량</t>
  </si>
  <si>
    <t>24 × 0.1</t>
  </si>
  <si>
    <t>벤치플륨관설치</t>
  </si>
  <si>
    <t xml:space="preserve">    석면분담금</t>
  </si>
  <si>
    <t>시공량</t>
  </si>
  <si>
    <t>2(26.5)</t>
  </si>
  <si>
    <t>N2</t>
  </si>
  <si>
    <t>짐</t>
  </si>
  <si>
    <t>철근의</t>
  </si>
  <si>
    <t>가격정보한국석유공사</t>
  </si>
  <si>
    <t>살</t>
  </si>
  <si>
    <t>재료비 소수 1 미만 절하</t>
  </si>
  <si>
    <t>특별인부</t>
  </si>
  <si>
    <t xml:space="preserve">  수로관뚜껑설치</t>
  </si>
  <si>
    <t>철제계단</t>
  </si>
  <si>
    <t>작업이</t>
  </si>
  <si>
    <t>Q</t>
  </si>
  <si>
    <t>279(26.5)</t>
  </si>
  <si>
    <t>경유</t>
  </si>
  <si>
    <t>보통인부</t>
  </si>
  <si>
    <t>경    비</t>
  </si>
  <si>
    <t>이          윤</t>
  </si>
  <si>
    <t>(D=50mm(VG1)</t>
  </si>
  <si>
    <t>본</t>
  </si>
  <si>
    <t>철 근 공</t>
  </si>
  <si>
    <t>인력식 소규모 장비사용 시공</t>
  </si>
  <si>
    <t>가공기등</t>
  </si>
  <si>
    <t>화물차운전사</t>
  </si>
  <si>
    <t>0.8%</t>
  </si>
  <si>
    <t>콘크리트를</t>
  </si>
  <si>
    <t>잡    품</t>
  </si>
  <si>
    <t>부가가치세</t>
  </si>
  <si>
    <t>운반대수</t>
  </si>
  <si>
    <t>백</t>
  </si>
  <si>
    <t>구분</t>
  </si>
  <si>
    <t>90</t>
  </si>
  <si>
    <t>3. 표토 제거(답외구간(0.2㎥))[㎡]</t>
  </si>
  <si>
    <t>13.14%</t>
  </si>
  <si>
    <t>Cms</t>
  </si>
  <si>
    <t>경장비</t>
  </si>
  <si>
    <t>'</t>
  </si>
  <si>
    <t>문양거푸집(플라스틱 ABS코팅폼)</t>
  </si>
  <si>
    <t>공    종</t>
  </si>
  <si>
    <t>호</t>
  </si>
  <si>
    <t>├</t>
  </si>
  <si>
    <t>관급자관급자재대</t>
  </si>
  <si>
    <t>경비성단가</t>
  </si>
  <si>
    <t>답외구간(0.2㎥)</t>
  </si>
  <si>
    <t>10.PVC 배수파이프(Φ50mm)[M]</t>
  </si>
  <si>
    <t>문양거푸집(플라스틱ABS코팅폼)</t>
  </si>
  <si>
    <t>년</t>
  </si>
  <si>
    <t>일위대가</t>
  </si>
  <si>
    <t>기</t>
  </si>
  <si>
    <t>15Ton</t>
  </si>
  <si>
    <t xml:space="preserve">  모 래, 창원, 도착도</t>
  </si>
  <si>
    <t>&lt; 표준품셈(공통). 6-2-2 철근현장가공 (24년 품셈 개정)&gt;</t>
  </si>
  <si>
    <t>)</t>
  </si>
  <si>
    <t>10</t>
  </si>
  <si>
    <t>내역서</t>
  </si>
  <si>
    <t>상차도</t>
  </si>
  <si>
    <t>f</t>
  </si>
  <si>
    <t xml:space="preserve">  철제계단</t>
  </si>
  <si>
    <t>레미콘</t>
  </si>
  <si>
    <t>1/8*16/12*25/20*12/10</t>
  </si>
  <si>
    <t>600×1200㎜</t>
  </si>
  <si>
    <t>물가정보</t>
  </si>
  <si>
    <t>(5500ℓ)</t>
  </si>
  <si>
    <t>Cm</t>
  </si>
  <si>
    <t>793(26.5)</t>
  </si>
  <si>
    <t xml:space="preserve">  레미콘타설(장비사용타설)</t>
  </si>
  <si>
    <t>기계경비</t>
  </si>
  <si>
    <t>C,</t>
  </si>
  <si>
    <t>비         목</t>
  </si>
  <si>
    <t>단산3참조</t>
  </si>
  <si>
    <t>철근</t>
  </si>
  <si>
    <t>노무비의</t>
  </si>
  <si>
    <t>기본재료비</t>
  </si>
  <si>
    <t>115(26.5)</t>
  </si>
  <si>
    <t>화   폐</t>
  </si>
  <si>
    <t>탱</t>
  </si>
  <si>
    <t>411</t>
  </si>
  <si>
    <t>(15Ton)</t>
  </si>
  <si>
    <t>유로(E)</t>
  </si>
  <si>
    <t xml:space="preserve">  잔디블록</t>
  </si>
  <si>
    <t>철근가공및조립</t>
  </si>
  <si>
    <t>경    유</t>
  </si>
  <si>
    <t xml:space="preserve">    간 접 노 무 비</t>
  </si>
  <si>
    <t>슬래브</t>
  </si>
  <si>
    <t>/</t>
  </si>
  <si>
    <t>환  율</t>
  </si>
  <si>
    <t>16</t>
  </si>
  <si>
    <t>(제재,전주,침목등)</t>
  </si>
  <si>
    <t>5500ℓ</t>
  </si>
  <si>
    <t>3. 굴착기(타이어형)</t>
  </si>
  <si>
    <t>18</t>
  </si>
  <si>
    <t>단산1참조</t>
  </si>
  <si>
    <t>n</t>
  </si>
  <si>
    <t>비   고</t>
  </si>
  <si>
    <t xml:space="preserve">    산 출 경 비</t>
  </si>
  <si>
    <t>조 경 공</t>
  </si>
  <si>
    <t xml:space="preserve">  측구수로관뚜껑</t>
  </si>
  <si>
    <t xml:space="preserve">  벤치플륨관(3종)</t>
  </si>
  <si>
    <t>min</t>
  </si>
  <si>
    <t>Q1</t>
  </si>
  <si>
    <t>엔(100￥)</t>
  </si>
  <si>
    <t>단산7참조</t>
  </si>
  <si>
    <t>내</t>
  </si>
  <si>
    <t>qs</t>
  </si>
  <si>
    <t>건</t>
  </si>
  <si>
    <t>+</t>
  </si>
  <si>
    <t>￦×</t>
  </si>
  <si>
    <t>노임계수</t>
  </si>
  <si>
    <t>12</t>
  </si>
  <si>
    <t>식재(근원직경)(기계)</t>
  </si>
  <si>
    <t>L1</t>
  </si>
  <si>
    <t>배치인원</t>
  </si>
  <si>
    <t>주</t>
  </si>
  <si>
    <t>&lt; 2021년 품셈 개정 &gt;</t>
  </si>
  <si>
    <t>기준이다</t>
  </si>
  <si>
    <t>13.보조기층운반(덤프15톤)  [㎥]</t>
  </si>
  <si>
    <t>%</t>
  </si>
  <si>
    <t>111(26.5)</t>
  </si>
  <si>
    <t>대</t>
  </si>
  <si>
    <t>경</t>
  </si>
  <si>
    <t>잔디블록하차</t>
  </si>
  <si>
    <t>스치로폴(t=10mm)</t>
  </si>
  <si>
    <t>4.</t>
  </si>
  <si>
    <t>운</t>
  </si>
  <si>
    <t>단산5참조</t>
  </si>
  <si>
    <t>1. 토          공</t>
  </si>
  <si>
    <t>건설기계운전사</t>
  </si>
  <si>
    <t>비    고</t>
  </si>
  <si>
    <t>임금채권부담금</t>
  </si>
  <si>
    <t>동백나무(홑,겹)</t>
  </si>
  <si>
    <t>우</t>
  </si>
  <si>
    <t>0.2㎥</t>
  </si>
  <si>
    <t>옥외용벤치(원형)</t>
  </si>
  <si>
    <t xml:space="preserve"> 4) 조  경  자  재</t>
  </si>
  <si>
    <t>단산11참조</t>
  </si>
  <si>
    <t>단산9참조</t>
  </si>
  <si>
    <t>9.철근가공(현장)(Type-Ⅰ)[Ton]</t>
  </si>
  <si>
    <t xml:space="preserve">  비다짐성토</t>
  </si>
  <si>
    <t>(560x85x1,000)</t>
  </si>
  <si>
    <t>수문</t>
  </si>
  <si>
    <t>No</t>
  </si>
  <si>
    <t>재료비:</t>
  </si>
  <si>
    <t>잡재료비</t>
  </si>
  <si>
    <t>H3.5*W1.5*R15</t>
  </si>
  <si>
    <t>이형철근(SD400),부산</t>
  </si>
  <si>
    <t xml:space="preserve"> 1. 레    미    콘</t>
  </si>
  <si>
    <t>291(26.5)</t>
  </si>
  <si>
    <t>12 × 0.1314</t>
  </si>
  <si>
    <t xml:space="preserve"> 1) 수  목  식  재</t>
  </si>
  <si>
    <t>설계수량</t>
  </si>
  <si>
    <t>EA</t>
  </si>
  <si>
    <t>견적가1</t>
  </si>
  <si>
    <t>3.595%</t>
  </si>
  <si>
    <t>t4</t>
  </si>
  <si>
    <t>─</t>
  </si>
  <si>
    <t>노무비 소수 1 미만 절하</t>
  </si>
  <si>
    <t xml:space="preserve"> 2) 철          근</t>
  </si>
  <si>
    <t>3. 조    경    공</t>
  </si>
  <si>
    <t>다</t>
  </si>
  <si>
    <t>1</t>
  </si>
  <si>
    <t>공급받아</t>
  </si>
  <si>
    <t>55(26.6)</t>
  </si>
  <si>
    <t>휘 발 유</t>
  </si>
  <si>
    <t xml:space="preserve">  표토 제거</t>
  </si>
  <si>
    <t>벤치플륨관(3종)</t>
  </si>
  <si>
    <t>21</t>
  </si>
  <si>
    <t>단산13참조</t>
  </si>
  <si>
    <t xml:space="preserve">  철근가공(현장)</t>
  </si>
  <si>
    <t>4.비다짐성토 (백호0.2㎥(100%)) [㎥]</t>
  </si>
  <si>
    <t>2.노반준비공(기존도로부)[㎡]</t>
  </si>
  <si>
    <t>4.75%</t>
  </si>
  <si>
    <t>25-21-80</t>
  </si>
  <si>
    <t>21 + 22 + 23</t>
  </si>
  <si>
    <t>손    료</t>
  </si>
  <si>
    <t>5 × 0.0101</t>
  </si>
  <si>
    <t>제1호표</t>
  </si>
  <si>
    <t>,박리제</t>
  </si>
  <si>
    <t>의</t>
  </si>
  <si>
    <t>유통물가③점포상차도</t>
  </si>
  <si>
    <t>rt</t>
  </si>
  <si>
    <t>(910×910)</t>
  </si>
  <si>
    <t>1800x1800x480</t>
  </si>
  <si>
    <t>5</t>
  </si>
  <si>
    <t>적용일자</t>
  </si>
  <si>
    <t>거래가격</t>
  </si>
  <si>
    <t>25</t>
  </si>
  <si>
    <t>흙깎기</t>
  </si>
  <si>
    <t>V2</t>
  </si>
  <si>
    <t>9:20</t>
  </si>
  <si>
    <t>5500</t>
  </si>
  <si>
    <t>Qd</t>
  </si>
  <si>
    <t>관</t>
  </si>
  <si>
    <t>6 + 7</t>
  </si>
  <si>
    <t>단산15참조</t>
  </si>
  <si>
    <t>ton</t>
  </si>
  <si>
    <t>개정</t>
  </si>
  <si>
    <t>자재단가</t>
  </si>
  <si>
    <t xml:space="preserve">    고 용 보 험 료</t>
  </si>
  <si>
    <t>이윤</t>
  </si>
  <si>
    <t xml:space="preserve">  동백나무(홑,겹)</t>
  </si>
  <si>
    <t xml:space="preserve">  잔디블록포장</t>
  </si>
  <si>
    <t>135</t>
  </si>
  <si>
    <t>17(26.5)</t>
  </si>
  <si>
    <t>형틀목공</t>
  </si>
  <si>
    <t>Φ50mm</t>
  </si>
  <si>
    <t>15.벤치플륨관설치(400C)[M]</t>
  </si>
  <si>
    <t>(0.7Ton)</t>
  </si>
  <si>
    <t>교량</t>
  </si>
  <si>
    <t xml:space="preserve">  옥외용벤치(원형)</t>
  </si>
  <si>
    <t>요율</t>
  </si>
  <si>
    <t>석면분담금</t>
  </si>
  <si>
    <t>400C</t>
  </si>
  <si>
    <t>보조기층운반</t>
  </si>
  <si>
    <t>721(26.5)</t>
  </si>
  <si>
    <t>고용보험료</t>
  </si>
  <si>
    <t>단산17참조</t>
  </si>
  <si>
    <t>단위</t>
  </si>
  <si>
    <t>빔제작</t>
  </si>
  <si>
    <t>웨지핀</t>
  </si>
  <si>
    <t>M</t>
  </si>
  <si>
    <t>49(26.5)</t>
  </si>
  <si>
    <t>21 × 0.08</t>
  </si>
  <si>
    <t>(T=10m/m(비중0.03)</t>
  </si>
  <si>
    <t>반복되는</t>
  </si>
  <si>
    <t>소</t>
  </si>
  <si>
    <t>3인/12주</t>
  </si>
  <si>
    <t>=</t>
  </si>
  <si>
    <t>1/8*16/12*25/20*24/5</t>
  </si>
  <si>
    <t>단가산출총괄표</t>
  </si>
  <si>
    <t>554(26.5)</t>
  </si>
  <si>
    <t>3</t>
  </si>
  <si>
    <t>,부자재</t>
  </si>
  <si>
    <t>합  계</t>
  </si>
  <si>
    <t>굴착기(타이어형)</t>
  </si>
  <si>
    <t>23</t>
  </si>
  <si>
    <t xml:space="preserve">    직 접 재 료 비</t>
  </si>
  <si>
    <t>V4</t>
  </si>
  <si>
    <t>가공인건비</t>
  </si>
  <si>
    <t>노 무 비</t>
  </si>
  <si>
    <t xml:space="preserve">  원목2인그네</t>
  </si>
  <si>
    <t>및</t>
  </si>
  <si>
    <t>등</t>
  </si>
  <si>
    <t xml:space="preserve">  </t>
  </si>
  <si>
    <t>14.중기운반[식]</t>
  </si>
  <si>
    <t>골재대</t>
  </si>
  <si>
    <t>K</t>
  </si>
  <si>
    <t>4. 트럭트랙터및평판트레일러</t>
  </si>
  <si>
    <t>0.6㎥</t>
  </si>
  <si>
    <t>5.5%</t>
  </si>
  <si>
    <t>5. 부    대    공</t>
  </si>
  <si>
    <t>백호0.2㎥</t>
  </si>
  <si>
    <t>1.흙깎기 (백호0.2㎥) [㎥]</t>
  </si>
  <si>
    <t>하320(26.6)</t>
  </si>
  <si>
    <t>총공사비</t>
  </si>
  <si>
    <t>E</t>
  </si>
  <si>
    <t>트럭트랙터및평판트레일러</t>
  </si>
  <si>
    <t>1000x1000x150</t>
  </si>
  <si>
    <t xml:space="preserve"> 2) 중  기  운  반</t>
  </si>
  <si>
    <t>플레이트콤팩터</t>
  </si>
  <si>
    <t>(0.6㎥)</t>
  </si>
  <si>
    <t>7. 물탱크</t>
  </si>
  <si>
    <t>t2</t>
  </si>
  <si>
    <t>철</t>
  </si>
  <si>
    <t>시공하는</t>
  </si>
  <si>
    <t>87(26.5)</t>
  </si>
  <si>
    <t xml:space="preserve">  레미콘</t>
  </si>
  <si>
    <t>조</t>
  </si>
  <si>
    <t>도    급    액</t>
  </si>
  <si>
    <t>산재보험료</t>
  </si>
  <si>
    <t>재료비의</t>
  </si>
  <si>
    <t>플레이트 콤팩터</t>
  </si>
  <si>
    <t>관급</t>
  </si>
  <si>
    <t>가격정보</t>
  </si>
  <si>
    <t>0.3×0.3×0.03</t>
  </si>
  <si>
    <t>타설위치에</t>
  </si>
  <si>
    <t>경  비</t>
  </si>
  <si>
    <t>산    출    근    거</t>
  </si>
  <si>
    <t>5.</t>
  </si>
  <si>
    <t>29</t>
  </si>
  <si>
    <t>(0.2㎥)</t>
  </si>
  <si>
    <t>벤치플륨관</t>
  </si>
  <si>
    <t>÷</t>
  </si>
  <si>
    <t>덮개손료</t>
  </si>
  <si>
    <t>9</t>
  </si>
  <si>
    <t>2026.5</t>
  </si>
  <si>
    <t>기계경비총괄표</t>
  </si>
  <si>
    <t>순 직 접 공 사 비</t>
  </si>
  <si>
    <t>1.</t>
  </si>
  <si>
    <t>7</t>
  </si>
  <si>
    <t>27</t>
  </si>
  <si>
    <t xml:space="preserve"> 1) 자  재  운  반</t>
  </si>
  <si>
    <t>트레일러</t>
  </si>
  <si>
    <t>인건비</t>
  </si>
  <si>
    <t>유통물가20年조달청고시가격</t>
  </si>
  <si>
    <t>크</t>
  </si>
  <si>
    <t>설</t>
  </si>
  <si>
    <t>6 × 0.03595</t>
  </si>
  <si>
    <t>일반기계운전사</t>
  </si>
  <si>
    <t>진동기등</t>
  </si>
  <si>
    <t xml:space="preserve"> 1) 콘크리트 포장</t>
  </si>
  <si>
    <t>단산2참조</t>
  </si>
  <si>
    <t>자주식운반</t>
  </si>
  <si>
    <t xml:space="preserve"> 2) 수    로    관</t>
  </si>
  <si>
    <t>,플랫타이</t>
  </si>
  <si>
    <t>금   액</t>
  </si>
  <si>
    <t>계산결과값 자리수</t>
  </si>
  <si>
    <t>5.잔토처리(현장내) (백호0.2㎥(100%)) [㎥]</t>
  </si>
  <si>
    <t>단산18참조</t>
  </si>
  <si>
    <t>(</t>
  </si>
  <si>
    <t>11</t>
  </si>
  <si>
    <t>현장</t>
  </si>
  <si>
    <t>L2</t>
  </si>
  <si>
    <t>km</t>
  </si>
  <si>
    <t>계</t>
  </si>
  <si>
    <t>비</t>
  </si>
  <si>
    <t>304(26.5)</t>
  </si>
  <si>
    <t>수  량</t>
  </si>
  <si>
    <t>6 × 0.0475</t>
  </si>
  <si>
    <t>공구손료</t>
  </si>
  <si>
    <t>품   명</t>
  </si>
  <si>
    <t xml:space="preserve">    노인장기요양보험료</t>
  </si>
  <si>
    <t>원가계산서</t>
  </si>
  <si>
    <t>건강보험료</t>
  </si>
  <si>
    <t>(1.5Ton)</t>
  </si>
  <si>
    <t>소모재료</t>
  </si>
  <si>
    <t>포</t>
  </si>
  <si>
    <t>유로폼패널</t>
  </si>
  <si>
    <t>노반준비공</t>
  </si>
  <si>
    <t>하차비</t>
  </si>
  <si>
    <t>17.잔디블록포장[㎡]</t>
  </si>
  <si>
    <t>매트기초</t>
  </si>
  <si>
    <t>,</t>
  </si>
  <si>
    <t>인력품의</t>
  </si>
  <si>
    <t>15</t>
  </si>
  <si>
    <t>107(26.5)</t>
  </si>
  <si>
    <t>4. 포    장    공</t>
  </si>
  <si>
    <t>포 설 공</t>
  </si>
  <si>
    <t>총    원    가</t>
  </si>
  <si>
    <t>굴삭기로</t>
  </si>
  <si>
    <t>주연료의</t>
  </si>
  <si>
    <t>단산6참조</t>
  </si>
  <si>
    <t>16.수로관뚜껑설치(560x85x1000)[M]</t>
  </si>
  <si>
    <t>콘크리트</t>
  </si>
  <si>
    <t>0.32%</t>
  </si>
  <si>
    <t xml:space="preserve">  잔토처리(현장내)</t>
  </si>
  <si>
    <t>0.006%</t>
  </si>
  <si>
    <t>kg</t>
  </si>
  <si>
    <t>m</t>
  </si>
  <si>
    <t>D=50mm(VG1)</t>
  </si>
  <si>
    <t xml:space="preserve">    산 재 보 험 료</t>
  </si>
  <si>
    <t xml:space="preserve">  조달수수료</t>
  </si>
  <si>
    <t>(2 + 5) × 0.055</t>
  </si>
  <si>
    <t xml:space="preserve">    산업안전보건관리비</t>
  </si>
  <si>
    <t>(2 + 6 + 9) × 0.0032</t>
  </si>
  <si>
    <t xml:space="preserve"> 3) 수    로    관</t>
  </si>
  <si>
    <t>To</t>
  </si>
  <si>
    <t>설치비</t>
  </si>
  <si>
    <t>│Ⅰ</t>
  </si>
  <si>
    <t>산  출  근  거</t>
  </si>
  <si>
    <t>2026.5.4. 매매기준율</t>
  </si>
  <si>
    <t>392(26.5)</t>
  </si>
  <si>
    <t>3 + 4</t>
  </si>
  <si>
    <t>12.보조기층포설및다짐 (인력식 소규모 장비사용 시공) [㎥]</t>
  </si>
  <si>
    <t>경우</t>
  </si>
  <si>
    <t>1. 굴착기(무한궤도)</t>
  </si>
  <si>
    <t>단가산출</t>
  </si>
  <si>
    <t xml:space="preserve">    임금채권부담금</t>
  </si>
  <si>
    <t>(2 + 6) × 0.0315 × 1.2</t>
  </si>
  <si>
    <t xml:space="preserve"> 2. 잔  디  블  록</t>
  </si>
  <si>
    <t>단산4참조</t>
  </si>
  <si>
    <t>나</t>
  </si>
  <si>
    <t>개</t>
  </si>
  <si>
    <t>재료비</t>
  </si>
  <si>
    <t xml:space="preserve">  유로폼</t>
  </si>
  <si>
    <t>T</t>
  </si>
  <si>
    <t>5. 덤프트럭(자동덮개)</t>
  </si>
  <si>
    <t xml:space="preserve"> 1) 토          공</t>
  </si>
  <si>
    <t>k</t>
  </si>
  <si>
    <t>1/8*16/12*25/20*24/15</t>
  </si>
  <si>
    <t>166(26.5)</t>
  </si>
  <si>
    <t>당초합계</t>
  </si>
  <si>
    <t>18.잔디블록하차 (1000x1000x150) [EA]</t>
  </si>
  <si>
    <t>계산값</t>
  </si>
  <si>
    <t>13</t>
  </si>
  <si>
    <t>일위대가총괄표</t>
  </si>
  <si>
    <t>품    명</t>
  </si>
  <si>
    <t>회</t>
  </si>
  <si>
    <t>문양거푸집설치</t>
  </si>
  <si>
    <t>도급자관급자재대</t>
  </si>
  <si>
    <t xml:space="preserve">  잔디블록하차</t>
  </si>
  <si>
    <t>철근가공(현장)</t>
  </si>
  <si>
    <t>기계경비적용기준</t>
  </si>
  <si>
    <t xml:space="preserve">(5 + 8 + 22) ×0.1499 </t>
  </si>
  <si>
    <t>물가자료VAT별도(경비)</t>
  </si>
  <si>
    <t xml:space="preserve">    직 접 노 무 비</t>
  </si>
  <si>
    <t>재 료 비</t>
  </si>
  <si>
    <t xml:space="preserve">  보조기층포설및다짐</t>
  </si>
  <si>
    <t>┴</t>
  </si>
  <si>
    <t>,강관파이프</t>
  </si>
  <si>
    <t>당초경비</t>
  </si>
  <si>
    <t>5 × 0.0356</t>
  </si>
  <si>
    <t>N1</t>
  </si>
  <si>
    <t>11.신축이음(스치로폴(t=10mm)) [㎡]</t>
  </si>
  <si>
    <t>V</t>
  </si>
  <si>
    <t>시간당</t>
  </si>
  <si>
    <t>달러($)</t>
  </si>
  <si>
    <t>명    칭</t>
  </si>
  <si>
    <t xml:space="preserve">    건설기계대여금지급보증서</t>
  </si>
  <si>
    <t>포장</t>
  </si>
  <si>
    <t>합</t>
  </si>
  <si>
    <t>2. 굴착기(무한궤도)</t>
  </si>
  <si>
    <t>PVC 배수파이프</t>
  </si>
  <si>
    <t>인부소계</t>
  </si>
  <si>
    <t>Ton</t>
  </si>
  <si>
    <t xml:space="preserve"> 1. 옥 외 용 벤 치</t>
  </si>
  <si>
    <t>⊙</t>
  </si>
  <si>
    <t>현장입구</t>
  </si>
  <si>
    <t>┼</t>
  </si>
  <si>
    <t>1/8*16/12*25/20</t>
  </si>
  <si>
    <t>무근구조물</t>
  </si>
  <si>
    <t>˚</t>
  </si>
  <si>
    <t>61(26.6)</t>
  </si>
  <si>
    <t>234(22.2)</t>
  </si>
  <si>
    <t>19</t>
  </si>
  <si>
    <t>㎥</t>
  </si>
  <si>
    <t>당초노무비</t>
  </si>
  <si>
    <t>진동로울러(핸드가이드식)</t>
  </si>
  <si>
    <t>8%</t>
  </si>
  <si>
    <t>1.01%</t>
  </si>
  <si>
    <t>호  표</t>
  </si>
  <si>
    <t>,후크</t>
  </si>
  <si>
    <t>.</t>
  </si>
  <si>
    <t>마르크(M)</t>
  </si>
  <si>
    <t>17</t>
  </si>
  <si>
    <t>조립이</t>
  </si>
  <si>
    <t>2.</t>
  </si>
  <si>
    <t>㎡</t>
  </si>
  <si>
    <t>부 가 가 치 세</t>
  </si>
  <si>
    <t>장</t>
  </si>
  <si>
    <t>hr</t>
  </si>
  <si>
    <t>주자재의</t>
  </si>
  <si>
    <t>:</t>
  </si>
  <si>
    <t>560x85x1,000</t>
  </si>
  <si>
    <t>매</t>
  </si>
  <si>
    <t>총  공  사  비</t>
  </si>
  <si>
    <t>유통물가</t>
  </si>
  <si>
    <t xml:space="preserve">    기 타 경 비</t>
  </si>
  <si>
    <t>(2 + 6 + 9) × 0.008</t>
  </si>
  <si>
    <t xml:space="preserve">  보조기층운반</t>
  </si>
  <si>
    <t>가</t>
  </si>
  <si>
    <t>8.문양거푸집 설치및해체(플라스틱(ABS코팅))[㎡]</t>
  </si>
  <si>
    <t>V3</t>
  </si>
  <si>
    <t>24</t>
  </si>
  <si>
    <t>순 공 사 원 가</t>
  </si>
  <si>
    <t>수</t>
  </si>
  <si>
    <t>│</t>
  </si>
  <si>
    <t>진동 로울러(핸드가이드식)</t>
  </si>
  <si>
    <t>모 래, 창원, 도착도</t>
  </si>
  <si>
    <t>D=19mm</t>
  </si>
  <si>
    <t xml:space="preserve">    환 경 보 전 비</t>
  </si>
  <si>
    <t>잔디블록포장</t>
  </si>
  <si>
    <t>Es</t>
  </si>
  <si>
    <t>잔  디</t>
  </si>
  <si>
    <t>6.레미콘타설(장비사용타설) (무근구조물) [㎥]</t>
  </si>
  <si>
    <t>'26年 개정</t>
  </si>
  <si>
    <t>4</t>
  </si>
  <si>
    <t>24 + 25</t>
  </si>
  <si>
    <t>플라스틱(ABS코팅)</t>
  </si>
  <si>
    <t>0.6</t>
  </si>
  <si>
    <t>t1</t>
  </si>
  <si>
    <t>덤프트럭(자동덮개)</t>
  </si>
  <si>
    <t>910×910</t>
  </si>
  <si>
    <t>노임단가</t>
  </si>
  <si>
    <t>규   격</t>
  </si>
  <si>
    <t>수로관뚜껑설치</t>
  </si>
  <si>
    <t>개정품셈</t>
  </si>
  <si>
    <t>L</t>
  </si>
  <si>
    <t>6회, 간단,0~7m</t>
  </si>
  <si>
    <t xml:space="preserve">    건 강 보 험 료</t>
  </si>
  <si>
    <t>내역서총괄표</t>
  </si>
  <si>
    <t>유로폼</t>
  </si>
  <si>
    <t>ℓ</t>
  </si>
  <si>
    <t xml:space="preserve">  보조기층</t>
  </si>
  <si>
    <t>항만하역요금적용</t>
  </si>
  <si>
    <t xml:space="preserve">  중기운반</t>
  </si>
  <si>
    <t xml:space="preserve">  벤치플륨관설치</t>
  </si>
  <si>
    <t>식</t>
  </si>
  <si>
    <t>반중력온벽</t>
  </si>
  <si>
    <t>믹서트럭에서</t>
  </si>
  <si>
    <t>경     비</t>
  </si>
  <si>
    <t xml:space="preserve">  이형철근(SD400),부산</t>
  </si>
  <si>
    <t>t5</t>
  </si>
  <si>
    <t>1/8*16/12*25/20*14/12</t>
  </si>
  <si>
    <t>(경비)</t>
  </si>
  <si>
    <t>Type-Ⅰ</t>
  </si>
  <si>
    <t>백호0.2㎥(100%)</t>
  </si>
  <si>
    <t xml:space="preserve">  PVC 배수파이프</t>
  </si>
  <si>
    <t>비다짐성토</t>
  </si>
  <si>
    <t>(600×1200㎜)</t>
  </si>
  <si>
    <t>근접된</t>
  </si>
  <si>
    <t>적용단가</t>
  </si>
  <si>
    <t>해체</t>
  </si>
  <si>
    <t>주연료</t>
  </si>
  <si>
    <t>환경보전비</t>
  </si>
  <si>
    <t>보조기층포설및다짐</t>
  </si>
  <si>
    <t>라</t>
  </si>
  <si>
    <t>600(26.5)</t>
  </si>
  <si>
    <t>간접노무비</t>
  </si>
  <si>
    <t>0.7Ton</t>
  </si>
  <si>
    <t>5 × 0.00006</t>
  </si>
  <si>
    <t>6. 사 급 자 재 대</t>
  </si>
  <si>
    <t>R=12~20cm</t>
  </si>
  <si>
    <t>q</t>
  </si>
  <si>
    <t>굴착기(무한궤도)</t>
  </si>
  <si>
    <t>×</t>
  </si>
  <si>
    <t>노무비</t>
  </si>
  <si>
    <t>연금보험료</t>
  </si>
  <si>
    <t>2. 배    수    공</t>
  </si>
  <si>
    <t>총원가</t>
  </si>
  <si>
    <t>일반관리비</t>
  </si>
  <si>
    <t>신축이음</t>
  </si>
  <si>
    <t>표토 제거</t>
  </si>
  <si>
    <t>합     계</t>
  </si>
  <si>
    <t>가공</t>
  </si>
  <si>
    <t>,소모자재</t>
  </si>
  <si>
    <t>20</t>
  </si>
  <si>
    <t>직접</t>
  </si>
  <si>
    <t>9. 플레이트 콤팩터</t>
  </si>
  <si>
    <t>경  비 소수 1 미만 절하</t>
  </si>
  <si>
    <t>326(26.5)</t>
  </si>
  <si>
    <t>일반적인</t>
  </si>
  <si>
    <t>page</t>
  </si>
  <si>
    <t>19.1%</t>
  </si>
  <si>
    <t>중기운반</t>
  </si>
  <si>
    <t>400C(400*400)</t>
  </si>
  <si>
    <t>0.4㎥</t>
  </si>
  <si>
    <t>5 × 0.0009</t>
  </si>
  <si>
    <t>754(26.5)</t>
  </si>
  <si>
    <t xml:space="preserve">    연 금 보 험 료</t>
  </si>
  <si>
    <t xml:space="preserve">    간 접 재 료 비</t>
  </si>
  <si>
    <t>골재장</t>
  </si>
  <si>
    <t>357(22.2)</t>
  </si>
  <si>
    <t>보조기층</t>
  </si>
  <si>
    <t>t3</t>
  </si>
  <si>
    <t>근</t>
  </si>
  <si>
    <t>sec</t>
  </si>
  <si>
    <t>산업안전보건관리비</t>
  </si>
  <si>
    <t>단산10참조</t>
  </si>
  <si>
    <t>단산8참조</t>
  </si>
  <si>
    <t>현</t>
  </si>
  <si>
    <t>내부패널</t>
  </si>
  <si>
    <t>환 율 (/￦)</t>
  </si>
  <si>
    <t>2026-01-01</t>
  </si>
  <si>
    <t>기존도로부</t>
  </si>
  <si>
    <t>6 × 0.191</t>
  </si>
  <si>
    <t xml:space="preserve">  잔  디</t>
  </si>
  <si>
    <t>V1</t>
  </si>
  <si>
    <t>Type</t>
  </si>
  <si>
    <t>26</t>
  </si>
  <si>
    <t>10(-7)</t>
  </si>
  <si>
    <t>측구수로관뚜껑</t>
  </si>
  <si>
    <t>일</t>
  </si>
  <si>
    <t>┬</t>
  </si>
  <si>
    <t xml:space="preserve">  문양거푸집 설치및해체</t>
  </si>
  <si>
    <t>6. 진동 로울러(핸드가이드식)</t>
  </si>
  <si>
    <t>2026년(상)</t>
  </si>
  <si>
    <t xml:space="preserve">  식재(근원직경)(기계)</t>
  </si>
  <si>
    <t>560x85x1000</t>
  </si>
  <si>
    <t>6</t>
  </si>
  <si>
    <t>항만하역요금(육상)</t>
  </si>
  <si>
    <t>8</t>
  </si>
  <si>
    <t>,철근망</t>
  </si>
  <si>
    <t>&lt;2016年 개정품셈 6-3-8&gt;</t>
  </si>
  <si>
    <t>발포폴리스티렌단열재(스티로폼)</t>
  </si>
  <si>
    <t>인</t>
  </si>
  <si>
    <t xml:space="preserve">일 반 관 리 비 </t>
  </si>
  <si>
    <t>단산12참조</t>
  </si>
  <si>
    <t>28</t>
  </si>
  <si>
    <t>3.15%</t>
  </si>
  <si>
    <t>7.유로폼(6회, 간단,0~7m) [㎡]</t>
  </si>
  <si>
    <t>84(26.5)</t>
  </si>
  <si>
    <t>3.56%</t>
  </si>
  <si>
    <t>노인장기요양보험료</t>
  </si>
  <si>
    <t>품셈</t>
  </si>
  <si>
    <t>※</t>
  </si>
  <si>
    <t>22</t>
  </si>
  <si>
    <t xml:space="preserve"> 1) 골    재    대</t>
  </si>
  <si>
    <t>Ⅰ│</t>
  </si>
  <si>
    <t>강모래</t>
  </si>
  <si>
    <t>2</t>
  </si>
  <si>
    <t>순공사원가</t>
  </si>
  <si>
    <t>단산14참조</t>
  </si>
  <si>
    <t>문양거푸집 설치및해체</t>
  </si>
  <si>
    <t>잔토처리(현장내)</t>
  </si>
  <si>
    <t>제재,전주,침목등</t>
  </si>
  <si>
    <t>금     액</t>
  </si>
  <si>
    <t>물가자료</t>
  </si>
  <si>
    <t xml:space="preserve">  신축이음</t>
  </si>
  <si>
    <t>특정위치에서</t>
  </si>
  <si>
    <t>26 + 27 + 28</t>
  </si>
  <si>
    <t>2 + 5 + 8</t>
  </si>
  <si>
    <t>재</t>
  </si>
  <si>
    <t>품     명</t>
  </si>
  <si>
    <t>일위1참조</t>
  </si>
  <si>
    <t>덤프15톤</t>
  </si>
  <si>
    <t>(20Ton)</t>
  </si>
  <si>
    <t>토목시설</t>
  </si>
  <si>
    <t>원목2인그네</t>
  </si>
  <si>
    <t>합    계</t>
  </si>
  <si>
    <t>단산16참조</t>
  </si>
  <si>
    <t>1.5Ton</t>
  </si>
  <si>
    <t>276(26.5)</t>
  </si>
  <si>
    <t>물</t>
  </si>
  <si>
    <t>기타경비</t>
  </si>
  <si>
    <t>료</t>
  </si>
  <si>
    <t>14.99%</t>
  </si>
  <si>
    <t>1인/12주</t>
  </si>
  <si>
    <t>자주식</t>
  </si>
  <si>
    <t>&lt; 토목품셈 6-3-3 유로폼설치및해체 &gt;</t>
  </si>
  <si>
    <t>콘크리트공</t>
  </si>
  <si>
    <t>당초재료비</t>
  </si>
  <si>
    <t>10%</t>
  </si>
  <si>
    <t>400</t>
  </si>
  <si>
    <t>반</t>
  </si>
  <si>
    <t>20Ton</t>
  </si>
  <si>
    <t>건설기계대여금지급보증서</t>
  </si>
  <si>
    <t>순 공 사 비</t>
  </si>
  <si>
    <t>3.</t>
  </si>
  <si>
    <t>파운드(L)</t>
  </si>
  <si>
    <t>649(26.5)</t>
  </si>
  <si>
    <t>T=10m/m(비중0.03)</t>
  </si>
  <si>
    <t/>
  </si>
  <si>
    <t>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</si>
</sst>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########"/>
    <numFmt numFmtId="177" formatCode="#,##0.##"/>
    <numFmt numFmtId="178" formatCode="#,##0.#######"/>
    <numFmt numFmtId="179" formatCode="#,##0.#########"/>
  </numFmts>
  <fonts count="8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3"/>
      <color indexed="8"/>
      <name val="Arial"/>
      <family val="2"/>
    </font>
    <font>
      <sz val="8"/>
      <name val="돋움"/>
      <family val="3"/>
      <charset val="129"/>
    </font>
    <font>
      <sz val="8"/>
      <color indexed="8"/>
      <name val="굴림체"/>
      <family val="2"/>
    </font>
    <font>
      <sz val="8"/>
      <color indexed="8"/>
      <name val="굴림체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vertical="center"/>
    </xf>
    <xf numFmtId="3" fontId="2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vertical="center"/>
    </xf>
    <xf numFmtId="3" fontId="0" fillId="0" borderId="0" xfId="0" applyNumberFormat="1"/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left" vertical="center"/>
    </xf>
    <xf numFmtId="3" fontId="3" fillId="0" borderId="24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6" xfId="0" applyBorder="1"/>
    <xf numFmtId="176" fontId="0" fillId="0" borderId="26" xfId="0" applyNumberFormat="1" applyBorder="1"/>
    <xf numFmtId="0" fontId="0" fillId="0" borderId="27" xfId="0" applyBorder="1"/>
    <xf numFmtId="0" fontId="0" fillId="0" borderId="26" xfId="0" applyBorder="1" applyAlignment="1">
      <alignment horizontal="center"/>
    </xf>
    <xf numFmtId="3" fontId="0" fillId="0" borderId="26" xfId="0" applyNumberFormat="1" applyBorder="1" applyAlignment="1">
      <alignment horizontal="right"/>
    </xf>
    <xf numFmtId="3" fontId="0" fillId="0" borderId="26" xfId="0" applyNumberFormat="1" applyBorder="1"/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1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0" xfId="0" applyBorder="1"/>
    <xf numFmtId="0" fontId="0" fillId="0" borderId="7" xfId="0" applyBorder="1"/>
    <xf numFmtId="3" fontId="2" fillId="0" borderId="21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vertical="center"/>
    </xf>
    <xf numFmtId="3" fontId="3" fillId="0" borderId="24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horizontal="left" vertical="center"/>
    </xf>
    <xf numFmtId="177" fontId="3" fillId="0" borderId="22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vertical="center"/>
    </xf>
    <xf numFmtId="178" fontId="3" fillId="0" borderId="20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178" fontId="2" fillId="0" borderId="19" xfId="0" applyNumberFormat="1" applyFont="1" applyBorder="1" applyAlignment="1">
      <alignment horizontal="center" vertical="center"/>
    </xf>
    <xf numFmtId="178" fontId="2" fillId="0" borderId="39" xfId="0" applyNumberFormat="1" applyFont="1" applyBorder="1" applyAlignment="1">
      <alignment horizontal="center" vertical="center"/>
    </xf>
    <xf numFmtId="178" fontId="3" fillId="0" borderId="33" xfId="0" applyNumberFormat="1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3" fillId="0" borderId="0" xfId="0" applyNumberFormat="1" applyFont="1"/>
    <xf numFmtId="178" fontId="3" fillId="0" borderId="36" xfId="0" applyNumberFormat="1" applyFont="1" applyBorder="1" applyAlignment="1">
      <alignment vertical="center"/>
    </xf>
    <xf numFmtId="178" fontId="3" fillId="0" borderId="20" xfId="0" applyNumberFormat="1" applyFont="1" applyBorder="1"/>
    <xf numFmtId="178" fontId="2" fillId="0" borderId="33" xfId="0" applyNumberFormat="1" applyFont="1" applyBorder="1" applyAlignment="1">
      <alignment horizontal="left" vertical="center"/>
    </xf>
    <xf numFmtId="3" fontId="2" fillId="0" borderId="40" xfId="0" applyNumberFormat="1" applyFont="1" applyBorder="1" applyAlignment="1">
      <alignment horizontal="right" vertical="center"/>
    </xf>
    <xf numFmtId="3" fontId="2" fillId="0" borderId="3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8" fontId="3" fillId="0" borderId="40" xfId="0" applyNumberFormat="1" applyFont="1" applyBorder="1" applyAlignment="1">
      <alignment horizontal="right" vertical="center"/>
    </xf>
    <xf numFmtId="178" fontId="3" fillId="0" borderId="35" xfId="0" applyNumberFormat="1" applyFont="1" applyBorder="1" applyAlignment="1">
      <alignment horizontal="right" vertical="center"/>
    </xf>
    <xf numFmtId="3" fontId="3" fillId="0" borderId="40" xfId="0" applyNumberFormat="1" applyFont="1" applyBorder="1" applyAlignment="1">
      <alignment horizontal="right" vertical="center"/>
    </xf>
    <xf numFmtId="178" fontId="3" fillId="0" borderId="17" xfId="0" applyNumberFormat="1" applyFont="1" applyBorder="1" applyAlignment="1">
      <alignment horizontal="right" vertical="center"/>
    </xf>
    <xf numFmtId="178" fontId="3" fillId="0" borderId="41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left" vertical="center"/>
    </xf>
    <xf numFmtId="176" fontId="3" fillId="0" borderId="22" xfId="0" applyNumberFormat="1" applyFont="1" applyBorder="1" applyAlignment="1">
      <alignment vertical="center"/>
    </xf>
    <xf numFmtId="179" fontId="3" fillId="0" borderId="22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34" xfId="0" applyNumberFormat="1" applyFont="1" applyBorder="1" applyAlignment="1">
      <alignment horizontal="left" vertical="center"/>
    </xf>
    <xf numFmtId="3" fontId="6" fillId="0" borderId="22" xfId="0" applyNumberFormat="1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center" vertical="center"/>
    </xf>
    <xf numFmtId="3" fontId="7" fillId="0" borderId="24" xfId="0" applyNumberFormat="1" applyFont="1" applyBorder="1" applyAlignment="1">
      <alignment vertical="center"/>
    </xf>
    <xf numFmtId="3" fontId="7" fillId="0" borderId="22" xfId="0" applyNumberFormat="1" applyFont="1" applyBorder="1" applyAlignment="1">
      <alignment vertical="center"/>
    </xf>
    <xf numFmtId="3" fontId="7" fillId="0" borderId="23" xfId="0" applyNumberFormat="1" applyFont="1" applyBorder="1" applyAlignment="1">
      <alignment horizontal="left" vertical="center"/>
    </xf>
    <xf numFmtId="3" fontId="7" fillId="0" borderId="6" xfId="0" applyNumberFormat="1" applyFont="1" applyBorder="1" applyAlignment="1">
      <alignment horizontal="left" vertical="center"/>
    </xf>
    <xf numFmtId="3" fontId="7" fillId="0" borderId="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178" fontId="2" fillId="0" borderId="38" xfId="0" applyNumberFormat="1" applyFont="1" applyBorder="1" applyAlignment="1">
      <alignment horizontal="center" vertical="center"/>
    </xf>
    <xf numFmtId="178" fontId="2" fillId="0" borderId="18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vertical="center"/>
    </xf>
    <xf numFmtId="178" fontId="3" fillId="0" borderId="30" xfId="0" applyNumberFormat="1" applyFont="1" applyBorder="1" applyAlignment="1">
      <alignment vertical="center"/>
    </xf>
    <xf numFmtId="177" fontId="3" fillId="0" borderId="30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178" fontId="3" fillId="0" borderId="20" xfId="0" applyNumberFormat="1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2"/>
  <sheetViews>
    <sheetView tabSelected="1" view="pageBreakPreview" zoomScale="98" zoomScaleNormal="100" zoomScaleSheetLayoutView="98" workbookViewId="0">
      <selection activeCell="F20" sqref="F20"/>
    </sheetView>
  </sheetViews>
  <sheetFormatPr defaultRowHeight="12.75" x14ac:dyDescent="0.2"/>
  <cols>
    <col min="1" max="1" width="0.7109375" customWidth="1"/>
    <col min="2" max="2" width="5.42578125" customWidth="1"/>
    <col min="3" max="3" width="33" customWidth="1"/>
    <col min="4" max="4" width="26.42578125" customWidth="1"/>
    <col min="5" max="5" width="11" customWidth="1"/>
    <col min="6" max="6" width="55" customWidth="1"/>
  </cols>
  <sheetData>
    <row r="1" spans="2:6" ht="24.95" customHeight="1" x14ac:dyDescent="0.2">
      <c r="B1" s="110" t="s">
        <v>349</v>
      </c>
      <c r="C1" s="110"/>
      <c r="D1" s="110"/>
      <c r="E1" s="110"/>
      <c r="F1" s="110"/>
    </row>
    <row r="2" spans="2:6" ht="9.9499999999999993" customHeight="1" x14ac:dyDescent="0.2">
      <c r="B2" s="111"/>
      <c r="C2" s="111"/>
      <c r="D2" s="111"/>
      <c r="E2" s="111"/>
      <c r="F2" s="111"/>
    </row>
    <row r="3" spans="2:6" ht="22.35" customHeight="1" x14ac:dyDescent="0.2">
      <c r="B3" s="1" t="s">
        <v>58</v>
      </c>
      <c r="C3" s="2" t="s">
        <v>96</v>
      </c>
      <c r="D3" s="2" t="s">
        <v>623</v>
      </c>
      <c r="E3" s="2" t="s">
        <v>237</v>
      </c>
      <c r="F3" s="3" t="s">
        <v>386</v>
      </c>
    </row>
    <row r="4" spans="2:6" ht="16.899999999999999" customHeight="1" x14ac:dyDescent="0.2">
      <c r="B4" s="95" t="s">
        <v>187</v>
      </c>
      <c r="C4" s="96" t="s">
        <v>314</v>
      </c>
      <c r="D4" s="97">
        <f>내역서!G5</f>
        <v>25552777</v>
      </c>
      <c r="E4" s="97" t="s">
        <v>659</v>
      </c>
      <c r="F4" s="98" t="s">
        <v>659</v>
      </c>
    </row>
    <row r="5" spans="2:6" ht="16.899999999999999" customHeight="1" x14ac:dyDescent="0.2">
      <c r="B5" s="95" t="s">
        <v>617</v>
      </c>
      <c r="C5" s="96" t="s">
        <v>400</v>
      </c>
      <c r="D5" s="4">
        <f>TRUNC(D6+D7,0)</f>
        <v>12725530</v>
      </c>
      <c r="E5" s="97" t="s">
        <v>659</v>
      </c>
      <c r="F5" s="98" t="s">
        <v>389</v>
      </c>
    </row>
    <row r="6" spans="2:6" ht="16.899999999999999" customHeight="1" x14ac:dyDescent="0.2">
      <c r="B6" s="95" t="s">
        <v>258</v>
      </c>
      <c r="C6" s="96" t="s">
        <v>263</v>
      </c>
      <c r="D6" s="4"/>
      <c r="E6" s="97" t="s">
        <v>659</v>
      </c>
      <c r="F6" s="98" t="s">
        <v>659</v>
      </c>
    </row>
    <row r="7" spans="2:6" ht="16.899999999999999" customHeight="1" x14ac:dyDescent="0.2">
      <c r="B7" s="95" t="s">
        <v>493</v>
      </c>
      <c r="C7" s="96" t="s">
        <v>567</v>
      </c>
      <c r="D7" s="97" t="str">
        <f>내역서!I5</f>
        <v>12,725,530</v>
      </c>
      <c r="E7" s="97" t="s">
        <v>659</v>
      </c>
      <c r="F7" s="98" t="s">
        <v>659</v>
      </c>
    </row>
    <row r="8" spans="2:6" ht="16.899999999999999" customHeight="1" x14ac:dyDescent="0.2">
      <c r="B8" s="95" t="s">
        <v>210</v>
      </c>
      <c r="C8" s="96" t="s">
        <v>543</v>
      </c>
      <c r="D8" s="4">
        <f>TRUNC(D9+D10,0)</f>
        <v>11857355</v>
      </c>
      <c r="E8" s="97" t="s">
        <v>659</v>
      </c>
      <c r="F8" s="98" t="s">
        <v>220</v>
      </c>
    </row>
    <row r="9" spans="2:6" ht="16.899999999999999" customHeight="1" x14ac:dyDescent="0.2">
      <c r="B9" s="95" t="s">
        <v>596</v>
      </c>
      <c r="C9" s="96" t="s">
        <v>422</v>
      </c>
      <c r="D9" s="97" t="str">
        <f>내역서!K5</f>
        <v>9,955,798</v>
      </c>
      <c r="E9" s="97" t="s">
        <v>659</v>
      </c>
      <c r="F9" s="98" t="s">
        <v>659</v>
      </c>
    </row>
    <row r="10" spans="2:6" ht="16.899999999999999" customHeight="1" x14ac:dyDescent="0.2">
      <c r="B10" s="95" t="s">
        <v>316</v>
      </c>
      <c r="C10" s="96" t="s">
        <v>110</v>
      </c>
      <c r="D10" s="4">
        <f>TRUNC(D9*0.191,0)</f>
        <v>1901557</v>
      </c>
      <c r="E10" s="97" t="s">
        <v>560</v>
      </c>
      <c r="F10" s="98" t="s">
        <v>582</v>
      </c>
    </row>
    <row r="11" spans="2:6" ht="16.899999999999999" customHeight="1" x14ac:dyDescent="0.2">
      <c r="B11" s="95" t="s">
        <v>598</v>
      </c>
      <c r="C11" s="16" t="s">
        <v>303</v>
      </c>
      <c r="D11" s="18">
        <f>TRUNC(D12+D13+D14+D15+D16+D17+D18+D19+D20+D21+D22+D23,0)</f>
        <v>6798152</v>
      </c>
      <c r="E11" s="97" t="s">
        <v>659</v>
      </c>
      <c r="F11" s="98" t="s">
        <v>216</v>
      </c>
    </row>
    <row r="12" spans="2:6" ht="16.899999999999999" customHeight="1" x14ac:dyDescent="0.2">
      <c r="B12" s="95" t="s">
        <v>311</v>
      </c>
      <c r="C12" s="96" t="s">
        <v>122</v>
      </c>
      <c r="D12" s="97" t="str">
        <f>내역서!M5</f>
        <v>2,871,449</v>
      </c>
      <c r="E12" s="97" t="s">
        <v>659</v>
      </c>
      <c r="F12" s="98" t="s">
        <v>659</v>
      </c>
    </row>
    <row r="13" spans="2:6" ht="16.899999999999999" customHeight="1" x14ac:dyDescent="0.2">
      <c r="B13" s="95" t="s">
        <v>81</v>
      </c>
      <c r="C13" s="96" t="s">
        <v>377</v>
      </c>
      <c r="D13" s="4">
        <f>TRUNC(D8*0.0356,0)</f>
        <v>422121</v>
      </c>
      <c r="E13" s="97" t="s">
        <v>609</v>
      </c>
      <c r="F13" s="98" t="s">
        <v>428</v>
      </c>
    </row>
    <row r="14" spans="2:6" ht="16.899999999999999" customHeight="1" x14ac:dyDescent="0.2">
      <c r="B14" s="95" t="s">
        <v>337</v>
      </c>
      <c r="C14" s="96" t="s">
        <v>225</v>
      </c>
      <c r="D14" s="4">
        <f>TRUNC(D8*0.0101,0)</f>
        <v>119759</v>
      </c>
      <c r="E14" s="97" t="s">
        <v>456</v>
      </c>
      <c r="F14" s="98" t="s">
        <v>202</v>
      </c>
    </row>
    <row r="15" spans="2:6" ht="16.899999999999999" customHeight="1" x14ac:dyDescent="0.2">
      <c r="B15" s="95" t="s">
        <v>136</v>
      </c>
      <c r="C15" s="96" t="s">
        <v>506</v>
      </c>
      <c r="D15" s="4">
        <f>TRUNC(D9*0.03595,0)</f>
        <v>357910</v>
      </c>
      <c r="E15" s="97" t="s">
        <v>180</v>
      </c>
      <c r="F15" s="98" t="s">
        <v>324</v>
      </c>
    </row>
    <row r="16" spans="2:6" ht="16.899999999999999" customHeight="1" x14ac:dyDescent="0.2">
      <c r="B16" s="95" t="s">
        <v>411</v>
      </c>
      <c r="C16" s="96" t="s">
        <v>566</v>
      </c>
      <c r="D16" s="4">
        <f>TRUNC(D9*0.0475,0)</f>
        <v>472900</v>
      </c>
      <c r="E16" s="97" t="s">
        <v>198</v>
      </c>
      <c r="F16" s="98" t="s">
        <v>345</v>
      </c>
    </row>
    <row r="17" spans="2:13" ht="16.899999999999999" customHeight="1" x14ac:dyDescent="0.2">
      <c r="B17" s="95" t="s">
        <v>23</v>
      </c>
      <c r="C17" s="96" t="s">
        <v>348</v>
      </c>
      <c r="D17" s="4">
        <f>TRUNC(D15*0.1314,0)</f>
        <v>47029</v>
      </c>
      <c r="E17" s="97" t="s">
        <v>61</v>
      </c>
      <c r="F17" s="98" t="s">
        <v>175</v>
      </c>
    </row>
    <row r="18" spans="2:13" ht="16.899999999999999" customHeight="1" x14ac:dyDescent="0.2">
      <c r="B18" s="95" t="s">
        <v>361</v>
      </c>
      <c r="C18" s="96" t="s">
        <v>435</v>
      </c>
      <c r="D18" s="4">
        <f>TRUNC((D5+D9+D12)*0.0032,0)</f>
        <v>81768</v>
      </c>
      <c r="E18" s="97" t="s">
        <v>371</v>
      </c>
      <c r="F18" s="98" t="s">
        <v>381</v>
      </c>
    </row>
    <row r="19" spans="2:13" ht="16.899999999999999" customHeight="1" x14ac:dyDescent="0.2">
      <c r="B19" s="95" t="s">
        <v>114</v>
      </c>
      <c r="C19" s="96" t="s">
        <v>380</v>
      </c>
      <c r="D19" s="4">
        <f>TRUNC((D5+D9)*0.0315*1.2,0)</f>
        <v>857354</v>
      </c>
      <c r="E19" s="97" t="s">
        <v>606</v>
      </c>
      <c r="F19" s="98" t="s">
        <v>395</v>
      </c>
    </row>
    <row r="20" spans="2:13" ht="16.899999999999999" customHeight="1" x14ac:dyDescent="0.2">
      <c r="B20" s="95" t="s">
        <v>461</v>
      </c>
      <c r="C20" s="96" t="s">
        <v>487</v>
      </c>
      <c r="D20" s="4">
        <f>TRUNC((D5+D9+D12)*0.008,0)</f>
        <v>204422</v>
      </c>
      <c r="E20" s="97" t="s">
        <v>52</v>
      </c>
      <c r="F20" s="98" t="s">
        <v>475</v>
      </c>
    </row>
    <row r="21" spans="2:13" ht="16.899999999999999" customHeight="1" x14ac:dyDescent="0.2">
      <c r="B21" s="95" t="s">
        <v>118</v>
      </c>
      <c r="C21" s="96" t="s">
        <v>27</v>
      </c>
      <c r="D21" s="4">
        <f>TRUNC(D8*0.00006,0)</f>
        <v>711</v>
      </c>
      <c r="E21" s="97" t="s">
        <v>373</v>
      </c>
      <c r="F21" s="98" t="s">
        <v>537</v>
      </c>
    </row>
    <row r="22" spans="2:13" ht="16.899999999999999" customHeight="1" x14ac:dyDescent="0.2">
      <c r="B22" s="95" t="s">
        <v>451</v>
      </c>
      <c r="C22" s="96" t="s">
        <v>394</v>
      </c>
      <c r="D22" s="4">
        <f>TRUNC(D8*0.0009,0)</f>
        <v>10671</v>
      </c>
      <c r="E22" s="97" t="s">
        <v>15</v>
      </c>
      <c r="F22" s="98" t="s">
        <v>564</v>
      </c>
    </row>
    <row r="23" spans="2:13" ht="16.899999999999999" customHeight="1" x14ac:dyDescent="0.2">
      <c r="B23" s="95" t="s">
        <v>553</v>
      </c>
      <c r="C23" s="16" t="s">
        <v>474</v>
      </c>
      <c r="D23" s="18">
        <f>TRUNC((D5+D8)*0.055,0)</f>
        <v>1352058</v>
      </c>
      <c r="E23" s="97" t="s">
        <v>276</v>
      </c>
      <c r="F23" s="98" t="s">
        <v>379</v>
      </c>
    </row>
    <row r="24" spans="2:13" ht="16.899999999999999" customHeight="1" x14ac:dyDescent="0.2">
      <c r="B24" s="15" t="s">
        <v>193</v>
      </c>
      <c r="C24" s="16" t="s">
        <v>481</v>
      </c>
      <c r="D24" s="18">
        <f>TRUNC(D5+D8+D11,0)</f>
        <v>31381037</v>
      </c>
      <c r="E24" s="97" t="s">
        <v>659</v>
      </c>
      <c r="F24" s="98" t="s">
        <v>628</v>
      </c>
    </row>
    <row r="25" spans="2:13" ht="16.899999999999999" customHeight="1" x14ac:dyDescent="0.2">
      <c r="B25" s="15" t="s">
        <v>613</v>
      </c>
      <c r="C25" s="16" t="s">
        <v>603</v>
      </c>
      <c r="D25" s="18">
        <f>TRUNC(D24*0.08,0)</f>
        <v>2510482</v>
      </c>
      <c r="E25" s="97" t="s">
        <v>455</v>
      </c>
      <c r="F25" s="98" t="s">
        <v>249</v>
      </c>
    </row>
    <row r="26" spans="2:13" ht="16.899999999999999" customHeight="1" x14ac:dyDescent="0.2">
      <c r="B26" s="15" t="s">
        <v>262</v>
      </c>
      <c r="C26" s="16" t="s">
        <v>45</v>
      </c>
      <c r="D26" s="18">
        <f>TRUNC((D8+D11+D25)*0.1499,0)-663</f>
        <v>3172118</v>
      </c>
      <c r="E26" s="97" t="s">
        <v>643</v>
      </c>
      <c r="F26" s="98" t="s">
        <v>420</v>
      </c>
    </row>
    <row r="27" spans="2:13" ht="16.899999999999999" customHeight="1" x14ac:dyDescent="0.2">
      <c r="B27" s="15" t="s">
        <v>480</v>
      </c>
      <c r="C27" s="16" t="s">
        <v>365</v>
      </c>
      <c r="D27" s="18">
        <f>TRUNC(D24+D25+D26,0)</f>
        <v>37063637</v>
      </c>
      <c r="E27" s="97" t="s">
        <v>659</v>
      </c>
      <c r="F27" s="98" t="s">
        <v>200</v>
      </c>
    </row>
    <row r="28" spans="2:13" ht="16.899999999999999" customHeight="1" x14ac:dyDescent="0.2">
      <c r="B28" s="15" t="s">
        <v>213</v>
      </c>
      <c r="C28" s="16" t="s">
        <v>465</v>
      </c>
      <c r="D28" s="18">
        <f>IF(L52&lt;&gt; "0.9",TRUNC(D27*0.1,0),TRUNC(D27*0.1,0)+1)</f>
        <v>3706363</v>
      </c>
      <c r="E28" s="97" t="s">
        <v>649</v>
      </c>
      <c r="F28" s="98" t="s">
        <v>25</v>
      </c>
    </row>
    <row r="29" spans="2:13" ht="16.899999999999999" customHeight="1" x14ac:dyDescent="0.2">
      <c r="B29" s="15" t="s">
        <v>586</v>
      </c>
      <c r="C29" s="16" t="s">
        <v>295</v>
      </c>
      <c r="D29" s="18">
        <f>TRUNC(D27+D28,4)</f>
        <v>40770000</v>
      </c>
      <c r="E29" s="97" t="s">
        <v>659</v>
      </c>
      <c r="F29" s="98" t="s">
        <v>494</v>
      </c>
    </row>
    <row r="30" spans="2:13" ht="16.899999999999999" customHeight="1" x14ac:dyDescent="0.2">
      <c r="B30" s="15" t="s">
        <v>317</v>
      </c>
      <c r="C30" s="16" t="s">
        <v>416</v>
      </c>
      <c r="D30" s="57">
        <f>내역서!G74</f>
        <v>7736000</v>
      </c>
      <c r="E30" s="97" t="s">
        <v>659</v>
      </c>
      <c r="F30" s="98" t="s">
        <v>659</v>
      </c>
      <c r="L30">
        <f>내역서!G74</f>
        <v>7736000</v>
      </c>
      <c r="M30">
        <f>내역서!G77+내역서!G80</f>
        <v>175910</v>
      </c>
    </row>
    <row r="31" spans="2:13" ht="16.899999999999999" customHeight="1" x14ac:dyDescent="0.2">
      <c r="B31" s="15" t="s">
        <v>605</v>
      </c>
      <c r="C31" s="16" t="s">
        <v>69</v>
      </c>
      <c r="D31" s="57">
        <f>내역서!G82</f>
        <v>3900000</v>
      </c>
      <c r="E31" s="97" t="s">
        <v>659</v>
      </c>
      <c r="F31" s="98" t="s">
        <v>659</v>
      </c>
      <c r="L31">
        <f>내역서!G82</f>
        <v>3900000</v>
      </c>
      <c r="M31">
        <f>내역서!G77+내역서!G80</f>
        <v>175910</v>
      </c>
    </row>
    <row r="32" spans="2:13" ht="16.899999999999999" customHeight="1" x14ac:dyDescent="0.2">
      <c r="B32" s="20" t="s">
        <v>306</v>
      </c>
      <c r="C32" s="21" t="s">
        <v>472</v>
      </c>
      <c r="D32" s="6">
        <f>TRUNC(D29+D30+D31,0)</f>
        <v>52406000</v>
      </c>
      <c r="E32" s="66" t="s">
        <v>659</v>
      </c>
      <c r="F32" s="23" t="s">
        <v>627</v>
      </c>
    </row>
    <row r="33" spans="2:6" x14ac:dyDescent="0.2">
      <c r="B33" s="8"/>
      <c r="C33" s="8"/>
      <c r="D33" s="8" t="s">
        <v>660</v>
      </c>
      <c r="E33" s="8"/>
      <c r="F33" s="8"/>
    </row>
    <row r="52" spans="12:12" x14ac:dyDescent="0.2">
      <c r="L52" t="str">
        <f>RIGHT(D27*0.1,3)</f>
        <v>3.7</v>
      </c>
    </row>
  </sheetData>
  <mergeCells count="1">
    <mergeCell ref="B1:F2"/>
  </mergeCells>
  <phoneticPr fontId="5" type="noConversion"/>
  <pageMargins left="0.98425196850393704" right="7.874015748031496E-2" top="0.6692913385826772" bottom="0.59055118110236215" header="0.5" footer="0.5"/>
  <pageSetup paperSize="9" scale="9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N31"/>
  <sheetViews>
    <sheetView workbookViewId="0"/>
  </sheetViews>
  <sheetFormatPr defaultRowHeight="12.75" x14ac:dyDescent="0.2"/>
  <cols>
    <col min="1" max="1" width="0.7109375" customWidth="1"/>
    <col min="2" max="2" width="2.140625" customWidth="1"/>
    <col min="3" max="3" width="10.42578125" customWidth="1"/>
    <col min="4" max="5" width="25" customWidth="1"/>
    <col min="6" max="6" width="2.140625" customWidth="1"/>
    <col min="7" max="7" width="4.140625" customWidth="1"/>
    <col min="8" max="8" width="16.5703125" customWidth="1"/>
    <col min="9" max="9" width="12.42578125" customWidth="1"/>
    <col min="10" max="10" width="6.28515625" customWidth="1"/>
    <col min="11" max="11" width="16.5703125" customWidth="1"/>
    <col min="12" max="12" width="2.140625" customWidth="1"/>
  </cols>
  <sheetData>
    <row r="1" spans="2:14" ht="24.95" customHeight="1" x14ac:dyDescent="0.2">
      <c r="B1" s="110" t="s">
        <v>419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25"/>
      <c r="N1" s="25"/>
    </row>
    <row r="2" spans="2:14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4" ht="30" customHeight="1" x14ac:dyDescent="0.2">
      <c r="B3" s="44"/>
      <c r="C3" s="43"/>
      <c r="D3" s="43"/>
      <c r="E3" s="43"/>
      <c r="F3" s="43"/>
      <c r="G3" s="43"/>
      <c r="H3" s="43"/>
      <c r="I3" s="43"/>
      <c r="J3" s="43"/>
      <c r="K3" s="43"/>
      <c r="L3" s="46"/>
    </row>
    <row r="4" spans="2:14" ht="16.5" x14ac:dyDescent="0.2">
      <c r="B4" s="45"/>
      <c r="C4" s="131" t="s">
        <v>579</v>
      </c>
      <c r="D4" s="131"/>
      <c r="E4" s="131"/>
      <c r="G4" s="131" t="s">
        <v>100</v>
      </c>
      <c r="H4" s="131"/>
      <c r="I4" s="131"/>
      <c r="L4" s="47"/>
    </row>
    <row r="5" spans="2:14" ht="7.5" customHeight="1" x14ac:dyDescent="0.2">
      <c r="B5" s="45"/>
      <c r="L5" s="47"/>
    </row>
    <row r="6" spans="2:14" ht="19.7" customHeight="1" x14ac:dyDescent="0.2">
      <c r="B6" s="45"/>
      <c r="C6" s="27" t="s">
        <v>102</v>
      </c>
      <c r="D6" s="27" t="s">
        <v>113</v>
      </c>
      <c r="E6" s="27" t="s">
        <v>13</v>
      </c>
      <c r="F6" s="31"/>
      <c r="G6" s="27" t="s">
        <v>168</v>
      </c>
      <c r="H6" s="27" t="s">
        <v>347</v>
      </c>
      <c r="I6" s="27" t="s">
        <v>1</v>
      </c>
      <c r="J6" s="27" t="s">
        <v>244</v>
      </c>
      <c r="K6" s="27" t="s">
        <v>2</v>
      </c>
      <c r="L6" s="48"/>
    </row>
    <row r="7" spans="2:14" ht="15.95" customHeight="1" x14ac:dyDescent="0.2">
      <c r="B7" s="45"/>
      <c r="C7" s="28" t="s">
        <v>433</v>
      </c>
      <c r="D7" s="30">
        <v>1484.8</v>
      </c>
      <c r="E7" s="28" t="s">
        <v>387</v>
      </c>
      <c r="F7" s="31"/>
      <c r="G7" s="32" t="s">
        <v>187</v>
      </c>
      <c r="H7" s="28" t="s">
        <v>109</v>
      </c>
      <c r="I7" s="28" t="s">
        <v>659</v>
      </c>
      <c r="J7" s="27" t="s">
        <v>509</v>
      </c>
      <c r="K7" s="33">
        <f>자재단가!R5</f>
        <v>1821</v>
      </c>
      <c r="L7" s="48"/>
    </row>
    <row r="8" spans="2:14" ht="15.95" customHeight="1" x14ac:dyDescent="0.2">
      <c r="B8" s="45"/>
      <c r="C8" s="28" t="s">
        <v>128</v>
      </c>
      <c r="D8" s="30">
        <v>846.67</v>
      </c>
      <c r="E8" s="28" t="s">
        <v>387</v>
      </c>
      <c r="F8" s="31"/>
      <c r="G8" s="32" t="s">
        <v>411</v>
      </c>
      <c r="H8" s="28" t="s">
        <v>190</v>
      </c>
      <c r="I8" s="28" t="s">
        <v>659</v>
      </c>
      <c r="J8" s="27" t="s">
        <v>509</v>
      </c>
      <c r="K8" s="33">
        <f>자재단가!R17</f>
        <v>1826</v>
      </c>
      <c r="L8" s="48"/>
    </row>
    <row r="9" spans="2:14" ht="15.95" customHeight="1" x14ac:dyDescent="0.2">
      <c r="B9" s="45"/>
      <c r="C9" s="28" t="s">
        <v>106</v>
      </c>
      <c r="D9" s="30">
        <v>1741.97</v>
      </c>
      <c r="E9" s="28" t="s">
        <v>387</v>
      </c>
      <c r="F9" s="31"/>
      <c r="G9" s="29"/>
      <c r="H9" s="29"/>
      <c r="I9" s="29"/>
      <c r="J9" s="29"/>
      <c r="K9" s="29"/>
      <c r="L9" s="48"/>
    </row>
    <row r="10" spans="2:14" ht="15.95" customHeight="1" x14ac:dyDescent="0.2">
      <c r="B10" s="45"/>
      <c r="C10" s="28" t="s">
        <v>460</v>
      </c>
      <c r="D10" s="29"/>
      <c r="E10" s="28" t="s">
        <v>659</v>
      </c>
      <c r="F10" s="31"/>
      <c r="G10" s="29"/>
      <c r="H10" s="29"/>
      <c r="I10" s="29"/>
      <c r="J10" s="29"/>
      <c r="K10" s="29"/>
      <c r="L10" s="48"/>
    </row>
    <row r="11" spans="2:14" ht="15.95" customHeight="1" x14ac:dyDescent="0.2">
      <c r="B11" s="45"/>
      <c r="C11" s="28" t="s">
        <v>656</v>
      </c>
      <c r="D11" s="30">
        <v>2017.69</v>
      </c>
      <c r="E11" s="28" t="s">
        <v>387</v>
      </c>
      <c r="F11" s="31"/>
      <c r="G11" s="29"/>
      <c r="H11" s="29"/>
      <c r="I11" s="29"/>
      <c r="J11" s="29"/>
      <c r="K11" s="29"/>
      <c r="L11" s="48"/>
    </row>
    <row r="12" spans="2:14" ht="15.95" customHeight="1" x14ac:dyDescent="0.2">
      <c r="B12" s="45"/>
      <c r="C12" s="28" t="s">
        <v>659</v>
      </c>
      <c r="D12" s="29"/>
      <c r="E12" s="28" t="s">
        <v>659</v>
      </c>
      <c r="F12" s="31"/>
      <c r="G12" s="29"/>
      <c r="H12" s="29"/>
      <c r="I12" s="29"/>
      <c r="J12" s="29"/>
      <c r="K12" s="29"/>
      <c r="L12" s="48"/>
    </row>
    <row r="13" spans="2:14" ht="15.95" customHeight="1" x14ac:dyDescent="0.2">
      <c r="B13" s="45"/>
      <c r="C13" s="29"/>
      <c r="D13" s="29"/>
      <c r="E13" s="29"/>
      <c r="F13" s="31"/>
      <c r="G13" s="29"/>
      <c r="H13" s="29"/>
      <c r="I13" s="29"/>
      <c r="J13" s="29"/>
      <c r="K13" s="29"/>
      <c r="L13" s="48"/>
    </row>
    <row r="14" spans="2:14" ht="15.95" customHeight="1" x14ac:dyDescent="0.2">
      <c r="B14" s="45"/>
      <c r="C14" s="29"/>
      <c r="D14" s="29"/>
      <c r="E14" s="29"/>
      <c r="F14" s="31"/>
      <c r="G14" s="29"/>
      <c r="H14" s="29"/>
      <c r="I14" s="29"/>
      <c r="J14" s="29"/>
      <c r="K14" s="29"/>
      <c r="L14" s="48"/>
    </row>
    <row r="15" spans="2:14" ht="15.95" customHeight="1" x14ac:dyDescent="0.2">
      <c r="B15" s="45"/>
      <c r="C15" s="29"/>
      <c r="D15" s="29"/>
      <c r="E15" s="29"/>
      <c r="F15" s="31"/>
      <c r="G15" s="29"/>
      <c r="H15" s="29"/>
      <c r="I15" s="29"/>
      <c r="J15" s="29"/>
      <c r="K15" s="29"/>
      <c r="L15" s="48"/>
    </row>
    <row r="16" spans="2:14" ht="15.95" customHeight="1" x14ac:dyDescent="0.2">
      <c r="B16" s="45"/>
      <c r="C16" s="29"/>
      <c r="D16" s="29"/>
      <c r="E16" s="29"/>
      <c r="F16" s="31"/>
      <c r="G16" s="29"/>
      <c r="H16" s="29"/>
      <c r="I16" s="29"/>
      <c r="J16" s="29"/>
      <c r="K16" s="29"/>
      <c r="L16" s="48"/>
    </row>
    <row r="17" spans="2:12" ht="30" customHeight="1" x14ac:dyDescent="0.2">
      <c r="B17" s="45"/>
      <c r="C17" s="26"/>
      <c r="D17" s="26"/>
      <c r="E17" s="26"/>
      <c r="G17" s="26"/>
      <c r="H17" s="26"/>
      <c r="I17" s="26"/>
      <c r="J17" s="26"/>
      <c r="K17" s="26"/>
      <c r="L17" s="47"/>
    </row>
    <row r="18" spans="2:12" ht="16.5" x14ac:dyDescent="0.2">
      <c r="B18" s="45"/>
      <c r="C18" s="131" t="s">
        <v>135</v>
      </c>
      <c r="D18" s="131"/>
      <c r="E18" s="131"/>
      <c r="G18" s="131" t="s">
        <v>333</v>
      </c>
      <c r="H18" s="131"/>
      <c r="I18" s="131"/>
      <c r="L18" s="47"/>
    </row>
    <row r="19" spans="2:12" ht="7.5" customHeight="1" x14ac:dyDescent="0.2">
      <c r="B19" s="45"/>
      <c r="L19" s="47"/>
    </row>
    <row r="20" spans="2:12" ht="19.7" customHeight="1" x14ac:dyDescent="0.2">
      <c r="B20" s="45"/>
      <c r="C20" s="27" t="s">
        <v>168</v>
      </c>
      <c r="D20" s="27" t="s">
        <v>135</v>
      </c>
      <c r="E20" s="27" t="s">
        <v>410</v>
      </c>
      <c r="F20" s="31"/>
      <c r="G20" s="27"/>
      <c r="H20" s="36"/>
      <c r="I20" s="36"/>
      <c r="J20" s="36"/>
      <c r="K20" s="38"/>
      <c r="L20" s="47"/>
    </row>
    <row r="21" spans="2:12" ht="15.95" customHeight="1" x14ac:dyDescent="0.2">
      <c r="B21" s="45"/>
      <c r="C21" s="32" t="s">
        <v>187</v>
      </c>
      <c r="D21" s="28" t="s">
        <v>446</v>
      </c>
      <c r="E21" s="30">
        <f>1/8*16/12*25/20</f>
        <v>0.20833333333333331</v>
      </c>
      <c r="F21" s="31"/>
      <c r="G21" s="37"/>
      <c r="H21" s="35"/>
      <c r="I21" s="35"/>
      <c r="J21" s="35"/>
      <c r="K21" s="39"/>
      <c r="L21" s="47"/>
    </row>
    <row r="22" spans="2:12" ht="15.95" customHeight="1" x14ac:dyDescent="0.2">
      <c r="B22" s="45"/>
      <c r="C22" s="32" t="s">
        <v>617</v>
      </c>
      <c r="D22" s="28" t="s">
        <v>406</v>
      </c>
      <c r="E22" s="30">
        <f>1/8*16/12*25/20*24/15</f>
        <v>0.33333333333333331</v>
      </c>
      <c r="F22" s="31"/>
      <c r="G22" s="128" t="s">
        <v>556</v>
      </c>
      <c r="H22" s="129"/>
      <c r="I22" s="129"/>
      <c r="J22" s="129"/>
      <c r="K22" s="130"/>
      <c r="L22" s="47"/>
    </row>
    <row r="23" spans="2:12" ht="15.95" customHeight="1" x14ac:dyDescent="0.2">
      <c r="B23" s="45"/>
      <c r="C23" s="32" t="s">
        <v>258</v>
      </c>
      <c r="D23" s="28" t="s">
        <v>87</v>
      </c>
      <c r="E23" s="30">
        <f>1/8*16/12*25/20*12/10</f>
        <v>0.25</v>
      </c>
      <c r="F23" s="31"/>
      <c r="G23" s="37"/>
      <c r="H23" s="35"/>
      <c r="I23" s="35"/>
      <c r="J23" s="35"/>
      <c r="K23" s="39"/>
      <c r="L23" s="47"/>
    </row>
    <row r="24" spans="2:12" ht="15.95" customHeight="1" x14ac:dyDescent="0.2">
      <c r="B24" s="45"/>
      <c r="C24" s="32" t="s">
        <v>493</v>
      </c>
      <c r="D24" s="28" t="s">
        <v>520</v>
      </c>
      <c r="E24" s="30">
        <f>1/8*16/12*25/20*14/12</f>
        <v>0.24305555555555555</v>
      </c>
      <c r="F24" s="31"/>
      <c r="G24" s="128" t="s">
        <v>35</v>
      </c>
      <c r="H24" s="129"/>
      <c r="I24" s="129"/>
      <c r="J24" s="129"/>
      <c r="K24" s="130"/>
      <c r="L24" s="47"/>
    </row>
    <row r="25" spans="2:12" ht="15.95" customHeight="1" x14ac:dyDescent="0.2">
      <c r="B25" s="45"/>
      <c r="C25" s="32" t="s">
        <v>210</v>
      </c>
      <c r="D25" s="28" t="s">
        <v>255</v>
      </c>
      <c r="E25" s="34">
        <f>1/8*16/12*25/20*24/5</f>
        <v>1</v>
      </c>
      <c r="F25" s="31"/>
      <c r="G25" s="37"/>
      <c r="H25" s="35"/>
      <c r="I25" s="35"/>
      <c r="J25" s="35"/>
      <c r="K25" s="39"/>
      <c r="L25" s="47"/>
    </row>
    <row r="26" spans="2:12" ht="15.95" customHeight="1" x14ac:dyDescent="0.2">
      <c r="B26" s="45"/>
      <c r="C26" s="29"/>
      <c r="D26" s="29"/>
      <c r="E26" s="29"/>
      <c r="F26" s="31"/>
      <c r="G26" s="128" t="s">
        <v>183</v>
      </c>
      <c r="H26" s="129"/>
      <c r="I26" s="129"/>
      <c r="J26" s="129"/>
      <c r="K26" s="130"/>
      <c r="L26" s="47"/>
    </row>
    <row r="27" spans="2:12" ht="15.95" customHeight="1" x14ac:dyDescent="0.2">
      <c r="B27" s="45"/>
      <c r="C27" s="29"/>
      <c r="D27" s="29"/>
      <c r="E27" s="29"/>
      <c r="F27" s="31"/>
      <c r="G27" s="37"/>
      <c r="H27" s="35"/>
      <c r="I27" s="35"/>
      <c r="J27" s="35"/>
      <c r="K27" s="39"/>
      <c r="L27" s="47"/>
    </row>
    <row r="28" spans="2:12" ht="15.95" customHeight="1" x14ac:dyDescent="0.2">
      <c r="B28" s="45"/>
      <c r="C28" s="29"/>
      <c r="D28" s="29"/>
      <c r="E28" s="29"/>
      <c r="F28" s="31"/>
      <c r="G28" s="37"/>
      <c r="H28" s="35"/>
      <c r="I28" s="35"/>
      <c r="J28" s="35"/>
      <c r="K28" s="39"/>
      <c r="L28" s="47"/>
    </row>
    <row r="29" spans="2:12" ht="15.95" customHeight="1" x14ac:dyDescent="0.2">
      <c r="B29" s="45"/>
      <c r="C29" s="29"/>
      <c r="D29" s="29"/>
      <c r="E29" s="29"/>
      <c r="F29" s="31"/>
      <c r="G29" s="37"/>
      <c r="H29" s="35"/>
      <c r="I29" s="35"/>
      <c r="J29" s="35"/>
      <c r="K29" s="39"/>
      <c r="L29" s="47"/>
    </row>
    <row r="30" spans="2:12" ht="15.95" customHeight="1" x14ac:dyDescent="0.2">
      <c r="B30" s="45"/>
      <c r="C30" s="29"/>
      <c r="D30" s="29"/>
      <c r="E30" s="29"/>
      <c r="F30" s="31"/>
      <c r="G30" s="40"/>
      <c r="H30" s="41"/>
      <c r="I30" s="41"/>
      <c r="J30" s="41"/>
      <c r="K30" s="42"/>
      <c r="L30" s="47"/>
    </row>
    <row r="31" spans="2:12" ht="15" customHeight="1" x14ac:dyDescent="0.2">
      <c r="B31" s="49"/>
      <c r="C31" s="50"/>
      <c r="D31" s="50"/>
      <c r="E31" s="50"/>
      <c r="F31" s="51"/>
      <c r="G31" s="51"/>
      <c r="H31" s="51"/>
      <c r="I31" s="51"/>
      <c r="J31" s="51"/>
      <c r="K31" s="51"/>
      <c r="L31" s="52"/>
    </row>
  </sheetData>
  <mergeCells count="8">
    <mergeCell ref="G24:K24"/>
    <mergeCell ref="G26:K26"/>
    <mergeCell ref="B1:L2"/>
    <mergeCell ref="C4:E4"/>
    <mergeCell ref="G4:I4"/>
    <mergeCell ref="C18:E18"/>
    <mergeCell ref="G18:I18"/>
    <mergeCell ref="G22:K22"/>
  </mergeCells>
  <phoneticPr fontId="5" type="noConversion"/>
  <pageMargins left="0.98425196850393704" right="7.874015748031496E-2" top="0.6692913385826772" bottom="0.59055118110236215" header="0.5" footer="0.5"/>
  <pageSetup paperSize="9" orientation="landscape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C24"/>
  <sheetViews>
    <sheetView view="pageBreakPreview" zoomScale="118" zoomScaleNormal="100" zoomScaleSheetLayoutView="118" workbookViewId="0">
      <pane ySplit="4" topLeftCell="A5" activePane="bottomLeft" state="frozen"/>
      <selection pane="bottomLeft" activeCell="D5" sqref="D5:S5"/>
    </sheetView>
  </sheetViews>
  <sheetFormatPr defaultRowHeight="12.75" x14ac:dyDescent="0.2"/>
  <cols>
    <col min="1" max="1" width="0.7109375" customWidth="1"/>
    <col min="2" max="2" width="4" customWidth="1"/>
    <col min="3" max="3" width="21.140625" customWidth="1"/>
    <col min="4" max="4" width="18.7109375" customWidth="1"/>
    <col min="5" max="5" width="4.7109375" customWidth="1"/>
    <col min="6" max="6" width="8.140625" customWidth="1"/>
    <col min="7" max="7" width="7.85546875" customWidth="1"/>
    <col min="8" max="8" width="8.42578125" customWidth="1"/>
    <col min="9" max="11" width="7" customWidth="1"/>
    <col min="12" max="12" width="8.140625" customWidth="1"/>
    <col min="13" max="15" width="7" customWidth="1"/>
    <col min="16" max="16" width="8" customWidth="1"/>
    <col min="17" max="17" width="7" customWidth="1"/>
    <col min="18" max="18" width="8.42578125" customWidth="1"/>
    <col min="19" max="19" width="7.7109375" customWidth="1"/>
    <col min="26" max="26" width="9.85546875" bestFit="1" customWidth="1"/>
  </cols>
  <sheetData>
    <row r="1" spans="2:29" ht="24.95" customHeight="1" x14ac:dyDescent="0.2">
      <c r="B1" s="110" t="s">
        <v>224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2:29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2:29" ht="15.4" customHeight="1" x14ac:dyDescent="0.2">
      <c r="B3" s="116" t="s">
        <v>168</v>
      </c>
      <c r="C3" s="118" t="s">
        <v>630</v>
      </c>
      <c r="D3" s="118" t="s">
        <v>501</v>
      </c>
      <c r="E3" s="118" t="s">
        <v>244</v>
      </c>
      <c r="F3" s="112" t="s">
        <v>300</v>
      </c>
      <c r="G3" s="113"/>
      <c r="H3" s="112" t="s">
        <v>624</v>
      </c>
      <c r="I3" s="113"/>
      <c r="J3" s="112" t="s">
        <v>473</v>
      </c>
      <c r="K3" s="113"/>
      <c r="L3" s="112" t="s">
        <v>89</v>
      </c>
      <c r="M3" s="113"/>
      <c r="N3" s="112" t="s">
        <v>212</v>
      </c>
      <c r="O3" s="113"/>
      <c r="P3" s="112" t="s">
        <v>179</v>
      </c>
      <c r="Q3" s="113"/>
      <c r="R3" s="118" t="s">
        <v>528</v>
      </c>
      <c r="S3" s="114" t="s">
        <v>121</v>
      </c>
      <c r="Z3" t="s">
        <v>408</v>
      </c>
      <c r="AA3" t="s">
        <v>453</v>
      </c>
      <c r="AB3" t="s">
        <v>648</v>
      </c>
      <c r="AC3" t="s">
        <v>427</v>
      </c>
    </row>
    <row r="4" spans="2:29" ht="19.7" customHeight="1" x14ac:dyDescent="0.2">
      <c r="B4" s="117"/>
      <c r="C4" s="119"/>
      <c r="D4" s="119"/>
      <c r="E4" s="119"/>
      <c r="F4" s="10" t="s">
        <v>2</v>
      </c>
      <c r="G4" s="9" t="s">
        <v>559</v>
      </c>
      <c r="H4" s="10" t="s">
        <v>2</v>
      </c>
      <c r="I4" s="9" t="s">
        <v>559</v>
      </c>
      <c r="J4" s="10" t="s">
        <v>2</v>
      </c>
      <c r="K4" s="9" t="s">
        <v>559</v>
      </c>
      <c r="L4" s="10" t="s">
        <v>2</v>
      </c>
      <c r="M4" s="9" t="s">
        <v>559</v>
      </c>
      <c r="N4" s="10" t="s">
        <v>2</v>
      </c>
      <c r="O4" s="9" t="s">
        <v>559</v>
      </c>
      <c r="P4" s="10" t="s">
        <v>2</v>
      </c>
      <c r="Q4" s="9" t="s">
        <v>559</v>
      </c>
      <c r="R4" s="119"/>
      <c r="S4" s="115"/>
    </row>
    <row r="5" spans="2:29" ht="19.7" customHeight="1" x14ac:dyDescent="0.2">
      <c r="B5" s="15" t="s">
        <v>187</v>
      </c>
      <c r="C5" s="16" t="s">
        <v>109</v>
      </c>
      <c r="D5" s="99" t="s">
        <v>659</v>
      </c>
      <c r="E5" s="100" t="s">
        <v>509</v>
      </c>
      <c r="F5" s="101">
        <v>1821</v>
      </c>
      <c r="G5" s="109" t="s">
        <v>312</v>
      </c>
      <c r="H5" s="101"/>
      <c r="I5" s="109" t="s">
        <v>659</v>
      </c>
      <c r="J5" s="101"/>
      <c r="K5" s="109" t="s">
        <v>659</v>
      </c>
      <c r="L5" s="101"/>
      <c r="M5" s="109" t="s">
        <v>659</v>
      </c>
      <c r="N5" s="101"/>
      <c r="O5" s="109" t="s">
        <v>659</v>
      </c>
      <c r="P5" s="101"/>
      <c r="Q5" s="109" t="s">
        <v>659</v>
      </c>
      <c r="R5" s="102">
        <f t="shared" ref="R5:R23" si="0">MIN(F5,H5,J5,L5,N5,P5)</f>
        <v>1821</v>
      </c>
      <c r="S5" s="103" t="s">
        <v>33</v>
      </c>
      <c r="Z5" s="14">
        <v>1821</v>
      </c>
    </row>
    <row r="6" spans="2:29" ht="19.7" customHeight="1" x14ac:dyDescent="0.2">
      <c r="B6" s="15" t="s">
        <v>617</v>
      </c>
      <c r="C6" s="16" t="s">
        <v>354</v>
      </c>
      <c r="D6" s="99" t="s">
        <v>88</v>
      </c>
      <c r="E6" s="100" t="s">
        <v>471</v>
      </c>
      <c r="F6" s="101"/>
      <c r="G6" s="99" t="s">
        <v>659</v>
      </c>
      <c r="H6" s="101">
        <v>26500</v>
      </c>
      <c r="I6" s="99" t="s">
        <v>362</v>
      </c>
      <c r="J6" s="101">
        <v>33330</v>
      </c>
      <c r="K6" s="99" t="s">
        <v>608</v>
      </c>
      <c r="L6" s="101">
        <v>33000</v>
      </c>
      <c r="M6" s="99" t="s">
        <v>292</v>
      </c>
      <c r="N6" s="101">
        <v>29000</v>
      </c>
      <c r="O6" s="99" t="s">
        <v>407</v>
      </c>
      <c r="P6" s="101"/>
      <c r="Q6" s="99" t="s">
        <v>659</v>
      </c>
      <c r="R6" s="102">
        <f t="shared" si="0"/>
        <v>26500</v>
      </c>
      <c r="S6" s="103" t="s">
        <v>624</v>
      </c>
      <c r="Z6" s="14">
        <v>26500</v>
      </c>
    </row>
    <row r="7" spans="2:29" ht="19.7" customHeight="1" x14ac:dyDescent="0.2">
      <c r="B7" s="15" t="s">
        <v>258</v>
      </c>
      <c r="C7" s="16" t="s">
        <v>65</v>
      </c>
      <c r="D7" s="99" t="s">
        <v>499</v>
      </c>
      <c r="E7" s="100" t="s">
        <v>464</v>
      </c>
      <c r="F7" s="101"/>
      <c r="G7" s="99" t="s">
        <v>659</v>
      </c>
      <c r="H7" s="101">
        <v>3864</v>
      </c>
      <c r="I7" s="99" t="s">
        <v>145</v>
      </c>
      <c r="J7" s="101">
        <v>3864</v>
      </c>
      <c r="K7" s="99" t="s">
        <v>608</v>
      </c>
      <c r="L7" s="101"/>
      <c r="M7" s="99" t="s">
        <v>659</v>
      </c>
      <c r="N7" s="101"/>
      <c r="O7" s="99" t="s">
        <v>659</v>
      </c>
      <c r="P7" s="101"/>
      <c r="Q7" s="99" t="s">
        <v>659</v>
      </c>
      <c r="R7" s="102">
        <f t="shared" si="0"/>
        <v>3864</v>
      </c>
      <c r="S7" s="103" t="s">
        <v>624</v>
      </c>
      <c r="Z7" s="14">
        <v>3864</v>
      </c>
    </row>
    <row r="8" spans="2:29" ht="19.7" customHeight="1" x14ac:dyDescent="0.2">
      <c r="B8" s="15" t="s">
        <v>493</v>
      </c>
      <c r="C8" s="16" t="s">
        <v>601</v>
      </c>
      <c r="D8" s="99" t="s">
        <v>658</v>
      </c>
      <c r="E8" s="100" t="s">
        <v>464</v>
      </c>
      <c r="F8" s="101"/>
      <c r="G8" s="99" t="s">
        <v>659</v>
      </c>
      <c r="H8" s="101">
        <v>1197</v>
      </c>
      <c r="I8" s="99" t="s">
        <v>657</v>
      </c>
      <c r="J8" s="101">
        <v>1257</v>
      </c>
      <c r="K8" s="99" t="s">
        <v>388</v>
      </c>
      <c r="L8" s="101">
        <v>1234</v>
      </c>
      <c r="M8" s="99" t="s">
        <v>534</v>
      </c>
      <c r="N8" s="101"/>
      <c r="O8" s="99" t="s">
        <v>659</v>
      </c>
      <c r="P8" s="101"/>
      <c r="Q8" s="99" t="s">
        <v>659</v>
      </c>
      <c r="R8" s="102">
        <f t="shared" si="0"/>
        <v>1197</v>
      </c>
      <c r="S8" s="103" t="s">
        <v>624</v>
      </c>
      <c r="Z8" s="14">
        <v>1197</v>
      </c>
    </row>
    <row r="9" spans="2:29" ht="19.7" customHeight="1" x14ac:dyDescent="0.2">
      <c r="B9" s="15" t="s">
        <v>210</v>
      </c>
      <c r="C9" s="16" t="s">
        <v>570</v>
      </c>
      <c r="D9" s="99" t="s">
        <v>659</v>
      </c>
      <c r="E9" s="100" t="s">
        <v>452</v>
      </c>
      <c r="F9" s="101"/>
      <c r="G9" s="99" t="s">
        <v>659</v>
      </c>
      <c r="H9" s="101"/>
      <c r="I9" s="99" t="s">
        <v>659</v>
      </c>
      <c r="J9" s="101"/>
      <c r="K9" s="99" t="s">
        <v>659</v>
      </c>
      <c r="L9" s="101"/>
      <c r="M9" s="99" t="s">
        <v>659</v>
      </c>
      <c r="N9" s="101"/>
      <c r="O9" s="99" t="s">
        <v>659</v>
      </c>
      <c r="P9" s="101">
        <v>16000</v>
      </c>
      <c r="Q9" s="99" t="s">
        <v>659</v>
      </c>
      <c r="R9" s="102">
        <f t="shared" si="0"/>
        <v>16000</v>
      </c>
      <c r="S9" s="103" t="s">
        <v>179</v>
      </c>
      <c r="Z9" s="14">
        <v>16000</v>
      </c>
    </row>
    <row r="10" spans="2:29" ht="19.7" customHeight="1" x14ac:dyDescent="0.2">
      <c r="B10" s="15" t="s">
        <v>596</v>
      </c>
      <c r="C10" s="16" t="s">
        <v>172</v>
      </c>
      <c r="D10" s="99" t="s">
        <v>486</v>
      </c>
      <c r="E10" s="100" t="s">
        <v>441</v>
      </c>
      <c r="F10" s="101"/>
      <c r="G10" s="99" t="s">
        <v>659</v>
      </c>
      <c r="H10" s="101">
        <v>945000</v>
      </c>
      <c r="I10" s="99" t="s">
        <v>29</v>
      </c>
      <c r="J10" s="101">
        <v>870000</v>
      </c>
      <c r="K10" s="99" t="s">
        <v>230</v>
      </c>
      <c r="L10" s="101">
        <v>936000</v>
      </c>
      <c r="M10" s="99" t="s">
        <v>29</v>
      </c>
      <c r="N10" s="101">
        <v>890000</v>
      </c>
      <c r="O10" s="99" t="s">
        <v>248</v>
      </c>
      <c r="P10" s="101"/>
      <c r="Q10" s="99" t="s">
        <v>659</v>
      </c>
      <c r="R10" s="102">
        <f t="shared" si="0"/>
        <v>870000</v>
      </c>
      <c r="S10" s="103" t="s">
        <v>206</v>
      </c>
      <c r="Z10" s="14">
        <v>870000</v>
      </c>
    </row>
    <row r="11" spans="2:29" ht="19.7" customHeight="1" x14ac:dyDescent="0.2">
      <c r="B11" s="15" t="s">
        <v>316</v>
      </c>
      <c r="C11" s="16" t="s">
        <v>635</v>
      </c>
      <c r="D11" s="99" t="s">
        <v>659</v>
      </c>
      <c r="E11" s="100" t="s">
        <v>294</v>
      </c>
      <c r="F11" s="101"/>
      <c r="G11" s="99" t="s">
        <v>659</v>
      </c>
      <c r="H11" s="101"/>
      <c r="I11" s="99" t="s">
        <v>659</v>
      </c>
      <c r="J11" s="101"/>
      <c r="K11" s="99" t="s">
        <v>659</v>
      </c>
      <c r="L11" s="101"/>
      <c r="M11" s="99" t="s">
        <v>659</v>
      </c>
      <c r="N11" s="101"/>
      <c r="O11" s="99" t="s">
        <v>659</v>
      </c>
      <c r="P11" s="101">
        <v>2000000</v>
      </c>
      <c r="Q11" s="99" t="s">
        <v>659</v>
      </c>
      <c r="R11" s="102">
        <f t="shared" si="0"/>
        <v>2000000</v>
      </c>
      <c r="S11" s="103" t="s">
        <v>179</v>
      </c>
      <c r="Z11" s="14">
        <v>2000000</v>
      </c>
    </row>
    <row r="12" spans="2:29" ht="19.7" customHeight="1" x14ac:dyDescent="0.2">
      <c r="B12" s="15" t="s">
        <v>598</v>
      </c>
      <c r="C12" s="16" t="s">
        <v>38</v>
      </c>
      <c r="D12" s="99" t="s">
        <v>659</v>
      </c>
      <c r="E12" s="100" t="s">
        <v>514</v>
      </c>
      <c r="F12" s="101"/>
      <c r="G12" s="99" t="s">
        <v>659</v>
      </c>
      <c r="H12" s="101"/>
      <c r="I12" s="99" t="s">
        <v>659</v>
      </c>
      <c r="J12" s="101"/>
      <c r="K12" s="99" t="s">
        <v>659</v>
      </c>
      <c r="L12" s="101"/>
      <c r="M12" s="99" t="s">
        <v>659</v>
      </c>
      <c r="N12" s="101"/>
      <c r="O12" s="99" t="s">
        <v>659</v>
      </c>
      <c r="P12" s="101">
        <v>1000000</v>
      </c>
      <c r="Q12" s="99" t="s">
        <v>659</v>
      </c>
      <c r="R12" s="102">
        <f t="shared" si="0"/>
        <v>1000000</v>
      </c>
      <c r="S12" s="103" t="s">
        <v>179</v>
      </c>
      <c r="Z12" s="14">
        <v>1000000</v>
      </c>
    </row>
    <row r="13" spans="2:29" ht="19.7" customHeight="1" x14ac:dyDescent="0.2">
      <c r="B13" s="15" t="s">
        <v>311</v>
      </c>
      <c r="C13" s="16" t="s">
        <v>14</v>
      </c>
      <c r="D13" s="99" t="s">
        <v>376</v>
      </c>
      <c r="E13" s="100" t="s">
        <v>247</v>
      </c>
      <c r="F13" s="101"/>
      <c r="G13" s="99" t="s">
        <v>659</v>
      </c>
      <c r="H13" s="101">
        <v>4290</v>
      </c>
      <c r="I13" s="99" t="s">
        <v>565</v>
      </c>
      <c r="J13" s="101">
        <v>6425</v>
      </c>
      <c r="K13" s="99" t="s">
        <v>257</v>
      </c>
      <c r="L13" s="101">
        <v>4927</v>
      </c>
      <c r="M13" s="99" t="s">
        <v>241</v>
      </c>
      <c r="N13" s="101">
        <v>4880</v>
      </c>
      <c r="O13" s="99" t="s">
        <v>92</v>
      </c>
      <c r="P13" s="101"/>
      <c r="Q13" s="99" t="s">
        <v>659</v>
      </c>
      <c r="R13" s="102">
        <f t="shared" si="0"/>
        <v>4290</v>
      </c>
      <c r="S13" s="103" t="s">
        <v>624</v>
      </c>
      <c r="Z13" s="14">
        <v>4290</v>
      </c>
    </row>
    <row r="14" spans="2:29" ht="19.7" customHeight="1" x14ac:dyDescent="0.2">
      <c r="B14" s="15" t="s">
        <v>81</v>
      </c>
      <c r="C14" s="16" t="s">
        <v>588</v>
      </c>
      <c r="D14" s="99" t="s">
        <v>470</v>
      </c>
      <c r="E14" s="100" t="s">
        <v>399</v>
      </c>
      <c r="F14" s="101"/>
      <c r="G14" s="99" t="s">
        <v>659</v>
      </c>
      <c r="H14" s="101"/>
      <c r="I14" s="99" t="s">
        <v>659</v>
      </c>
      <c r="J14" s="101"/>
      <c r="K14" s="99" t="s">
        <v>659</v>
      </c>
      <c r="L14" s="101">
        <v>49200</v>
      </c>
      <c r="M14" s="99" t="s">
        <v>174</v>
      </c>
      <c r="N14" s="101"/>
      <c r="O14" s="99" t="s">
        <v>659</v>
      </c>
      <c r="P14" s="101"/>
      <c r="Q14" s="99" t="s">
        <v>659</v>
      </c>
      <c r="R14" s="102">
        <f t="shared" si="0"/>
        <v>49200</v>
      </c>
      <c r="S14" s="103" t="s">
        <v>89</v>
      </c>
      <c r="Z14" s="14">
        <v>49200</v>
      </c>
    </row>
    <row r="15" spans="2:29" ht="19.7" customHeight="1" x14ac:dyDescent="0.2">
      <c r="B15" s="15" t="s">
        <v>337</v>
      </c>
      <c r="C15" s="16" t="s">
        <v>157</v>
      </c>
      <c r="D15" s="99" t="s">
        <v>171</v>
      </c>
      <c r="E15" s="100" t="s">
        <v>140</v>
      </c>
      <c r="F15" s="101"/>
      <c r="G15" s="99" t="s">
        <v>659</v>
      </c>
      <c r="H15" s="101"/>
      <c r="I15" s="99" t="s">
        <v>659</v>
      </c>
      <c r="J15" s="101"/>
      <c r="K15" s="99" t="s">
        <v>659</v>
      </c>
      <c r="L15" s="101">
        <v>700000</v>
      </c>
      <c r="M15" s="99" t="s">
        <v>343</v>
      </c>
      <c r="N15" s="101"/>
      <c r="O15" s="99" t="s">
        <v>659</v>
      </c>
      <c r="P15" s="101"/>
      <c r="Q15" s="99" t="s">
        <v>659</v>
      </c>
      <c r="R15" s="102">
        <f t="shared" si="0"/>
        <v>700000</v>
      </c>
      <c r="S15" s="103" t="s">
        <v>89</v>
      </c>
      <c r="Z15" s="14">
        <v>700000</v>
      </c>
    </row>
    <row r="16" spans="2:29" ht="19.7" customHeight="1" x14ac:dyDescent="0.2">
      <c r="B16" s="15" t="s">
        <v>136</v>
      </c>
      <c r="C16" s="16" t="s">
        <v>597</v>
      </c>
      <c r="D16" s="99" t="s">
        <v>622</v>
      </c>
      <c r="E16" s="100" t="s">
        <v>441</v>
      </c>
      <c r="F16" s="101"/>
      <c r="G16" s="99" t="s">
        <v>659</v>
      </c>
      <c r="H16" s="101">
        <v>5352</v>
      </c>
      <c r="I16" s="99" t="s">
        <v>280</v>
      </c>
      <c r="J16" s="101"/>
      <c r="K16" s="99" t="s">
        <v>659</v>
      </c>
      <c r="L16" s="101"/>
      <c r="M16" s="99" t="s">
        <v>659</v>
      </c>
      <c r="N16" s="101"/>
      <c r="O16" s="99" t="s">
        <v>659</v>
      </c>
      <c r="P16" s="101"/>
      <c r="Q16" s="99" t="s">
        <v>659</v>
      </c>
      <c r="R16" s="102">
        <f t="shared" si="0"/>
        <v>5352</v>
      </c>
      <c r="S16" s="103" t="s">
        <v>421</v>
      </c>
      <c r="Z16" s="14">
        <v>5352</v>
      </c>
    </row>
    <row r="17" spans="2:26" ht="19.7" customHeight="1" x14ac:dyDescent="0.2">
      <c r="B17" s="15" t="s">
        <v>411</v>
      </c>
      <c r="C17" s="16" t="s">
        <v>190</v>
      </c>
      <c r="D17" s="99" t="s">
        <v>659</v>
      </c>
      <c r="E17" s="100" t="s">
        <v>509</v>
      </c>
      <c r="F17" s="101">
        <v>1826</v>
      </c>
      <c r="G17" s="99" t="s">
        <v>312</v>
      </c>
      <c r="H17" s="101"/>
      <c r="I17" s="99" t="s">
        <v>659</v>
      </c>
      <c r="J17" s="101"/>
      <c r="K17" s="99" t="s">
        <v>659</v>
      </c>
      <c r="L17" s="101"/>
      <c r="M17" s="99" t="s">
        <v>659</v>
      </c>
      <c r="N17" s="101"/>
      <c r="O17" s="99" t="s">
        <v>659</v>
      </c>
      <c r="P17" s="101"/>
      <c r="Q17" s="99" t="s">
        <v>659</v>
      </c>
      <c r="R17" s="102">
        <f t="shared" si="0"/>
        <v>1826</v>
      </c>
      <c r="S17" s="103" t="s">
        <v>33</v>
      </c>
      <c r="Z17" s="14">
        <v>1826</v>
      </c>
    </row>
    <row r="18" spans="2:26" ht="19.7" customHeight="1" x14ac:dyDescent="0.2">
      <c r="B18" s="15" t="s">
        <v>23</v>
      </c>
      <c r="C18" s="16" t="s">
        <v>192</v>
      </c>
      <c r="D18" s="99" t="s">
        <v>562</v>
      </c>
      <c r="E18" s="100" t="s">
        <v>47</v>
      </c>
      <c r="F18" s="101"/>
      <c r="G18" s="99" t="s">
        <v>659</v>
      </c>
      <c r="H18" s="101">
        <v>73810</v>
      </c>
      <c r="I18" s="99" t="s">
        <v>639</v>
      </c>
      <c r="J18" s="101">
        <v>96070</v>
      </c>
      <c r="K18" s="99" t="s">
        <v>101</v>
      </c>
      <c r="L18" s="101">
        <v>78900</v>
      </c>
      <c r="M18" s="99" t="s">
        <v>41</v>
      </c>
      <c r="N18" s="101">
        <v>65700</v>
      </c>
      <c r="O18" s="99" t="s">
        <v>557</v>
      </c>
      <c r="P18" s="101"/>
      <c r="Q18" s="99" t="s">
        <v>659</v>
      </c>
      <c r="R18" s="102">
        <f t="shared" si="0"/>
        <v>65700</v>
      </c>
      <c r="S18" s="103" t="s">
        <v>212</v>
      </c>
      <c r="Z18" s="14">
        <v>65700</v>
      </c>
    </row>
    <row r="19" spans="2:26" ht="19.7" customHeight="1" x14ac:dyDescent="0.2">
      <c r="B19" s="15" t="s">
        <v>361</v>
      </c>
      <c r="C19" s="16" t="s">
        <v>86</v>
      </c>
      <c r="D19" s="99" t="s">
        <v>199</v>
      </c>
      <c r="E19" s="100" t="s">
        <v>452</v>
      </c>
      <c r="F19" s="101">
        <v>91170</v>
      </c>
      <c r="G19" s="99" t="s">
        <v>659</v>
      </c>
      <c r="H19" s="101"/>
      <c r="I19" s="99" t="s">
        <v>659</v>
      </c>
      <c r="J19" s="101"/>
      <c r="K19" s="99" t="s">
        <v>659</v>
      </c>
      <c r="L19" s="101"/>
      <c r="M19" s="99" t="s">
        <v>659</v>
      </c>
      <c r="N19" s="101"/>
      <c r="O19" s="99" t="s">
        <v>659</v>
      </c>
      <c r="P19" s="101"/>
      <c r="Q19" s="99" t="s">
        <v>659</v>
      </c>
      <c r="R19" s="102">
        <f t="shared" si="0"/>
        <v>91170</v>
      </c>
      <c r="S19" s="103" t="s">
        <v>300</v>
      </c>
      <c r="Z19" s="14">
        <v>91170</v>
      </c>
    </row>
    <row r="20" spans="2:26" ht="19.7" customHeight="1" x14ac:dyDescent="0.2">
      <c r="B20" s="15" t="s">
        <v>114</v>
      </c>
      <c r="C20" s="16" t="s">
        <v>17</v>
      </c>
      <c r="D20" s="99" t="s">
        <v>284</v>
      </c>
      <c r="E20" s="100" t="s">
        <v>178</v>
      </c>
      <c r="F20" s="101">
        <v>28620</v>
      </c>
      <c r="G20" s="99" t="s">
        <v>659</v>
      </c>
      <c r="H20" s="101"/>
      <c r="I20" s="99" t="s">
        <v>659</v>
      </c>
      <c r="J20" s="101"/>
      <c r="K20" s="99" t="s">
        <v>659</v>
      </c>
      <c r="L20" s="101"/>
      <c r="M20" s="99" t="s">
        <v>659</v>
      </c>
      <c r="N20" s="101"/>
      <c r="O20" s="99" t="s">
        <v>659</v>
      </c>
      <c r="P20" s="101"/>
      <c r="Q20" s="99" t="s">
        <v>659</v>
      </c>
      <c r="R20" s="102">
        <f t="shared" si="0"/>
        <v>28620</v>
      </c>
      <c r="S20" s="103" t="s">
        <v>300</v>
      </c>
      <c r="Z20" s="14">
        <v>27500</v>
      </c>
    </row>
    <row r="21" spans="2:26" ht="19.7" customHeight="1" x14ac:dyDescent="0.2">
      <c r="B21" s="15" t="s">
        <v>461</v>
      </c>
      <c r="C21" s="16" t="s">
        <v>160</v>
      </c>
      <c r="D21" s="99" t="s">
        <v>209</v>
      </c>
      <c r="E21" s="100" t="s">
        <v>178</v>
      </c>
      <c r="F21" s="101">
        <v>1900000</v>
      </c>
      <c r="G21" s="99" t="s">
        <v>659</v>
      </c>
      <c r="H21" s="101"/>
      <c r="I21" s="99" t="s">
        <v>659</v>
      </c>
      <c r="J21" s="101"/>
      <c r="K21" s="99" t="s">
        <v>659</v>
      </c>
      <c r="L21" s="101"/>
      <c r="M21" s="99" t="s">
        <v>659</v>
      </c>
      <c r="N21" s="101"/>
      <c r="O21" s="99" t="s">
        <v>659</v>
      </c>
      <c r="P21" s="101"/>
      <c r="Q21" s="99" t="s">
        <v>659</v>
      </c>
      <c r="R21" s="102">
        <f t="shared" si="0"/>
        <v>1900000</v>
      </c>
      <c r="S21" s="103" t="s">
        <v>300</v>
      </c>
      <c r="Z21" s="14">
        <v>1900000</v>
      </c>
    </row>
    <row r="22" spans="2:26" ht="19.7" customHeight="1" x14ac:dyDescent="0.2">
      <c r="B22" s="15" t="s">
        <v>118</v>
      </c>
      <c r="C22" s="16" t="s">
        <v>485</v>
      </c>
      <c r="D22" s="99" t="s">
        <v>616</v>
      </c>
      <c r="E22" s="100" t="s">
        <v>452</v>
      </c>
      <c r="F22" s="101"/>
      <c r="G22" s="99" t="s">
        <v>659</v>
      </c>
      <c r="H22" s="101"/>
      <c r="I22" s="99" t="s">
        <v>659</v>
      </c>
      <c r="J22" s="101">
        <v>65000</v>
      </c>
      <c r="K22" s="99" t="s">
        <v>449</v>
      </c>
      <c r="L22" s="101">
        <v>65000</v>
      </c>
      <c r="M22" s="99" t="s">
        <v>189</v>
      </c>
      <c r="N22" s="101"/>
      <c r="O22" s="99" t="s">
        <v>659</v>
      </c>
      <c r="P22" s="101"/>
      <c r="Q22" s="99" t="s">
        <v>659</v>
      </c>
      <c r="R22" s="102">
        <f t="shared" si="0"/>
        <v>65000</v>
      </c>
      <c r="S22" s="103" t="s">
        <v>473</v>
      </c>
      <c r="Z22" s="14">
        <v>65000</v>
      </c>
    </row>
    <row r="23" spans="2:26" x14ac:dyDescent="0.2">
      <c r="B23" s="20" t="s">
        <v>451</v>
      </c>
      <c r="C23" s="21" t="s">
        <v>490</v>
      </c>
      <c r="D23" s="104" t="s">
        <v>301</v>
      </c>
      <c r="E23" s="105" t="s">
        <v>464</v>
      </c>
      <c r="F23" s="106"/>
      <c r="G23" s="104" t="s">
        <v>659</v>
      </c>
      <c r="H23" s="106"/>
      <c r="I23" s="104" t="s">
        <v>659</v>
      </c>
      <c r="J23" s="106">
        <v>4777</v>
      </c>
      <c r="K23" s="104" t="s">
        <v>450</v>
      </c>
      <c r="L23" s="106">
        <v>4777</v>
      </c>
      <c r="M23" s="104" t="s">
        <v>569</v>
      </c>
      <c r="N23" s="106"/>
      <c r="O23" s="104" t="s">
        <v>659</v>
      </c>
      <c r="P23" s="106"/>
      <c r="Q23" s="104" t="s">
        <v>659</v>
      </c>
      <c r="R23" s="107">
        <f t="shared" si="0"/>
        <v>4777</v>
      </c>
      <c r="S23" s="108" t="s">
        <v>321</v>
      </c>
      <c r="Z23" s="14">
        <v>4777</v>
      </c>
    </row>
    <row r="24" spans="2:26" x14ac:dyDescent="0.2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</sheetData>
  <mergeCells count="13">
    <mergeCell ref="B1:S2"/>
    <mergeCell ref="J3:K3"/>
    <mergeCell ref="L3:M3"/>
    <mergeCell ref="N3:O3"/>
    <mergeCell ref="P3:Q3"/>
    <mergeCell ref="R3:R4"/>
    <mergeCell ref="S3:S4"/>
    <mergeCell ref="B3:B4"/>
    <mergeCell ref="C3:C4"/>
    <mergeCell ref="D3:D4"/>
    <mergeCell ref="E3:E4"/>
    <mergeCell ref="F3:G3"/>
    <mergeCell ref="H3:I3"/>
  </mergeCells>
  <phoneticPr fontId="5" type="noConversion"/>
  <pageMargins left="0.98425196850393704" right="7.874015748031496E-2" top="0.6692913385826772" bottom="0.59055118110236215" header="0.5" footer="0.5"/>
  <pageSetup paperSize="9" scale="8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C14"/>
  <sheetViews>
    <sheetView view="pageBreakPreview" zoomScale="60" zoomScaleNormal="100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8.85546875" customWidth="1"/>
    <col min="3" max="3" width="39.5703125" customWidth="1"/>
    <col min="4" max="4" width="32.28515625" customWidth="1"/>
    <col min="5" max="5" width="8.85546875" customWidth="1"/>
    <col min="6" max="6" width="16.7109375" customWidth="1"/>
    <col min="7" max="7" width="26.42578125" customWidth="1"/>
    <col min="8" max="8" width="20.85546875" customWidth="1"/>
  </cols>
  <sheetData>
    <row r="1" spans="2:29" ht="24.95" customHeight="1" x14ac:dyDescent="0.2">
      <c r="B1" s="110" t="s">
        <v>500</v>
      </c>
      <c r="C1" s="110"/>
      <c r="D1" s="110"/>
      <c r="E1" s="110"/>
      <c r="F1" s="110"/>
      <c r="G1" s="110"/>
      <c r="H1" s="110"/>
    </row>
    <row r="2" spans="2:29" ht="9.9499999999999993" customHeight="1" x14ac:dyDescent="0.2">
      <c r="B2" s="111"/>
      <c r="C2" s="111"/>
      <c r="D2" s="111"/>
      <c r="E2" s="111"/>
      <c r="F2" s="111"/>
      <c r="G2" s="111"/>
      <c r="H2" s="111"/>
    </row>
    <row r="3" spans="2:29" ht="30.75" customHeight="1" x14ac:dyDescent="0.2">
      <c r="B3" s="1" t="s">
        <v>168</v>
      </c>
      <c r="C3" s="2" t="s">
        <v>630</v>
      </c>
      <c r="D3" s="2" t="s">
        <v>501</v>
      </c>
      <c r="E3" s="2" t="s">
        <v>244</v>
      </c>
      <c r="F3" s="2" t="s">
        <v>528</v>
      </c>
      <c r="G3" s="2" t="s">
        <v>121</v>
      </c>
      <c r="H3" s="3" t="s">
        <v>211</v>
      </c>
      <c r="Z3" t="s">
        <v>408</v>
      </c>
      <c r="AA3" t="s">
        <v>453</v>
      </c>
      <c r="AB3" t="s">
        <v>648</v>
      </c>
      <c r="AC3" t="s">
        <v>427</v>
      </c>
    </row>
    <row r="4" spans="2:29" ht="19.7" customHeight="1" x14ac:dyDescent="0.2">
      <c r="B4" s="15" t="s">
        <v>187</v>
      </c>
      <c r="C4" s="16" t="s">
        <v>43</v>
      </c>
      <c r="D4" s="16" t="s">
        <v>659</v>
      </c>
      <c r="E4" s="17" t="s">
        <v>602</v>
      </c>
      <c r="F4" s="18">
        <v>172068</v>
      </c>
      <c r="G4" s="16" t="s">
        <v>593</v>
      </c>
      <c r="H4" s="19" t="s">
        <v>580</v>
      </c>
      <c r="Z4" s="14">
        <v>172068</v>
      </c>
    </row>
    <row r="5" spans="2:29" ht="19.7" customHeight="1" x14ac:dyDescent="0.2">
      <c r="B5" s="15" t="s">
        <v>617</v>
      </c>
      <c r="C5" s="16" t="s">
        <v>154</v>
      </c>
      <c r="D5" s="16" t="s">
        <v>659</v>
      </c>
      <c r="E5" s="17" t="s">
        <v>602</v>
      </c>
      <c r="F5" s="18">
        <v>283297</v>
      </c>
      <c r="G5" s="16" t="s">
        <v>593</v>
      </c>
      <c r="H5" s="19" t="s">
        <v>580</v>
      </c>
      <c r="Z5" s="14">
        <v>283297</v>
      </c>
    </row>
    <row r="6" spans="2:29" ht="19.7" customHeight="1" x14ac:dyDescent="0.2">
      <c r="B6" s="15" t="s">
        <v>258</v>
      </c>
      <c r="C6" s="16" t="s">
        <v>647</v>
      </c>
      <c r="D6" s="16" t="s">
        <v>659</v>
      </c>
      <c r="E6" s="17" t="s">
        <v>602</v>
      </c>
      <c r="F6" s="18">
        <v>273540</v>
      </c>
      <c r="G6" s="16" t="s">
        <v>593</v>
      </c>
      <c r="H6" s="19" t="s">
        <v>580</v>
      </c>
      <c r="Z6" s="14">
        <v>273540</v>
      </c>
    </row>
    <row r="7" spans="2:29" ht="19.7" customHeight="1" x14ac:dyDescent="0.2">
      <c r="B7" s="15" t="s">
        <v>493</v>
      </c>
      <c r="C7" s="16" t="s">
        <v>231</v>
      </c>
      <c r="D7" s="16" t="s">
        <v>659</v>
      </c>
      <c r="E7" s="17" t="s">
        <v>602</v>
      </c>
      <c r="F7" s="18">
        <v>275790</v>
      </c>
      <c r="G7" s="16" t="s">
        <v>593</v>
      </c>
      <c r="H7" s="19" t="s">
        <v>580</v>
      </c>
      <c r="Z7" s="14">
        <v>275790</v>
      </c>
    </row>
    <row r="8" spans="2:29" ht="19.7" customHeight="1" x14ac:dyDescent="0.2">
      <c r="B8" s="15" t="s">
        <v>210</v>
      </c>
      <c r="C8" s="16" t="s">
        <v>48</v>
      </c>
      <c r="D8" s="16" t="s">
        <v>659</v>
      </c>
      <c r="E8" s="17" t="s">
        <v>602</v>
      </c>
      <c r="F8" s="18">
        <v>268187</v>
      </c>
      <c r="G8" s="16" t="s">
        <v>593</v>
      </c>
      <c r="H8" s="19" t="s">
        <v>580</v>
      </c>
      <c r="Z8" s="14">
        <v>268187</v>
      </c>
    </row>
    <row r="9" spans="2:29" ht="19.7" customHeight="1" x14ac:dyDescent="0.2">
      <c r="B9" s="15" t="s">
        <v>596</v>
      </c>
      <c r="C9" s="16" t="s">
        <v>325</v>
      </c>
      <c r="D9" s="16" t="s">
        <v>659</v>
      </c>
      <c r="E9" s="17" t="s">
        <v>602</v>
      </c>
      <c r="F9" s="18">
        <v>173995</v>
      </c>
      <c r="G9" s="16" t="s">
        <v>593</v>
      </c>
      <c r="H9" s="19" t="s">
        <v>580</v>
      </c>
      <c r="Z9" s="14">
        <v>173995</v>
      </c>
    </row>
    <row r="10" spans="2:29" ht="19.7" customHeight="1" x14ac:dyDescent="0.2">
      <c r="B10" s="15" t="s">
        <v>316</v>
      </c>
      <c r="C10" s="16" t="s">
        <v>51</v>
      </c>
      <c r="D10" s="16" t="s">
        <v>659</v>
      </c>
      <c r="E10" s="17" t="s">
        <v>602</v>
      </c>
      <c r="F10" s="18">
        <v>238936</v>
      </c>
      <c r="G10" s="16" t="s">
        <v>593</v>
      </c>
      <c r="H10" s="19" t="s">
        <v>580</v>
      </c>
      <c r="Z10" s="14">
        <v>238936</v>
      </c>
    </row>
    <row r="11" spans="2:29" ht="19.7" customHeight="1" x14ac:dyDescent="0.2">
      <c r="B11" s="15" t="s">
        <v>598</v>
      </c>
      <c r="C11" s="16" t="s">
        <v>364</v>
      </c>
      <c r="D11" s="16" t="s">
        <v>659</v>
      </c>
      <c r="E11" s="17" t="s">
        <v>602</v>
      </c>
      <c r="F11" s="18">
        <v>221015</v>
      </c>
      <c r="G11" s="16" t="s">
        <v>593</v>
      </c>
      <c r="H11" s="19" t="s">
        <v>580</v>
      </c>
      <c r="Z11" s="14">
        <v>221015</v>
      </c>
    </row>
    <row r="12" spans="2:29" ht="19.7" customHeight="1" x14ac:dyDescent="0.2">
      <c r="B12" s="15" t="s">
        <v>311</v>
      </c>
      <c r="C12" s="16" t="s">
        <v>123</v>
      </c>
      <c r="D12" s="16" t="s">
        <v>659</v>
      </c>
      <c r="E12" s="17" t="s">
        <v>602</v>
      </c>
      <c r="F12" s="18">
        <v>235204</v>
      </c>
      <c r="G12" s="16" t="s">
        <v>593</v>
      </c>
      <c r="H12" s="19" t="s">
        <v>580</v>
      </c>
      <c r="Z12" s="14">
        <v>235204</v>
      </c>
    </row>
    <row r="13" spans="2:29" ht="19.7" customHeight="1" x14ac:dyDescent="0.2">
      <c r="B13" s="20" t="s">
        <v>81</v>
      </c>
      <c r="C13" s="21" t="s">
        <v>36</v>
      </c>
      <c r="D13" s="21" t="s">
        <v>659</v>
      </c>
      <c r="E13" s="22" t="s">
        <v>602</v>
      </c>
      <c r="F13" s="6">
        <v>226122</v>
      </c>
      <c r="G13" s="21" t="s">
        <v>593</v>
      </c>
      <c r="H13" s="23" t="s">
        <v>580</v>
      </c>
      <c r="Z13" s="14">
        <v>226122</v>
      </c>
    </row>
    <row r="14" spans="2:29" x14ac:dyDescent="0.2">
      <c r="B14" s="8"/>
      <c r="C14" s="8"/>
      <c r="D14" s="8"/>
      <c r="E14" s="8"/>
      <c r="F14" s="8"/>
      <c r="G14" s="8"/>
      <c r="H14" s="8"/>
    </row>
  </sheetData>
  <mergeCells count="1">
    <mergeCell ref="B1:H2"/>
  </mergeCells>
  <phoneticPr fontId="5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3"/>
  <sheetViews>
    <sheetView view="pageBreakPreview" zoomScale="60" zoomScaleNormal="100" workbookViewId="0">
      <pane ySplit="3" topLeftCell="A4" activePane="bottomLeft" state="frozen"/>
      <selection pane="bottomLeft" activeCell="F37" sqref="F37"/>
    </sheetView>
  </sheetViews>
  <sheetFormatPr defaultRowHeight="12.75" x14ac:dyDescent="0.2"/>
  <cols>
    <col min="1" max="1" width="0.7109375" customWidth="1"/>
    <col min="2" max="2" width="24.5703125" customWidth="1"/>
    <col min="3" max="3" width="22.5703125" customWidth="1"/>
    <col min="4" max="4" width="14.28515625" customWidth="1"/>
    <col min="5" max="5" width="8.140625" customWidth="1"/>
    <col min="6" max="6" width="19.42578125" customWidth="1"/>
    <col min="7" max="7" width="16.42578125" customWidth="1"/>
    <col min="8" max="8" width="17" customWidth="1"/>
    <col min="9" max="9" width="17.140625" customWidth="1"/>
    <col min="10" max="10" width="14.28515625" customWidth="1"/>
  </cols>
  <sheetData>
    <row r="1" spans="2:10" ht="24.95" customHeight="1" x14ac:dyDescent="0.2">
      <c r="B1" s="110" t="s">
        <v>507</v>
      </c>
      <c r="C1" s="110"/>
      <c r="D1" s="110"/>
      <c r="E1" s="110"/>
      <c r="F1" s="110"/>
      <c r="G1" s="110"/>
      <c r="H1" s="110"/>
      <c r="I1" s="110"/>
      <c r="J1" s="110"/>
    </row>
    <row r="2" spans="2:10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</row>
    <row r="3" spans="2:10" ht="30.75" customHeight="1" x14ac:dyDescent="0.2">
      <c r="B3" s="1" t="s">
        <v>66</v>
      </c>
      <c r="C3" s="2" t="s">
        <v>501</v>
      </c>
      <c r="D3" s="2" t="s">
        <v>344</v>
      </c>
      <c r="E3" s="2" t="s">
        <v>244</v>
      </c>
      <c r="F3" s="2" t="s">
        <v>636</v>
      </c>
      <c r="G3" s="2" t="s">
        <v>400</v>
      </c>
      <c r="H3" s="2" t="s">
        <v>543</v>
      </c>
      <c r="I3" s="2" t="s">
        <v>44</v>
      </c>
      <c r="J3" s="3" t="s">
        <v>155</v>
      </c>
    </row>
    <row r="4" spans="2:10" ht="22.35" customHeight="1" x14ac:dyDescent="0.2">
      <c r="B4" s="59" t="s">
        <v>654</v>
      </c>
      <c r="C4" s="16" t="s">
        <v>659</v>
      </c>
      <c r="D4" s="18"/>
      <c r="E4" s="17" t="s">
        <v>659</v>
      </c>
      <c r="F4" s="57">
        <f t="shared" ref="F4:F10" si="0">H4+G4+I4</f>
        <v>25552777</v>
      </c>
      <c r="G4" s="57" t="str">
        <f>내역서!I5</f>
        <v>12,725,530</v>
      </c>
      <c r="H4" s="57" t="str">
        <f>내역서!K5</f>
        <v>9,955,798</v>
      </c>
      <c r="I4" s="57" t="str">
        <f>내역서!M5</f>
        <v>2,871,449</v>
      </c>
      <c r="J4" s="19" t="s">
        <v>659</v>
      </c>
    </row>
    <row r="5" spans="2:10" ht="22.35" customHeight="1" x14ac:dyDescent="0.2">
      <c r="B5" s="59" t="s">
        <v>153</v>
      </c>
      <c r="C5" s="16" t="s">
        <v>659</v>
      </c>
      <c r="D5" s="18"/>
      <c r="E5" s="17" t="s">
        <v>659</v>
      </c>
      <c r="F5" s="57">
        <f t="shared" si="0"/>
        <v>981210</v>
      </c>
      <c r="G5" s="57" t="str">
        <f>내역서!I6</f>
        <v>128,596</v>
      </c>
      <c r="H5" s="57" t="str">
        <f>내역서!K6</f>
        <v>690,445</v>
      </c>
      <c r="I5" s="57" t="str">
        <f>내역서!M6</f>
        <v>162,169</v>
      </c>
      <c r="J5" s="19" t="s">
        <v>659</v>
      </c>
    </row>
    <row r="6" spans="2:10" ht="22.35" customHeight="1" x14ac:dyDescent="0.2">
      <c r="B6" s="59" t="s">
        <v>545</v>
      </c>
      <c r="C6" s="16" t="s">
        <v>659</v>
      </c>
      <c r="D6" s="18"/>
      <c r="E6" s="17" t="s">
        <v>659</v>
      </c>
      <c r="F6" s="57">
        <f t="shared" si="0"/>
        <v>3631685</v>
      </c>
      <c r="G6" s="57" t="str">
        <f>내역서!I13</f>
        <v>468,560</v>
      </c>
      <c r="H6" s="57" t="str">
        <f>내역서!K13</f>
        <v>3,090,011</v>
      </c>
      <c r="I6" s="57" t="str">
        <f>내역서!M13</f>
        <v>73,114</v>
      </c>
      <c r="J6" s="19" t="s">
        <v>659</v>
      </c>
    </row>
    <row r="7" spans="2:10" ht="22.35" customHeight="1" x14ac:dyDescent="0.2">
      <c r="B7" s="59" t="s">
        <v>185</v>
      </c>
      <c r="C7" s="16" t="s">
        <v>659</v>
      </c>
      <c r="D7" s="18"/>
      <c r="E7" s="17" t="s">
        <v>659</v>
      </c>
      <c r="F7" s="57">
        <f t="shared" si="0"/>
        <v>555296</v>
      </c>
      <c r="G7" s="57" t="str">
        <f>내역서!I24</f>
        <v>58,648</v>
      </c>
      <c r="H7" s="57" t="str">
        <f>내역서!K24</f>
        <v>449,944</v>
      </c>
      <c r="I7" s="57" t="str">
        <f>내역서!M24</f>
        <v>46,704</v>
      </c>
      <c r="J7" s="19" t="s">
        <v>659</v>
      </c>
    </row>
    <row r="8" spans="2:10" ht="22.35" customHeight="1" x14ac:dyDescent="0.2">
      <c r="B8" s="59" t="s">
        <v>363</v>
      </c>
      <c r="C8" s="16" t="s">
        <v>659</v>
      </c>
      <c r="D8" s="18"/>
      <c r="E8" s="17" t="s">
        <v>659</v>
      </c>
      <c r="F8" s="57">
        <f t="shared" si="0"/>
        <v>7309302</v>
      </c>
      <c r="G8" s="57" t="str">
        <f>내역서!I27</f>
        <v>808,710</v>
      </c>
      <c r="H8" s="57" t="str">
        <f>내역서!K27</f>
        <v>5,725,398</v>
      </c>
      <c r="I8" s="57" t="str">
        <f>내역서!M27</f>
        <v>775,194</v>
      </c>
      <c r="J8" s="19" t="s">
        <v>659</v>
      </c>
    </row>
    <row r="9" spans="2:10" ht="22.35" customHeight="1" x14ac:dyDescent="0.2">
      <c r="B9" s="59" t="s">
        <v>277</v>
      </c>
      <c r="C9" s="16" t="s">
        <v>659</v>
      </c>
      <c r="D9" s="18"/>
      <c r="E9" s="17" t="s">
        <v>659</v>
      </c>
      <c r="F9" s="57">
        <f t="shared" si="0"/>
        <v>1814268</v>
      </c>
      <c r="G9" s="57" t="str">
        <f>내역서!I31</f>
        <v>0</v>
      </c>
      <c r="H9" s="57" t="str">
        <f>내역서!K31</f>
        <v>0</v>
      </c>
      <c r="I9" s="57" t="str">
        <f>내역서!M31</f>
        <v>1,814,268</v>
      </c>
      <c r="J9" s="19" t="s">
        <v>659</v>
      </c>
    </row>
    <row r="10" spans="2:10" ht="22.35" customHeight="1" x14ac:dyDescent="0.2">
      <c r="B10" s="59" t="s">
        <v>538</v>
      </c>
      <c r="C10" s="16" t="s">
        <v>659</v>
      </c>
      <c r="D10" s="18"/>
      <c r="E10" s="17" t="s">
        <v>659</v>
      </c>
      <c r="F10" s="57">
        <f t="shared" si="0"/>
        <v>11261016</v>
      </c>
      <c r="G10" s="57" t="str">
        <f>내역서!I37</f>
        <v>11,261,016</v>
      </c>
      <c r="H10" s="57" t="str">
        <f>내역서!K37</f>
        <v>0</v>
      </c>
      <c r="I10" s="57" t="str">
        <f>내역서!M37</f>
        <v>0</v>
      </c>
      <c r="J10" s="19" t="s">
        <v>659</v>
      </c>
    </row>
    <row r="11" spans="2:10" ht="22.35" customHeight="1" x14ac:dyDescent="0.2">
      <c r="B11" s="59" t="s">
        <v>535</v>
      </c>
      <c r="C11" s="16" t="s">
        <v>659</v>
      </c>
      <c r="D11" s="88">
        <v>19.100000000000001</v>
      </c>
      <c r="E11" s="17" t="s">
        <v>144</v>
      </c>
      <c r="F11" s="57">
        <f>원가계산서!D10</f>
        <v>1901557</v>
      </c>
      <c r="G11" s="18"/>
      <c r="H11" s="18"/>
      <c r="I11" s="18"/>
      <c r="J11" s="19" t="s">
        <v>659</v>
      </c>
    </row>
    <row r="12" spans="2:10" ht="22.35" customHeight="1" x14ac:dyDescent="0.2">
      <c r="B12" s="59" t="s">
        <v>296</v>
      </c>
      <c r="C12" s="16" t="s">
        <v>659</v>
      </c>
      <c r="D12" s="88">
        <v>3.56</v>
      </c>
      <c r="E12" s="17" t="s">
        <v>144</v>
      </c>
      <c r="F12" s="57">
        <f>원가계산서!D13</f>
        <v>422121</v>
      </c>
      <c r="G12" s="18"/>
      <c r="H12" s="18"/>
      <c r="I12" s="18"/>
      <c r="J12" s="19" t="s">
        <v>659</v>
      </c>
    </row>
    <row r="13" spans="2:10" ht="22.35" customHeight="1" x14ac:dyDescent="0.2">
      <c r="B13" s="59" t="s">
        <v>242</v>
      </c>
      <c r="C13" s="16" t="s">
        <v>659</v>
      </c>
      <c r="D13" s="88">
        <v>1.01</v>
      </c>
      <c r="E13" s="17" t="s">
        <v>144</v>
      </c>
      <c r="F13" s="57">
        <f>원가계산서!D14</f>
        <v>119759</v>
      </c>
      <c r="G13" s="18"/>
      <c r="H13" s="18"/>
      <c r="I13" s="18"/>
      <c r="J13" s="19" t="s">
        <v>659</v>
      </c>
    </row>
    <row r="14" spans="2:10" ht="22.35" customHeight="1" x14ac:dyDescent="0.2">
      <c r="B14" s="59" t="s">
        <v>350</v>
      </c>
      <c r="C14" s="16" t="s">
        <v>659</v>
      </c>
      <c r="D14" s="88">
        <v>3.5950000000000002</v>
      </c>
      <c r="E14" s="17" t="s">
        <v>144</v>
      </c>
      <c r="F14" s="57">
        <f>원가계산서!D15</f>
        <v>357910</v>
      </c>
      <c r="G14" s="18"/>
      <c r="H14" s="18"/>
      <c r="I14" s="18"/>
      <c r="J14" s="19" t="s">
        <v>659</v>
      </c>
    </row>
    <row r="15" spans="2:10" ht="22.35" customHeight="1" x14ac:dyDescent="0.2">
      <c r="B15" s="59" t="s">
        <v>544</v>
      </c>
      <c r="C15" s="16" t="s">
        <v>659</v>
      </c>
      <c r="D15" s="88">
        <v>4.75</v>
      </c>
      <c r="E15" s="17" t="s">
        <v>144</v>
      </c>
      <c r="F15" s="57">
        <f>원가계산서!D16</f>
        <v>472900</v>
      </c>
      <c r="G15" s="18"/>
      <c r="H15" s="18"/>
      <c r="I15" s="18"/>
      <c r="J15" s="19" t="s">
        <v>659</v>
      </c>
    </row>
    <row r="16" spans="2:10" ht="22.35" customHeight="1" x14ac:dyDescent="0.2">
      <c r="B16" s="59" t="s">
        <v>610</v>
      </c>
      <c r="C16" s="16" t="s">
        <v>659</v>
      </c>
      <c r="D16" s="88">
        <v>13.14</v>
      </c>
      <c r="E16" s="17" t="s">
        <v>144</v>
      </c>
      <c r="F16" s="57">
        <f>원가계산서!D17</f>
        <v>47029</v>
      </c>
      <c r="G16" s="18"/>
      <c r="H16" s="18"/>
      <c r="I16" s="18"/>
      <c r="J16" s="19" t="s">
        <v>659</v>
      </c>
    </row>
    <row r="17" spans="2:10" ht="22.35" customHeight="1" x14ac:dyDescent="0.2">
      <c r="B17" s="59" t="s">
        <v>653</v>
      </c>
      <c r="C17" s="16" t="s">
        <v>659</v>
      </c>
      <c r="D17" s="88">
        <v>0.32</v>
      </c>
      <c r="E17" s="17" t="s">
        <v>144</v>
      </c>
      <c r="F17" s="57">
        <f>원가계산서!D18</f>
        <v>81768</v>
      </c>
      <c r="G17" s="18"/>
      <c r="H17" s="18"/>
      <c r="I17" s="18"/>
      <c r="J17" s="19" t="s">
        <v>659</v>
      </c>
    </row>
    <row r="18" spans="2:10" ht="22.35" customHeight="1" x14ac:dyDescent="0.2">
      <c r="B18" s="59" t="s">
        <v>574</v>
      </c>
      <c r="C18" s="16" t="s">
        <v>659</v>
      </c>
      <c r="D18" s="88">
        <v>3.15</v>
      </c>
      <c r="E18" s="17" t="s">
        <v>144</v>
      </c>
      <c r="F18" s="57">
        <f>원가계산서!D19</f>
        <v>857354</v>
      </c>
      <c r="G18" s="18"/>
      <c r="H18" s="18"/>
      <c r="I18" s="18"/>
      <c r="J18" s="19" t="s">
        <v>659</v>
      </c>
    </row>
    <row r="19" spans="2:10" ht="22.35" customHeight="1" x14ac:dyDescent="0.2">
      <c r="B19" s="59" t="s">
        <v>531</v>
      </c>
      <c r="C19" s="16" t="s">
        <v>659</v>
      </c>
      <c r="D19" s="88">
        <v>0.8</v>
      </c>
      <c r="E19" s="17" t="s">
        <v>144</v>
      </c>
      <c r="F19" s="57">
        <f>원가계산서!D20</f>
        <v>204422</v>
      </c>
      <c r="G19" s="18"/>
      <c r="H19" s="18"/>
      <c r="I19" s="18"/>
      <c r="J19" s="19" t="s">
        <v>659</v>
      </c>
    </row>
    <row r="20" spans="2:10" ht="22.35" customHeight="1" x14ac:dyDescent="0.2">
      <c r="B20" s="59" t="s">
        <v>238</v>
      </c>
      <c r="C20" s="16" t="s">
        <v>659</v>
      </c>
      <c r="D20" s="88">
        <v>6.0000000000000001E-3</v>
      </c>
      <c r="E20" s="17" t="s">
        <v>144</v>
      </c>
      <c r="F20" s="57">
        <f>원가계산서!D21</f>
        <v>711</v>
      </c>
      <c r="G20" s="18"/>
      <c r="H20" s="18"/>
      <c r="I20" s="18"/>
      <c r="J20" s="19" t="s">
        <v>659</v>
      </c>
    </row>
    <row r="21" spans="2:10" ht="22.35" customHeight="1" x14ac:dyDescent="0.2">
      <c r="B21" s="59" t="s">
        <v>156</v>
      </c>
      <c r="C21" s="16" t="s">
        <v>659</v>
      </c>
      <c r="D21" s="88">
        <v>0.09</v>
      </c>
      <c r="E21" s="17" t="s">
        <v>144</v>
      </c>
      <c r="F21" s="57">
        <f>원가계산서!D22</f>
        <v>10671</v>
      </c>
      <c r="G21" s="18"/>
      <c r="H21" s="18"/>
      <c r="I21" s="18"/>
      <c r="J21" s="19" t="s">
        <v>659</v>
      </c>
    </row>
    <row r="22" spans="2:10" ht="22.35" customHeight="1" x14ac:dyDescent="0.2">
      <c r="B22" s="59" t="s">
        <v>641</v>
      </c>
      <c r="C22" s="16" t="s">
        <v>659</v>
      </c>
      <c r="D22" s="88">
        <v>5.5</v>
      </c>
      <c r="E22" s="17" t="s">
        <v>144</v>
      </c>
      <c r="F22" s="57">
        <f>원가계산서!D23</f>
        <v>1352058</v>
      </c>
      <c r="G22" s="18"/>
      <c r="H22" s="18"/>
      <c r="I22" s="18"/>
      <c r="J22" s="19" t="s">
        <v>659</v>
      </c>
    </row>
    <row r="23" spans="2:10" ht="22.35" customHeight="1" x14ac:dyDescent="0.2">
      <c r="B23" s="59" t="s">
        <v>618</v>
      </c>
      <c r="C23" s="16" t="s">
        <v>659</v>
      </c>
      <c r="D23" s="18"/>
      <c r="E23" s="17" t="s">
        <v>659</v>
      </c>
      <c r="F23" s="57">
        <f>원가계산서!D24</f>
        <v>31381037</v>
      </c>
      <c r="G23" s="18"/>
      <c r="H23" s="18"/>
      <c r="I23" s="18"/>
      <c r="J23" s="19" t="s">
        <v>659</v>
      </c>
    </row>
    <row r="24" spans="2:10" ht="22.35" customHeight="1" x14ac:dyDescent="0.2">
      <c r="B24" s="59" t="s">
        <v>547</v>
      </c>
      <c r="C24" s="16" t="s">
        <v>659</v>
      </c>
      <c r="D24" s="18">
        <v>8</v>
      </c>
      <c r="E24" s="17" t="s">
        <v>144</v>
      </c>
      <c r="F24" s="57">
        <f>원가계산서!D25</f>
        <v>2510482</v>
      </c>
      <c r="G24" s="18"/>
      <c r="H24" s="18"/>
      <c r="I24" s="18"/>
      <c r="J24" s="19" t="s">
        <v>659</v>
      </c>
    </row>
    <row r="25" spans="2:10" ht="22.35" customHeight="1" x14ac:dyDescent="0.2">
      <c r="B25" s="59" t="s">
        <v>226</v>
      </c>
      <c r="C25" s="16" t="s">
        <v>659</v>
      </c>
      <c r="D25" s="88">
        <v>14.99</v>
      </c>
      <c r="E25" s="17" t="s">
        <v>144</v>
      </c>
      <c r="F25" s="57">
        <f>원가계산서!D26</f>
        <v>3172118</v>
      </c>
      <c r="G25" s="18"/>
      <c r="H25" s="18"/>
      <c r="I25" s="18"/>
      <c r="J25" s="19" t="s">
        <v>659</v>
      </c>
    </row>
    <row r="26" spans="2:10" ht="22.35" customHeight="1" x14ac:dyDescent="0.2">
      <c r="B26" s="59" t="s">
        <v>546</v>
      </c>
      <c r="C26" s="16" t="s">
        <v>659</v>
      </c>
      <c r="D26" s="18"/>
      <c r="E26" s="17" t="s">
        <v>659</v>
      </c>
      <c r="F26" s="57">
        <f>원가계산서!D27</f>
        <v>37063637</v>
      </c>
      <c r="G26" s="18"/>
      <c r="H26" s="18"/>
      <c r="I26" s="18"/>
      <c r="J26" s="19" t="s">
        <v>659</v>
      </c>
    </row>
    <row r="27" spans="2:10" ht="22.35" customHeight="1" x14ac:dyDescent="0.2">
      <c r="B27" s="61" t="s">
        <v>55</v>
      </c>
      <c r="C27" s="21" t="s">
        <v>659</v>
      </c>
      <c r="D27" s="6">
        <v>10</v>
      </c>
      <c r="E27" s="22" t="s">
        <v>144</v>
      </c>
      <c r="F27" s="66">
        <f>원가계산서!D28</f>
        <v>3706363</v>
      </c>
      <c r="G27" s="6"/>
      <c r="H27" s="6"/>
      <c r="I27" s="6"/>
      <c r="J27" s="23" t="s">
        <v>659</v>
      </c>
    </row>
    <row r="28" spans="2:10" ht="22.35" customHeight="1" x14ac:dyDescent="0.2">
      <c r="B28" s="59" t="s">
        <v>11</v>
      </c>
      <c r="C28" s="16" t="s">
        <v>659</v>
      </c>
      <c r="D28" s="18"/>
      <c r="E28" s="17" t="s">
        <v>659</v>
      </c>
      <c r="F28" s="57">
        <f>원가계산서!D29</f>
        <v>40770000</v>
      </c>
      <c r="G28" s="18"/>
      <c r="H28" s="18"/>
      <c r="I28" s="18"/>
      <c r="J28" s="19" t="s">
        <v>659</v>
      </c>
    </row>
    <row r="29" spans="2:10" ht="22.35" customHeight="1" x14ac:dyDescent="0.2">
      <c r="B29" s="59" t="s">
        <v>416</v>
      </c>
      <c r="C29" s="16" t="s">
        <v>659</v>
      </c>
      <c r="D29" s="18"/>
      <c r="E29" s="17" t="s">
        <v>659</v>
      </c>
      <c r="F29" s="57">
        <f>원가계산서!D30</f>
        <v>7736000</v>
      </c>
      <c r="G29" s="18"/>
      <c r="H29" s="18"/>
      <c r="I29" s="18"/>
      <c r="J29" s="19" t="s">
        <v>659</v>
      </c>
    </row>
    <row r="30" spans="2:10" ht="22.35" customHeight="1" x14ac:dyDescent="0.2">
      <c r="B30" s="59" t="s">
        <v>69</v>
      </c>
      <c r="C30" s="16" t="s">
        <v>659</v>
      </c>
      <c r="D30" s="18"/>
      <c r="E30" s="17" t="s">
        <v>659</v>
      </c>
      <c r="F30" s="57">
        <f>원가계산서!D31</f>
        <v>3900000</v>
      </c>
      <c r="G30" s="18"/>
      <c r="H30" s="18"/>
      <c r="I30" s="18"/>
      <c r="J30" s="19" t="s">
        <v>659</v>
      </c>
    </row>
    <row r="31" spans="2:10" ht="22.35" customHeight="1" x14ac:dyDescent="0.2">
      <c r="B31" s="59" t="s">
        <v>281</v>
      </c>
      <c r="C31" s="16" t="s">
        <v>659</v>
      </c>
      <c r="D31" s="18"/>
      <c r="E31" s="17" t="s">
        <v>659</v>
      </c>
      <c r="F31" s="57">
        <f>원가계산서!D32</f>
        <v>52406000</v>
      </c>
      <c r="G31" s="18"/>
      <c r="H31" s="18"/>
      <c r="I31" s="18"/>
      <c r="J31" s="19" t="s">
        <v>659</v>
      </c>
    </row>
    <row r="32" spans="2:10" ht="22.35" customHeight="1" x14ac:dyDescent="0.2">
      <c r="B32" s="5"/>
      <c r="C32" s="6"/>
      <c r="D32" s="6"/>
      <c r="E32" s="6"/>
      <c r="F32" s="6"/>
      <c r="G32" s="6"/>
      <c r="H32" s="6"/>
      <c r="I32" s="6"/>
      <c r="J32" s="7"/>
    </row>
    <row r="33" spans="2:10" x14ac:dyDescent="0.2">
      <c r="B33" s="8"/>
      <c r="C33" s="8"/>
      <c r="D33" s="8"/>
      <c r="E33" s="8"/>
      <c r="F33" s="8"/>
      <c r="G33" s="8"/>
      <c r="H33" s="8"/>
      <c r="I33" s="8"/>
      <c r="J33" s="8"/>
    </row>
  </sheetData>
  <mergeCells count="1">
    <mergeCell ref="B1:J2"/>
  </mergeCells>
  <phoneticPr fontId="5" type="noConversion"/>
  <pageMargins left="0.98425196850393704" right="7.874015748031496E-2" top="0.6692913385826772" bottom="0.59055118110236215" header="0.5" footer="0.5"/>
  <pageSetup paperSize="9" scale="68" orientation="landscape" r:id="rId1"/>
  <headerFooter alignWithMargins="0"/>
  <rowBreaks count="1" manualBreakCount="1">
    <brk id="31" min="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88"/>
  <sheetViews>
    <sheetView view="pageBreakPreview" zoomScale="142" zoomScaleNormal="100" zoomScaleSheetLayoutView="142" workbookViewId="0">
      <pane ySplit="4" topLeftCell="A71" activePane="bottomLeft" state="frozen"/>
      <selection pane="bottomLeft" activeCell="I82" sqref="I82"/>
    </sheetView>
  </sheetViews>
  <sheetFormatPr defaultRowHeight="12.75" x14ac:dyDescent="0.2"/>
  <cols>
    <col min="1" max="1" width="0.7109375" customWidth="1"/>
    <col min="2" max="2" width="30.28515625" customWidth="1"/>
    <col min="3" max="3" width="23.28515625" customWidth="1"/>
    <col min="4" max="4" width="6.42578125" customWidth="1"/>
    <col min="5" max="5" width="3.5703125" customWidth="1"/>
    <col min="6" max="6" width="10.28515625" customWidth="1"/>
    <col min="7" max="7" width="11" customWidth="1"/>
    <col min="8" max="8" width="9.7109375" customWidth="1"/>
    <col min="9" max="9" width="10.85546875" customWidth="1"/>
    <col min="10" max="10" width="9.85546875" customWidth="1"/>
    <col min="11" max="11" width="11" customWidth="1"/>
    <col min="12" max="12" width="9.85546875" customWidth="1"/>
    <col min="13" max="13" width="10.85546875" customWidth="1"/>
    <col min="14" max="14" width="7.140625" customWidth="1"/>
  </cols>
  <sheetData>
    <row r="1" spans="2:14" ht="24.95" customHeight="1" x14ac:dyDescent="0.2">
      <c r="B1" s="110" t="s">
        <v>82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2:14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2:14" ht="15.4" customHeight="1" x14ac:dyDescent="0.2">
      <c r="B3" s="116" t="s">
        <v>66</v>
      </c>
      <c r="C3" s="118" t="s">
        <v>501</v>
      </c>
      <c r="D3" s="118" t="s">
        <v>344</v>
      </c>
      <c r="E3" s="118" t="s">
        <v>244</v>
      </c>
      <c r="F3" s="112" t="s">
        <v>550</v>
      </c>
      <c r="G3" s="113"/>
      <c r="H3" s="112" t="s">
        <v>423</v>
      </c>
      <c r="I3" s="113"/>
      <c r="J3" s="112" t="s">
        <v>266</v>
      </c>
      <c r="K3" s="113"/>
      <c r="L3" s="112" t="s">
        <v>517</v>
      </c>
      <c r="M3" s="113"/>
      <c r="N3" s="114" t="s">
        <v>155</v>
      </c>
    </row>
    <row r="4" spans="2:14" ht="19.7" customHeight="1" x14ac:dyDescent="0.2">
      <c r="B4" s="117"/>
      <c r="C4" s="119"/>
      <c r="D4" s="119"/>
      <c r="E4" s="119"/>
      <c r="F4" s="10" t="s">
        <v>2</v>
      </c>
      <c r="G4" s="9" t="s">
        <v>332</v>
      </c>
      <c r="H4" s="10" t="s">
        <v>2</v>
      </c>
      <c r="I4" s="9" t="s">
        <v>332</v>
      </c>
      <c r="J4" s="10" t="s">
        <v>2</v>
      </c>
      <c r="K4" s="9" t="s">
        <v>332</v>
      </c>
      <c r="L4" s="10" t="s">
        <v>2</v>
      </c>
      <c r="M4" s="9" t="s">
        <v>332</v>
      </c>
      <c r="N4" s="115"/>
    </row>
    <row r="5" spans="2:14" ht="19.7" customHeight="1" x14ac:dyDescent="0.2">
      <c r="B5" s="53" t="s">
        <v>654</v>
      </c>
      <c r="C5" s="54" t="s">
        <v>659</v>
      </c>
      <c r="D5" s="18"/>
      <c r="E5" s="85" t="s">
        <v>659</v>
      </c>
      <c r="F5" s="24">
        <f t="shared" ref="F5:F36" si="0">J5+H5+L5</f>
        <v>0</v>
      </c>
      <c r="G5" s="86">
        <f t="shared" ref="G5:G36" si="1">K5+I5+M5</f>
        <v>25552777</v>
      </c>
      <c r="H5" s="24"/>
      <c r="I5" s="86" t="str">
        <f>TEXT(I6+I13+I24+I27+I31+I37,"#,##0")</f>
        <v>12,725,530</v>
      </c>
      <c r="J5" s="24"/>
      <c r="K5" s="86" t="str">
        <f>TEXT(K6+K13+K24+K27+K31+K37,"#,##0")</f>
        <v>9,955,798</v>
      </c>
      <c r="L5" s="24"/>
      <c r="M5" s="86" t="str">
        <f>TEXT(M6+M13+M24+M27+M31+M37,"#,##0")</f>
        <v>2,871,449</v>
      </c>
      <c r="N5" s="87" t="s">
        <v>659</v>
      </c>
    </row>
    <row r="6" spans="2:14" ht="19.7" customHeight="1" x14ac:dyDescent="0.2">
      <c r="B6" s="53" t="s">
        <v>153</v>
      </c>
      <c r="C6" s="54" t="s">
        <v>659</v>
      </c>
      <c r="D6" s="18"/>
      <c r="E6" s="85" t="s">
        <v>659</v>
      </c>
      <c r="F6" s="24">
        <f t="shared" si="0"/>
        <v>0</v>
      </c>
      <c r="G6" s="86">
        <f t="shared" si="1"/>
        <v>981210</v>
      </c>
      <c r="H6" s="24"/>
      <c r="I6" s="86" t="str">
        <f>TEXT(I7,"#,##0")</f>
        <v>128,596</v>
      </c>
      <c r="J6" s="24"/>
      <c r="K6" s="86" t="str">
        <f>TEXT(K7,"#,##0")</f>
        <v>690,445</v>
      </c>
      <c r="L6" s="24"/>
      <c r="M6" s="86" t="str">
        <f>TEXT(M7,"#,##0")</f>
        <v>162,169</v>
      </c>
      <c r="N6" s="87" t="s">
        <v>659</v>
      </c>
    </row>
    <row r="7" spans="2:14" ht="19.7" customHeight="1" x14ac:dyDescent="0.2">
      <c r="B7" s="53" t="s">
        <v>404</v>
      </c>
      <c r="C7" s="54" t="s">
        <v>659</v>
      </c>
      <c r="D7" s="18"/>
      <c r="E7" s="85" t="s">
        <v>659</v>
      </c>
      <c r="F7" s="24">
        <f t="shared" si="0"/>
        <v>0</v>
      </c>
      <c r="G7" s="86">
        <f t="shared" si="1"/>
        <v>981210</v>
      </c>
      <c r="H7" s="24"/>
      <c r="I7" s="86" t="str">
        <f>TEXT(SUM(I8:I12),"#,##0")</f>
        <v>128,596</v>
      </c>
      <c r="J7" s="24"/>
      <c r="K7" s="86" t="str">
        <f>TEXT(SUM(K8:K12),"#,##0")</f>
        <v>690,445</v>
      </c>
      <c r="L7" s="24"/>
      <c r="M7" s="86" t="str">
        <f>TEXT(SUM(M8:M12),"#,##0")</f>
        <v>162,169</v>
      </c>
      <c r="N7" s="87" t="s">
        <v>659</v>
      </c>
    </row>
    <row r="8" spans="2:14" ht="19.7" customHeight="1" x14ac:dyDescent="0.2">
      <c r="B8" s="59" t="s">
        <v>4</v>
      </c>
      <c r="C8" s="16" t="s">
        <v>278</v>
      </c>
      <c r="D8" s="18">
        <v>71</v>
      </c>
      <c r="E8" s="17" t="s">
        <v>452</v>
      </c>
      <c r="F8" s="24">
        <f t="shared" si="0"/>
        <v>4109</v>
      </c>
      <c r="G8" s="57">
        <f t="shared" si="1"/>
        <v>291739</v>
      </c>
      <c r="H8" s="56" t="str">
        <f>단가산출총괄표!G4</f>
        <v>539</v>
      </c>
      <c r="I8" s="57">
        <f>TRUNC(D8*H8,0)</f>
        <v>38269</v>
      </c>
      <c r="J8" s="56" t="str">
        <f>단가산출총괄표!H4</f>
        <v>2,891</v>
      </c>
      <c r="K8" s="57">
        <f>TRUNC(D8*J8,0)</f>
        <v>205261</v>
      </c>
      <c r="L8" s="56" t="str">
        <f>단가산출총괄표!I4</f>
        <v>679</v>
      </c>
      <c r="M8" s="57">
        <f>TRUNC(D8*L8,0)</f>
        <v>48209</v>
      </c>
      <c r="N8" s="19" t="s">
        <v>119</v>
      </c>
    </row>
    <row r="9" spans="2:14" ht="19.7" customHeight="1" x14ac:dyDescent="0.2">
      <c r="B9" s="59" t="s">
        <v>3</v>
      </c>
      <c r="C9" s="16" t="s">
        <v>581</v>
      </c>
      <c r="D9" s="18">
        <v>242</v>
      </c>
      <c r="E9" s="17" t="s">
        <v>464</v>
      </c>
      <c r="F9" s="24">
        <f t="shared" si="0"/>
        <v>884</v>
      </c>
      <c r="G9" s="57">
        <f t="shared" si="1"/>
        <v>213928</v>
      </c>
      <c r="H9" s="56" t="str">
        <f>단가산출총괄표!G5</f>
        <v>116</v>
      </c>
      <c r="I9" s="57">
        <f>TRUNC(D9*H9,0)</f>
        <v>28072</v>
      </c>
      <c r="J9" s="56" t="str">
        <f>단가산출총괄표!H5</f>
        <v>622</v>
      </c>
      <c r="K9" s="57">
        <f>TRUNC(D9*J9,0)</f>
        <v>150524</v>
      </c>
      <c r="L9" s="56" t="str">
        <f>단가산출총괄표!I5</f>
        <v>146</v>
      </c>
      <c r="M9" s="57">
        <f>TRUNC(D9*L9,0)</f>
        <v>35332</v>
      </c>
      <c r="N9" s="19" t="s">
        <v>328</v>
      </c>
    </row>
    <row r="10" spans="2:14" ht="19.7" customHeight="1" x14ac:dyDescent="0.2">
      <c r="B10" s="59" t="s">
        <v>191</v>
      </c>
      <c r="C10" s="16" t="s">
        <v>71</v>
      </c>
      <c r="D10" s="18">
        <v>286</v>
      </c>
      <c r="E10" s="17" t="s">
        <v>464</v>
      </c>
      <c r="F10" s="24">
        <f t="shared" si="0"/>
        <v>895</v>
      </c>
      <c r="G10" s="57">
        <f t="shared" si="1"/>
        <v>255970</v>
      </c>
      <c r="H10" s="56" t="str">
        <f>단가산출총괄표!G6</f>
        <v>117</v>
      </c>
      <c r="I10" s="57">
        <f>TRUNC(D10*H10,0)</f>
        <v>33462</v>
      </c>
      <c r="J10" s="56" t="str">
        <f>단가산출총괄표!H6</f>
        <v>630</v>
      </c>
      <c r="K10" s="57">
        <f>TRUNC(D10*J10,0)</f>
        <v>180180</v>
      </c>
      <c r="L10" s="56" t="str">
        <f>단가산출총괄표!I6</f>
        <v>148</v>
      </c>
      <c r="M10" s="57">
        <f>TRUNC(D10*L10,0)</f>
        <v>42328</v>
      </c>
      <c r="N10" s="19" t="s">
        <v>97</v>
      </c>
    </row>
    <row r="11" spans="2:14" ht="19.7" customHeight="1" x14ac:dyDescent="0.2">
      <c r="B11" s="59" t="s">
        <v>165</v>
      </c>
      <c r="C11" s="16" t="s">
        <v>523</v>
      </c>
      <c r="D11" s="18">
        <v>19</v>
      </c>
      <c r="E11" s="17" t="s">
        <v>452</v>
      </c>
      <c r="F11" s="24">
        <f t="shared" si="0"/>
        <v>3447</v>
      </c>
      <c r="G11" s="57">
        <f t="shared" si="1"/>
        <v>65493</v>
      </c>
      <c r="H11" s="56" t="str">
        <f>단가산출총괄표!G7</f>
        <v>452</v>
      </c>
      <c r="I11" s="57">
        <f>TRUNC(D11*H11,0)</f>
        <v>8588</v>
      </c>
      <c r="J11" s="56" t="str">
        <f>단가산출총괄표!H7</f>
        <v>2,425</v>
      </c>
      <c r="K11" s="57">
        <f>TRUNC(D11*J11,0)</f>
        <v>46075</v>
      </c>
      <c r="L11" s="56" t="str">
        <f>단가산출총괄표!I7</f>
        <v>570</v>
      </c>
      <c r="M11" s="57">
        <f>TRUNC(D11*L11,0)</f>
        <v>10830</v>
      </c>
      <c r="N11" s="19" t="s">
        <v>397</v>
      </c>
    </row>
    <row r="12" spans="2:14" ht="19.7" customHeight="1" x14ac:dyDescent="0.2">
      <c r="B12" s="59" t="s">
        <v>372</v>
      </c>
      <c r="C12" s="16" t="s">
        <v>523</v>
      </c>
      <c r="D12" s="18">
        <v>45</v>
      </c>
      <c r="E12" s="17" t="s">
        <v>452</v>
      </c>
      <c r="F12" s="24">
        <f t="shared" si="0"/>
        <v>3424</v>
      </c>
      <c r="G12" s="57">
        <f t="shared" si="1"/>
        <v>154080</v>
      </c>
      <c r="H12" s="56" t="str">
        <f>단가산출총괄표!G8</f>
        <v>449</v>
      </c>
      <c r="I12" s="57">
        <f>TRUNC(D12*H12,0)</f>
        <v>20205</v>
      </c>
      <c r="J12" s="56" t="str">
        <f>단가산출총괄표!H8</f>
        <v>2,409</v>
      </c>
      <c r="K12" s="57">
        <f>TRUNC(D12*J12,0)</f>
        <v>108405</v>
      </c>
      <c r="L12" s="56" t="str">
        <f>단가산출총괄표!I8</f>
        <v>566</v>
      </c>
      <c r="M12" s="57">
        <f>TRUNC(D12*L12,0)</f>
        <v>25470</v>
      </c>
      <c r="N12" s="19" t="s">
        <v>152</v>
      </c>
    </row>
    <row r="13" spans="2:14" ht="19.7" customHeight="1" x14ac:dyDescent="0.2">
      <c r="B13" s="53" t="s">
        <v>545</v>
      </c>
      <c r="C13" s="54" t="s">
        <v>659</v>
      </c>
      <c r="D13" s="18"/>
      <c r="E13" s="85" t="s">
        <v>659</v>
      </c>
      <c r="F13" s="24">
        <f t="shared" si="0"/>
        <v>0</v>
      </c>
      <c r="G13" s="86">
        <f t="shared" si="1"/>
        <v>3631685</v>
      </c>
      <c r="H13" s="24"/>
      <c r="I13" s="86" t="str">
        <f>TEXT(I14+I21,"#,##0")</f>
        <v>468,560</v>
      </c>
      <c r="J13" s="24"/>
      <c r="K13" s="86" t="str">
        <f>TEXT(K14+K21,"#,##0")</f>
        <v>3,090,011</v>
      </c>
      <c r="L13" s="24"/>
      <c r="M13" s="86" t="str">
        <f>TEXT(M14+M21,"#,##0")</f>
        <v>73,114</v>
      </c>
      <c r="N13" s="87" t="s">
        <v>659</v>
      </c>
    </row>
    <row r="14" spans="2:14" ht="19.7" customHeight="1" x14ac:dyDescent="0.2">
      <c r="B14" s="53" t="s">
        <v>8</v>
      </c>
      <c r="C14" s="54" t="s">
        <v>659</v>
      </c>
      <c r="D14" s="18"/>
      <c r="E14" s="85" t="s">
        <v>659</v>
      </c>
      <c r="F14" s="24">
        <f t="shared" si="0"/>
        <v>0</v>
      </c>
      <c r="G14" s="86">
        <f t="shared" si="1"/>
        <v>3436815</v>
      </c>
      <c r="H14" s="24"/>
      <c r="I14" s="86" t="str">
        <f>TEXT(SUM(I15:I20),"#,##0")</f>
        <v>446,330</v>
      </c>
      <c r="J14" s="24"/>
      <c r="K14" s="86" t="str">
        <f>TEXT(SUM(K15:K20),"#,##0")</f>
        <v>2,935,381</v>
      </c>
      <c r="L14" s="24"/>
      <c r="M14" s="86" t="str">
        <f>TEXT(SUM(M15:M20),"#,##0")</f>
        <v>55,104</v>
      </c>
      <c r="N14" s="87" t="s">
        <v>659</v>
      </c>
    </row>
    <row r="15" spans="2:14" ht="19.7" customHeight="1" x14ac:dyDescent="0.2">
      <c r="B15" s="59" t="s">
        <v>93</v>
      </c>
      <c r="C15" s="16" t="s">
        <v>447</v>
      </c>
      <c r="D15" s="18">
        <v>16</v>
      </c>
      <c r="E15" s="17" t="s">
        <v>452</v>
      </c>
      <c r="F15" s="24">
        <f t="shared" si="0"/>
        <v>30337</v>
      </c>
      <c r="G15" s="57">
        <f t="shared" si="1"/>
        <v>485392</v>
      </c>
      <c r="H15" s="56" t="str">
        <f>단가산출총괄표!G9</f>
        <v>3,641</v>
      </c>
      <c r="I15" s="57">
        <f t="shared" ref="I15:I20" si="2">TRUNC(D15*H15,0)</f>
        <v>58256</v>
      </c>
      <c r="J15" s="56" t="str">
        <f>단가산출총괄표!H9</f>
        <v>23,252</v>
      </c>
      <c r="K15" s="57">
        <f t="shared" ref="K15:K20" si="3">TRUNC(D15*J15,0)</f>
        <v>372032</v>
      </c>
      <c r="L15" s="56" t="str">
        <f>단가산출총괄표!I9</f>
        <v>3,444</v>
      </c>
      <c r="M15" s="57">
        <f t="shared" ref="M15:M20" si="4">TRUNC(D15*L15,0)</f>
        <v>55104</v>
      </c>
      <c r="N15" s="19" t="s">
        <v>368</v>
      </c>
    </row>
    <row r="16" spans="2:14" ht="19.7" customHeight="1" x14ac:dyDescent="0.2">
      <c r="B16" s="59" t="s">
        <v>401</v>
      </c>
      <c r="C16" s="16" t="s">
        <v>505</v>
      </c>
      <c r="D16" s="18">
        <v>68</v>
      </c>
      <c r="E16" s="17" t="s">
        <v>464</v>
      </c>
      <c r="F16" s="24">
        <f t="shared" si="0"/>
        <v>36083</v>
      </c>
      <c r="G16" s="57">
        <f t="shared" si="1"/>
        <v>2453644</v>
      </c>
      <c r="H16" s="56" t="str">
        <f>단가산출총괄표!G10</f>
        <v>4,203</v>
      </c>
      <c r="I16" s="57">
        <f t="shared" si="2"/>
        <v>285804</v>
      </c>
      <c r="J16" s="56" t="str">
        <f>단가산출총괄표!H10</f>
        <v>31,880</v>
      </c>
      <c r="K16" s="57">
        <f t="shared" si="3"/>
        <v>2167840</v>
      </c>
      <c r="L16" s="56">
        <f>단가산출총괄표!I10</f>
        <v>0</v>
      </c>
      <c r="M16" s="57">
        <f t="shared" si="4"/>
        <v>0</v>
      </c>
      <c r="N16" s="19" t="s">
        <v>129</v>
      </c>
    </row>
    <row r="17" spans="2:14" ht="19.7" customHeight="1" x14ac:dyDescent="0.2">
      <c r="B17" s="59" t="s">
        <v>591</v>
      </c>
      <c r="C17" s="16" t="s">
        <v>495</v>
      </c>
      <c r="D17" s="18">
        <v>15</v>
      </c>
      <c r="E17" s="17" t="s">
        <v>464</v>
      </c>
      <c r="F17" s="24">
        <f t="shared" si="0"/>
        <v>28408</v>
      </c>
      <c r="G17" s="57">
        <f t="shared" si="1"/>
        <v>426120</v>
      </c>
      <c r="H17" s="56" t="str">
        <f>단가산출총괄표!G11</f>
        <v>3,941</v>
      </c>
      <c r="I17" s="57">
        <f t="shared" si="2"/>
        <v>59115</v>
      </c>
      <c r="J17" s="56" t="str">
        <f>단가산출총괄표!H11</f>
        <v>24,467</v>
      </c>
      <c r="K17" s="57">
        <f t="shared" si="3"/>
        <v>367005</v>
      </c>
      <c r="L17" s="56">
        <f>단가산출총괄표!I11</f>
        <v>0</v>
      </c>
      <c r="M17" s="57">
        <f t="shared" si="4"/>
        <v>0</v>
      </c>
      <c r="N17" s="19" t="s">
        <v>576</v>
      </c>
    </row>
    <row r="18" spans="2:14" ht="19.7" customHeight="1" x14ac:dyDescent="0.2">
      <c r="B18" s="59" t="s">
        <v>195</v>
      </c>
      <c r="C18" s="16" t="s">
        <v>522</v>
      </c>
      <c r="D18" s="88">
        <v>3.9E-2</v>
      </c>
      <c r="E18" s="17" t="s">
        <v>441</v>
      </c>
      <c r="F18" s="24">
        <f t="shared" si="0"/>
        <v>236560</v>
      </c>
      <c r="G18" s="57">
        <f t="shared" si="1"/>
        <v>9225</v>
      </c>
      <c r="H18" s="56" t="str">
        <f>단가산출총괄표!G12</f>
        <v>19,532</v>
      </c>
      <c r="I18" s="57">
        <f t="shared" si="2"/>
        <v>761</v>
      </c>
      <c r="J18" s="56" t="str">
        <f>단가산출총괄표!H12</f>
        <v>217,028</v>
      </c>
      <c r="K18" s="57">
        <f t="shared" si="3"/>
        <v>8464</v>
      </c>
      <c r="L18" s="56">
        <f>단가산출총괄표!I12</f>
        <v>0</v>
      </c>
      <c r="M18" s="57">
        <f t="shared" si="4"/>
        <v>0</v>
      </c>
      <c r="N18" s="19" t="s">
        <v>163</v>
      </c>
    </row>
    <row r="19" spans="2:14" ht="19.7" customHeight="1" x14ac:dyDescent="0.2">
      <c r="B19" s="59" t="s">
        <v>524</v>
      </c>
      <c r="C19" s="16" t="s">
        <v>232</v>
      </c>
      <c r="D19" s="18">
        <v>9</v>
      </c>
      <c r="E19" s="17" t="s">
        <v>247</v>
      </c>
      <c r="F19" s="24">
        <f t="shared" si="0"/>
        <v>4638</v>
      </c>
      <c r="G19" s="57">
        <f t="shared" si="1"/>
        <v>41742</v>
      </c>
      <c r="H19" s="56" t="str">
        <f>단가산출총괄표!G13</f>
        <v>4,418</v>
      </c>
      <c r="I19" s="57">
        <f t="shared" si="2"/>
        <v>39762</v>
      </c>
      <c r="J19" s="56" t="str">
        <f>단가산출총괄표!H13</f>
        <v>220</v>
      </c>
      <c r="K19" s="57">
        <f t="shared" si="3"/>
        <v>1980</v>
      </c>
      <c r="L19" s="56">
        <f>단가산출총괄표!I13</f>
        <v>0</v>
      </c>
      <c r="M19" s="57">
        <f t="shared" si="4"/>
        <v>0</v>
      </c>
      <c r="N19" s="19" t="s">
        <v>575</v>
      </c>
    </row>
    <row r="20" spans="2:14" ht="19.7" customHeight="1" x14ac:dyDescent="0.2">
      <c r="B20" s="59" t="s">
        <v>625</v>
      </c>
      <c r="C20" s="16" t="s">
        <v>149</v>
      </c>
      <c r="D20" s="18">
        <v>2</v>
      </c>
      <c r="E20" s="17" t="s">
        <v>464</v>
      </c>
      <c r="F20" s="24">
        <f t="shared" si="0"/>
        <v>10346</v>
      </c>
      <c r="G20" s="57">
        <f t="shared" si="1"/>
        <v>20692</v>
      </c>
      <c r="H20" s="56" t="str">
        <f>단가산출총괄표!G14</f>
        <v>1,316</v>
      </c>
      <c r="I20" s="57">
        <f t="shared" si="2"/>
        <v>2632</v>
      </c>
      <c r="J20" s="56" t="str">
        <f>단가산출총괄표!H14</f>
        <v>9,030</v>
      </c>
      <c r="K20" s="57">
        <f t="shared" si="3"/>
        <v>18060</v>
      </c>
      <c r="L20" s="56">
        <f>단가산출총괄표!I14</f>
        <v>0</v>
      </c>
      <c r="M20" s="57">
        <f t="shared" si="4"/>
        <v>0</v>
      </c>
      <c r="N20" s="19" t="s">
        <v>162</v>
      </c>
    </row>
    <row r="21" spans="2:14" ht="19.7" customHeight="1" x14ac:dyDescent="0.2">
      <c r="B21" s="53" t="s">
        <v>330</v>
      </c>
      <c r="C21" s="54" t="s">
        <v>659</v>
      </c>
      <c r="D21" s="18"/>
      <c r="E21" s="85" t="s">
        <v>659</v>
      </c>
      <c r="F21" s="24">
        <f t="shared" si="0"/>
        <v>0</v>
      </c>
      <c r="G21" s="86">
        <f t="shared" si="1"/>
        <v>194870</v>
      </c>
      <c r="H21" s="24"/>
      <c r="I21" s="86" t="str">
        <f>TEXT(SUM(I22:I23),"#,##0")</f>
        <v>22,230</v>
      </c>
      <c r="J21" s="24"/>
      <c r="K21" s="86" t="str">
        <f>TEXT(SUM(K22:K23),"#,##0")</f>
        <v>154,630</v>
      </c>
      <c r="L21" s="24"/>
      <c r="M21" s="86" t="str">
        <f>TEXT(SUM(M22:M23),"#,##0")</f>
        <v>18,010</v>
      </c>
      <c r="N21" s="87" t="s">
        <v>659</v>
      </c>
    </row>
    <row r="22" spans="2:14" ht="19.7" customHeight="1" x14ac:dyDescent="0.2">
      <c r="B22" s="59" t="s">
        <v>513</v>
      </c>
      <c r="C22" s="16" t="s">
        <v>239</v>
      </c>
      <c r="D22" s="18">
        <v>10</v>
      </c>
      <c r="E22" s="17" t="s">
        <v>247</v>
      </c>
      <c r="F22" s="24">
        <f t="shared" si="0"/>
        <v>14567</v>
      </c>
      <c r="G22" s="57">
        <f t="shared" si="1"/>
        <v>145670</v>
      </c>
      <c r="H22" s="56" t="str">
        <f>단가산출총괄표!G18</f>
        <v>2,223</v>
      </c>
      <c r="I22" s="57">
        <f>TRUNC(D22*H22,0)</f>
        <v>22230</v>
      </c>
      <c r="J22" s="56" t="str">
        <f>단가산출총괄표!H18</f>
        <v>10,543</v>
      </c>
      <c r="K22" s="57">
        <f>TRUNC(D22*J22,0)</f>
        <v>105430</v>
      </c>
      <c r="L22" s="56" t="str">
        <f>단가산출총괄표!I18</f>
        <v>1,801</v>
      </c>
      <c r="M22" s="57">
        <f>TRUNC(D22*L22,0)</f>
        <v>18010</v>
      </c>
      <c r="N22" s="19" t="s">
        <v>221</v>
      </c>
    </row>
    <row r="23" spans="2:14" ht="19.7" customHeight="1" x14ac:dyDescent="0.2">
      <c r="B23" s="59" t="s">
        <v>37</v>
      </c>
      <c r="C23" s="16" t="s">
        <v>595</v>
      </c>
      <c r="D23" s="18">
        <v>20</v>
      </c>
      <c r="E23" s="17" t="s">
        <v>247</v>
      </c>
      <c r="F23" s="24">
        <f t="shared" si="0"/>
        <v>2460</v>
      </c>
      <c r="G23" s="57">
        <f t="shared" si="1"/>
        <v>49200</v>
      </c>
      <c r="H23" s="56">
        <f>단가산출총괄표!G19</f>
        <v>0</v>
      </c>
      <c r="I23" s="57">
        <f>TRUNC(D23*H23,0)</f>
        <v>0</v>
      </c>
      <c r="J23" s="56" t="str">
        <f>단가산출총괄표!H19</f>
        <v>2,460</v>
      </c>
      <c r="K23" s="57">
        <f>TRUNC(D23*J23,0)</f>
        <v>49200</v>
      </c>
      <c r="L23" s="56">
        <f>단가산출총괄표!I19</f>
        <v>0</v>
      </c>
      <c r="M23" s="57">
        <f>TRUNC(D23*L23,0)</f>
        <v>0</v>
      </c>
      <c r="N23" s="19" t="s">
        <v>637</v>
      </c>
    </row>
    <row r="24" spans="2:14" ht="19.7" customHeight="1" x14ac:dyDescent="0.2">
      <c r="B24" s="53" t="s">
        <v>185</v>
      </c>
      <c r="C24" s="54" t="s">
        <v>659</v>
      </c>
      <c r="D24" s="18"/>
      <c r="E24" s="85" t="s">
        <v>659</v>
      </c>
      <c r="F24" s="24">
        <f t="shared" si="0"/>
        <v>0</v>
      </c>
      <c r="G24" s="86">
        <f t="shared" si="1"/>
        <v>555296</v>
      </c>
      <c r="H24" s="24"/>
      <c r="I24" s="86" t="str">
        <f>TEXT(I25,"#,##0")</f>
        <v>58,648</v>
      </c>
      <c r="J24" s="24"/>
      <c r="K24" s="86" t="str">
        <f>TEXT(K25,"#,##0")</f>
        <v>449,944</v>
      </c>
      <c r="L24" s="24"/>
      <c r="M24" s="86" t="str">
        <f>TEXT(M25,"#,##0")</f>
        <v>46,704</v>
      </c>
      <c r="N24" s="87" t="s">
        <v>659</v>
      </c>
    </row>
    <row r="25" spans="2:14" ht="19.7" customHeight="1" x14ac:dyDescent="0.2">
      <c r="B25" s="53" t="s">
        <v>176</v>
      </c>
      <c r="C25" s="54" t="s">
        <v>659</v>
      </c>
      <c r="D25" s="18"/>
      <c r="E25" s="85" t="s">
        <v>659</v>
      </c>
      <c r="F25" s="24">
        <f t="shared" si="0"/>
        <v>0</v>
      </c>
      <c r="G25" s="86">
        <f t="shared" si="1"/>
        <v>555296</v>
      </c>
      <c r="H25" s="24"/>
      <c r="I25" s="86" t="str">
        <f>TEXT(SUM(I26:I26),"#,##0")</f>
        <v>58,648</v>
      </c>
      <c r="J25" s="24"/>
      <c r="K25" s="86" t="str">
        <f>TEXT(SUM(K26:K26),"#,##0")</f>
        <v>449,944</v>
      </c>
      <c r="L25" s="24"/>
      <c r="M25" s="86" t="str">
        <f>TEXT(SUM(M26:M26),"#,##0")</f>
        <v>46,704</v>
      </c>
      <c r="N25" s="87" t="s">
        <v>659</v>
      </c>
    </row>
    <row r="26" spans="2:14" ht="19.7" customHeight="1" x14ac:dyDescent="0.2">
      <c r="B26" s="59" t="s">
        <v>594</v>
      </c>
      <c r="C26" s="16" t="s">
        <v>539</v>
      </c>
      <c r="D26" s="18">
        <v>4</v>
      </c>
      <c r="E26" s="17" t="s">
        <v>140</v>
      </c>
      <c r="F26" s="24">
        <f t="shared" si="0"/>
        <v>138824</v>
      </c>
      <c r="G26" s="57">
        <f t="shared" si="1"/>
        <v>555296</v>
      </c>
      <c r="H26" s="56">
        <f>일위대가총괄표!G4</f>
        <v>14662</v>
      </c>
      <c r="I26" s="57">
        <f>TRUNC(D26*H26,0)</f>
        <v>58648</v>
      </c>
      <c r="J26" s="56">
        <f>일위대가총괄표!H4</f>
        <v>112486</v>
      </c>
      <c r="K26" s="57">
        <f>TRUNC(D26*J26,0)</f>
        <v>449944</v>
      </c>
      <c r="L26" s="56">
        <f>일위대가총괄표!I4</f>
        <v>11676</v>
      </c>
      <c r="M26" s="57">
        <f>TRUNC(D26*L26,0)</f>
        <v>46704</v>
      </c>
      <c r="N26" s="19" t="s">
        <v>631</v>
      </c>
    </row>
    <row r="27" spans="2:14" ht="19.7" customHeight="1" x14ac:dyDescent="0.2">
      <c r="B27" s="53" t="s">
        <v>363</v>
      </c>
      <c r="C27" s="54" t="s">
        <v>659</v>
      </c>
      <c r="D27" s="18"/>
      <c r="E27" s="85" t="s">
        <v>659</v>
      </c>
      <c r="F27" s="24">
        <f t="shared" si="0"/>
        <v>0</v>
      </c>
      <c r="G27" s="86">
        <f t="shared" si="1"/>
        <v>7309302</v>
      </c>
      <c r="H27" s="24"/>
      <c r="I27" s="86" t="str">
        <f>TEXT(I28,"#,##0")</f>
        <v>808,710</v>
      </c>
      <c r="J27" s="24"/>
      <c r="K27" s="86" t="str">
        <f>TEXT(K28,"#,##0")</f>
        <v>5,725,398</v>
      </c>
      <c r="L27" s="24"/>
      <c r="M27" s="86" t="str">
        <f>TEXT(M28,"#,##0")</f>
        <v>775,194</v>
      </c>
      <c r="N27" s="87" t="s">
        <v>659</v>
      </c>
    </row>
    <row r="28" spans="2:14" ht="19.7" customHeight="1" x14ac:dyDescent="0.2">
      <c r="B28" s="53" t="s">
        <v>327</v>
      </c>
      <c r="C28" s="54" t="s">
        <v>659</v>
      </c>
      <c r="D28" s="18"/>
      <c r="E28" s="85" t="s">
        <v>659</v>
      </c>
      <c r="F28" s="24">
        <f t="shared" si="0"/>
        <v>0</v>
      </c>
      <c r="G28" s="86">
        <f t="shared" si="1"/>
        <v>7309302</v>
      </c>
      <c r="H28" s="24"/>
      <c r="I28" s="86" t="str">
        <f>TEXT(SUM(I29:I30),"#,##0")</f>
        <v>808,710</v>
      </c>
      <c r="J28" s="24"/>
      <c r="K28" s="86" t="str">
        <f>TEXT(SUM(K29:K30),"#,##0")</f>
        <v>5,725,398</v>
      </c>
      <c r="L28" s="24"/>
      <c r="M28" s="86" t="str">
        <f>TEXT(SUM(M29:M30),"#,##0")</f>
        <v>775,194</v>
      </c>
      <c r="N28" s="87" t="s">
        <v>659</v>
      </c>
    </row>
    <row r="29" spans="2:14" ht="19.7" customHeight="1" x14ac:dyDescent="0.2">
      <c r="B29" s="59" t="s">
        <v>424</v>
      </c>
      <c r="C29" s="16" t="s">
        <v>49</v>
      </c>
      <c r="D29" s="18">
        <v>42</v>
      </c>
      <c r="E29" s="17" t="s">
        <v>452</v>
      </c>
      <c r="F29" s="24">
        <f t="shared" si="0"/>
        <v>15691</v>
      </c>
      <c r="G29" s="57">
        <f t="shared" si="1"/>
        <v>659022</v>
      </c>
      <c r="H29" s="56" t="str">
        <f>단가산출총괄표!G15</f>
        <v>2,225</v>
      </c>
      <c r="I29" s="57">
        <f>TRUNC(D29*H29,0)</f>
        <v>93450</v>
      </c>
      <c r="J29" s="56" t="str">
        <f>단가산출총괄표!H15</f>
        <v>11,649</v>
      </c>
      <c r="K29" s="57">
        <f>TRUNC(D29*J29,0)</f>
        <v>489258</v>
      </c>
      <c r="L29" s="56" t="str">
        <f>단가산출총괄표!I15</f>
        <v>1,817</v>
      </c>
      <c r="M29" s="57">
        <f>TRUNC(D29*L29,0)</f>
        <v>76314</v>
      </c>
      <c r="N29" s="19" t="s">
        <v>604</v>
      </c>
    </row>
    <row r="30" spans="2:14" ht="19.7" customHeight="1" x14ac:dyDescent="0.2">
      <c r="B30" s="61" t="s">
        <v>228</v>
      </c>
      <c r="C30" s="21" t="s">
        <v>659</v>
      </c>
      <c r="D30" s="6">
        <v>210</v>
      </c>
      <c r="E30" s="22" t="s">
        <v>464</v>
      </c>
      <c r="F30" s="11">
        <f t="shared" si="0"/>
        <v>31668</v>
      </c>
      <c r="G30" s="66">
        <f t="shared" si="1"/>
        <v>6650280</v>
      </c>
      <c r="H30" s="62" t="str">
        <f>단가산출총괄표!G20</f>
        <v>3,406</v>
      </c>
      <c r="I30" s="66">
        <f>TRUNC(D30*H30,0)</f>
        <v>715260</v>
      </c>
      <c r="J30" s="62" t="str">
        <f>단가산출총괄표!H20</f>
        <v>24,934</v>
      </c>
      <c r="K30" s="66">
        <f>TRUNC(D30*J30,0)</f>
        <v>5236140</v>
      </c>
      <c r="L30" s="62" t="str">
        <f>단가산출총괄표!I20</f>
        <v>3,328</v>
      </c>
      <c r="M30" s="66">
        <f>TRUNC(D30*L30,0)</f>
        <v>698880</v>
      </c>
      <c r="N30" s="23" t="s">
        <v>243</v>
      </c>
    </row>
    <row r="31" spans="2:14" ht="19.7" customHeight="1" x14ac:dyDescent="0.2">
      <c r="B31" s="53" t="s">
        <v>277</v>
      </c>
      <c r="C31" s="54" t="s">
        <v>659</v>
      </c>
      <c r="D31" s="18"/>
      <c r="E31" s="85" t="s">
        <v>659</v>
      </c>
      <c r="F31" s="24">
        <f t="shared" si="0"/>
        <v>0</v>
      </c>
      <c r="G31" s="86">
        <f t="shared" si="1"/>
        <v>1814268</v>
      </c>
      <c r="H31" s="24"/>
      <c r="I31" s="57" t="str">
        <f>TEXT(I32+I35,"#,##0")</f>
        <v>0</v>
      </c>
      <c r="J31" s="24"/>
      <c r="K31" s="57" t="str">
        <f>TEXT(K32+K35,"#,##0")</f>
        <v>0</v>
      </c>
      <c r="L31" s="24"/>
      <c r="M31" s="86" t="str">
        <f>TEXT(M32+M35,"#,##0")</f>
        <v>1,814,268</v>
      </c>
      <c r="N31" s="87" t="s">
        <v>659</v>
      </c>
    </row>
    <row r="32" spans="2:14" ht="19.7" customHeight="1" x14ac:dyDescent="0.2">
      <c r="B32" s="53" t="s">
        <v>318</v>
      </c>
      <c r="C32" s="54" t="s">
        <v>659</v>
      </c>
      <c r="D32" s="18"/>
      <c r="E32" s="85" t="s">
        <v>659</v>
      </c>
      <c r="F32" s="24">
        <f t="shared" si="0"/>
        <v>0</v>
      </c>
      <c r="G32" s="86">
        <f t="shared" si="1"/>
        <v>1441908</v>
      </c>
      <c r="H32" s="24"/>
      <c r="I32" s="57" t="str">
        <f>TEXT(SUM(I33:I34),"#,##0")</f>
        <v>0</v>
      </c>
      <c r="J32" s="24"/>
      <c r="K32" s="57" t="str">
        <f>TEXT(SUM(K33:K34),"#,##0")</f>
        <v>0</v>
      </c>
      <c r="L32" s="24"/>
      <c r="M32" s="86" t="str">
        <f>TEXT(SUM(M33:M34),"#,##0")</f>
        <v>1,441,908</v>
      </c>
      <c r="N32" s="87" t="s">
        <v>659</v>
      </c>
    </row>
    <row r="33" spans="2:14" ht="19.7" customHeight="1" x14ac:dyDescent="0.2">
      <c r="B33" s="59" t="s">
        <v>476</v>
      </c>
      <c r="C33" s="16" t="s">
        <v>632</v>
      </c>
      <c r="D33" s="18">
        <v>54</v>
      </c>
      <c r="E33" s="17" t="s">
        <v>452</v>
      </c>
      <c r="F33" s="24">
        <f t="shared" si="0"/>
        <v>22957</v>
      </c>
      <c r="G33" s="57">
        <f t="shared" si="1"/>
        <v>1239678</v>
      </c>
      <c r="H33" s="56"/>
      <c r="I33" s="57">
        <f>TRUNC(D33*H33,0)</f>
        <v>0</v>
      </c>
      <c r="J33" s="56"/>
      <c r="K33" s="57">
        <f>TRUNC(D33*J33,0)</f>
        <v>0</v>
      </c>
      <c r="L33" s="56">
        <f>단가산출총괄표!H16+단가산출총괄표!G16+단가산출총괄표!I16</f>
        <v>22957</v>
      </c>
      <c r="M33" s="57">
        <f>TRUNC(D33*L33,0)</f>
        <v>1239678</v>
      </c>
      <c r="N33" s="19" t="s">
        <v>194</v>
      </c>
    </row>
    <row r="34" spans="2:14" ht="19.7" customHeight="1" x14ac:dyDescent="0.2">
      <c r="B34" s="59" t="s">
        <v>417</v>
      </c>
      <c r="C34" s="16" t="s">
        <v>284</v>
      </c>
      <c r="D34" s="18">
        <v>210</v>
      </c>
      <c r="E34" s="17" t="s">
        <v>178</v>
      </c>
      <c r="F34" s="24">
        <f t="shared" si="0"/>
        <v>963</v>
      </c>
      <c r="G34" s="57">
        <f t="shared" si="1"/>
        <v>202230</v>
      </c>
      <c r="H34" s="56"/>
      <c r="I34" s="57">
        <f>TRUNC(D34*H34,0)</f>
        <v>0</v>
      </c>
      <c r="J34" s="56"/>
      <c r="K34" s="57">
        <f>TRUNC(D34*J34,0)</f>
        <v>0</v>
      </c>
      <c r="L34" s="56">
        <f>단가산출총괄표!H21+단가산출총괄표!G21+단가산출총괄표!I21</f>
        <v>963</v>
      </c>
      <c r="M34" s="57">
        <f>TRUNC(D34*L34,0)</f>
        <v>202230</v>
      </c>
      <c r="N34" s="19" t="s">
        <v>335</v>
      </c>
    </row>
    <row r="35" spans="2:14" ht="19.7" customHeight="1" x14ac:dyDescent="0.2">
      <c r="B35" s="53" t="s">
        <v>285</v>
      </c>
      <c r="C35" s="54" t="s">
        <v>659</v>
      </c>
      <c r="D35" s="18"/>
      <c r="E35" s="85" t="s">
        <v>659</v>
      </c>
      <c r="F35" s="24">
        <f t="shared" si="0"/>
        <v>0</v>
      </c>
      <c r="G35" s="86">
        <f t="shared" si="1"/>
        <v>372360</v>
      </c>
      <c r="H35" s="24"/>
      <c r="I35" s="57" t="str">
        <f>TEXT(SUM(I36:I36),"#,##0")</f>
        <v>0</v>
      </c>
      <c r="J35" s="24"/>
      <c r="K35" s="57" t="str">
        <f>TEXT(SUM(K36:K36),"#,##0")</f>
        <v>0</v>
      </c>
      <c r="L35" s="24"/>
      <c r="M35" s="86" t="str">
        <f>TEXT(SUM(M36:M36),"#,##0")</f>
        <v>372,360</v>
      </c>
      <c r="N35" s="87" t="s">
        <v>659</v>
      </c>
    </row>
    <row r="36" spans="2:14" ht="19.7" customHeight="1" x14ac:dyDescent="0.2">
      <c r="B36" s="59" t="s">
        <v>512</v>
      </c>
      <c r="C36" s="16" t="s">
        <v>659</v>
      </c>
      <c r="D36" s="18">
        <v>1</v>
      </c>
      <c r="E36" s="17" t="s">
        <v>514</v>
      </c>
      <c r="F36" s="24">
        <f t="shared" si="0"/>
        <v>372360</v>
      </c>
      <c r="G36" s="57">
        <f t="shared" si="1"/>
        <v>372360</v>
      </c>
      <c r="H36" s="56"/>
      <c r="I36" s="57">
        <f>TRUNC(D36*H36,0)</f>
        <v>0</v>
      </c>
      <c r="J36" s="56"/>
      <c r="K36" s="57">
        <f>TRUNC(D36*J36,0)</f>
        <v>0</v>
      </c>
      <c r="L36" s="56">
        <f>단가산출총괄표!H17+단가산출총괄표!G17+단가산출총괄표!I17</f>
        <v>372360</v>
      </c>
      <c r="M36" s="57">
        <f>TRUNC(D36*L36,0)</f>
        <v>372360</v>
      </c>
      <c r="N36" s="19" t="s">
        <v>619</v>
      </c>
    </row>
    <row r="37" spans="2:14" ht="19.7" customHeight="1" x14ac:dyDescent="0.2">
      <c r="B37" s="53" t="s">
        <v>538</v>
      </c>
      <c r="C37" s="54" t="s">
        <v>659</v>
      </c>
      <c r="D37" s="18"/>
      <c r="E37" s="85" t="s">
        <v>659</v>
      </c>
      <c r="F37" s="24">
        <f t="shared" ref="F37:F68" si="5">J37+H37+L37</f>
        <v>0</v>
      </c>
      <c r="G37" s="86">
        <f t="shared" ref="G37:G68" si="6">K37+I37+M37</f>
        <v>11261016</v>
      </c>
      <c r="H37" s="24"/>
      <c r="I37" s="86" t="str">
        <f>TEXT(I38+I41+I43+I46,"#,##0")</f>
        <v>11,261,016</v>
      </c>
      <c r="J37" s="24"/>
      <c r="K37" s="57" t="str">
        <f>TEXT(K38+K41+K43+K46,"#,##0")</f>
        <v>0</v>
      </c>
      <c r="L37" s="24"/>
      <c r="M37" s="57" t="str">
        <f>TEXT(M38+M41+M43+M46,"#,##0")</f>
        <v>0</v>
      </c>
      <c r="N37" s="87" t="s">
        <v>659</v>
      </c>
    </row>
    <row r="38" spans="2:14" ht="19.7" customHeight="1" x14ac:dyDescent="0.2">
      <c r="B38" s="53" t="s">
        <v>614</v>
      </c>
      <c r="C38" s="54" t="s">
        <v>659</v>
      </c>
      <c r="D38" s="18"/>
      <c r="E38" s="85" t="s">
        <v>659</v>
      </c>
      <c r="F38" s="24">
        <f t="shared" si="5"/>
        <v>0</v>
      </c>
      <c r="G38" s="86">
        <f t="shared" si="6"/>
        <v>1579000</v>
      </c>
      <c r="H38" s="24"/>
      <c r="I38" s="86" t="str">
        <f>TEXT(SUM(I39:I40),"#,##0")</f>
        <v>1,579,000</v>
      </c>
      <c r="J38" s="24"/>
      <c r="K38" s="57" t="str">
        <f>TEXT(SUM(K39:K40),"#,##0")</f>
        <v>0</v>
      </c>
      <c r="L38" s="24"/>
      <c r="M38" s="57" t="str">
        <f>TEXT(SUM(M39:M40),"#,##0")</f>
        <v>0</v>
      </c>
      <c r="N38" s="87" t="s">
        <v>659</v>
      </c>
    </row>
    <row r="39" spans="2:14" ht="19.7" customHeight="1" x14ac:dyDescent="0.2">
      <c r="B39" s="59" t="s">
        <v>510</v>
      </c>
      <c r="C39" s="16" t="s">
        <v>659</v>
      </c>
      <c r="D39" s="18">
        <v>54</v>
      </c>
      <c r="E39" s="17" t="s">
        <v>452</v>
      </c>
      <c r="F39" s="24">
        <f t="shared" si="5"/>
        <v>16000</v>
      </c>
      <c r="G39" s="57">
        <f t="shared" si="6"/>
        <v>864000</v>
      </c>
      <c r="H39" s="56">
        <f>자재단가!R9</f>
        <v>16000</v>
      </c>
      <c r="I39" s="57">
        <f>TRUNC(D39*H39,0)</f>
        <v>864000</v>
      </c>
      <c r="J39" s="56">
        <f>자재단가!AA9</f>
        <v>0</v>
      </c>
      <c r="K39" s="57">
        <f>TRUNC(D39*J39,0)</f>
        <v>0</v>
      </c>
      <c r="L39" s="56">
        <f>자재단가!AC9</f>
        <v>0</v>
      </c>
      <c r="M39" s="57">
        <f>TRUNC(D39*L39,0)</f>
        <v>0</v>
      </c>
      <c r="N39" s="19" t="s">
        <v>659</v>
      </c>
    </row>
    <row r="40" spans="2:14" ht="19.7" customHeight="1" x14ac:dyDescent="0.2">
      <c r="B40" s="59" t="s">
        <v>78</v>
      </c>
      <c r="C40" s="16" t="s">
        <v>616</v>
      </c>
      <c r="D40" s="18">
        <v>11</v>
      </c>
      <c r="E40" s="17" t="s">
        <v>452</v>
      </c>
      <c r="F40" s="24">
        <f t="shared" si="5"/>
        <v>65000</v>
      </c>
      <c r="G40" s="57">
        <f t="shared" si="6"/>
        <v>715000</v>
      </c>
      <c r="H40" s="56">
        <f>자재단가!R22</f>
        <v>65000</v>
      </c>
      <c r="I40" s="57">
        <f>TRUNC(D40*H40,0)</f>
        <v>715000</v>
      </c>
      <c r="J40" s="56">
        <f>자재단가!AA22</f>
        <v>0</v>
      </c>
      <c r="K40" s="57">
        <f>TRUNC(D40*J40,0)</f>
        <v>0</v>
      </c>
      <c r="L40" s="56">
        <f>자재단가!AC22</f>
        <v>0</v>
      </c>
      <c r="M40" s="57">
        <f>TRUNC(D40*L40,0)</f>
        <v>0</v>
      </c>
      <c r="N40" s="19" t="s">
        <v>659</v>
      </c>
    </row>
    <row r="41" spans="2:14" ht="19.7" customHeight="1" x14ac:dyDescent="0.2">
      <c r="B41" s="53" t="s">
        <v>184</v>
      </c>
      <c r="C41" s="54" t="s">
        <v>659</v>
      </c>
      <c r="D41" s="18"/>
      <c r="E41" s="85" t="s">
        <v>659</v>
      </c>
      <c r="F41" s="24">
        <f t="shared" si="5"/>
        <v>0</v>
      </c>
      <c r="G41" s="86">
        <f t="shared" si="6"/>
        <v>35670</v>
      </c>
      <c r="H41" s="24"/>
      <c r="I41" s="86" t="str">
        <f>TEXT(SUM(I42:I42),"#,##0")</f>
        <v>35,670</v>
      </c>
      <c r="J41" s="24"/>
      <c r="K41" s="57" t="str">
        <f>TEXT(SUM(K42:K42),"#,##0")</f>
        <v>0</v>
      </c>
      <c r="L41" s="24"/>
      <c r="M41" s="57" t="str">
        <f>TEXT(SUM(M42:M42),"#,##0")</f>
        <v>0</v>
      </c>
      <c r="N41" s="87" t="s">
        <v>659</v>
      </c>
    </row>
    <row r="42" spans="2:14" ht="19.7" customHeight="1" x14ac:dyDescent="0.2">
      <c r="B42" s="59" t="s">
        <v>518</v>
      </c>
      <c r="C42" s="16" t="s">
        <v>486</v>
      </c>
      <c r="D42" s="88">
        <v>4.1000000000000002E-2</v>
      </c>
      <c r="E42" s="17" t="s">
        <v>441</v>
      </c>
      <c r="F42" s="24">
        <f t="shared" si="5"/>
        <v>870000</v>
      </c>
      <c r="G42" s="57">
        <f t="shared" si="6"/>
        <v>35670</v>
      </c>
      <c r="H42" s="56">
        <f>자재단가!R10</f>
        <v>870000</v>
      </c>
      <c r="I42" s="57">
        <f>TRUNC(D42*H42,0)</f>
        <v>35670</v>
      </c>
      <c r="J42" s="56">
        <f>자재단가!AA10</f>
        <v>0</v>
      </c>
      <c r="K42" s="57">
        <f>TRUNC(D42*J42,0)</f>
        <v>0</v>
      </c>
      <c r="L42" s="56">
        <f>자재단가!AC10</f>
        <v>0</v>
      </c>
      <c r="M42" s="57">
        <f>TRUNC(D42*L42,0)</f>
        <v>0</v>
      </c>
      <c r="N42" s="19" t="s">
        <v>659</v>
      </c>
    </row>
    <row r="43" spans="2:14" ht="19.7" customHeight="1" x14ac:dyDescent="0.2">
      <c r="B43" s="53" t="s">
        <v>382</v>
      </c>
      <c r="C43" s="54" t="s">
        <v>659</v>
      </c>
      <c r="D43" s="18"/>
      <c r="E43" s="85" t="s">
        <v>659</v>
      </c>
      <c r="F43" s="24">
        <f t="shared" si="5"/>
        <v>0</v>
      </c>
      <c r="G43" s="86">
        <f t="shared" si="6"/>
        <v>1378200</v>
      </c>
      <c r="H43" s="24"/>
      <c r="I43" s="86" t="str">
        <f>TEXT(SUM(I44:I45),"#,##0")</f>
        <v>1,378,200</v>
      </c>
      <c r="J43" s="24"/>
      <c r="K43" s="57" t="str">
        <f>TEXT(SUM(K44:K45),"#,##0")</f>
        <v>0</v>
      </c>
      <c r="L43" s="24"/>
      <c r="M43" s="57" t="str">
        <f>TEXT(SUM(M44:M45),"#,##0")</f>
        <v>0</v>
      </c>
      <c r="N43" s="87" t="s">
        <v>659</v>
      </c>
    </row>
    <row r="44" spans="2:14" ht="19.7" customHeight="1" x14ac:dyDescent="0.2">
      <c r="B44" s="59" t="s">
        <v>125</v>
      </c>
      <c r="C44" s="16" t="s">
        <v>562</v>
      </c>
      <c r="D44" s="18">
        <v>6</v>
      </c>
      <c r="E44" s="17" t="s">
        <v>47</v>
      </c>
      <c r="F44" s="24">
        <f t="shared" si="5"/>
        <v>65700</v>
      </c>
      <c r="G44" s="57">
        <f t="shared" si="6"/>
        <v>394200</v>
      </c>
      <c r="H44" s="56">
        <f>자재단가!R18</f>
        <v>65700</v>
      </c>
      <c r="I44" s="57">
        <f>TRUNC(D44*H44,0)</f>
        <v>394200</v>
      </c>
      <c r="J44" s="56">
        <f>자재단가!AA18</f>
        <v>0</v>
      </c>
      <c r="K44" s="57">
        <f>TRUNC(D44*J44,0)</f>
        <v>0</v>
      </c>
      <c r="L44" s="56">
        <f>자재단가!AC18</f>
        <v>0</v>
      </c>
      <c r="M44" s="57">
        <f>TRUNC(D44*L44,0)</f>
        <v>0</v>
      </c>
      <c r="N44" s="19" t="s">
        <v>659</v>
      </c>
    </row>
    <row r="45" spans="2:14" ht="19.7" customHeight="1" x14ac:dyDescent="0.2">
      <c r="B45" s="59" t="s">
        <v>124</v>
      </c>
      <c r="C45" s="16" t="s">
        <v>470</v>
      </c>
      <c r="D45" s="18">
        <v>20</v>
      </c>
      <c r="E45" s="17" t="s">
        <v>399</v>
      </c>
      <c r="F45" s="24">
        <f t="shared" si="5"/>
        <v>49200</v>
      </c>
      <c r="G45" s="57">
        <f t="shared" si="6"/>
        <v>984000</v>
      </c>
      <c r="H45" s="56">
        <f>자재단가!R14</f>
        <v>49200</v>
      </c>
      <c r="I45" s="57">
        <f>TRUNC(D45*H45,0)</f>
        <v>984000</v>
      </c>
      <c r="J45" s="56">
        <f>자재단가!AA14</f>
        <v>0</v>
      </c>
      <c r="K45" s="57">
        <f>TRUNC(D45*J45,0)</f>
        <v>0</v>
      </c>
      <c r="L45" s="56">
        <f>자재단가!AC14</f>
        <v>0</v>
      </c>
      <c r="M45" s="57">
        <f>TRUNC(D45*L45,0)</f>
        <v>0</v>
      </c>
      <c r="N45" s="19" t="s">
        <v>659</v>
      </c>
    </row>
    <row r="46" spans="2:14" ht="19.7" customHeight="1" x14ac:dyDescent="0.2">
      <c r="B46" s="53" t="s">
        <v>161</v>
      </c>
      <c r="C46" s="54" t="s">
        <v>659</v>
      </c>
      <c r="D46" s="18"/>
      <c r="E46" s="85" t="s">
        <v>659</v>
      </c>
      <c r="F46" s="24">
        <f t="shared" si="5"/>
        <v>0</v>
      </c>
      <c r="G46" s="86">
        <f t="shared" si="6"/>
        <v>8268146</v>
      </c>
      <c r="H46" s="24"/>
      <c r="I46" s="86" t="str">
        <f>TEXT(SUM(I47:I57),"#,##0")</f>
        <v>8,268,146</v>
      </c>
      <c r="J46" s="24"/>
      <c r="K46" s="57" t="str">
        <f>TEXT(SUM(K47:K57),"#,##0")</f>
        <v>0</v>
      </c>
      <c r="L46" s="24"/>
      <c r="M46" s="57" t="str">
        <f>TEXT(SUM(M47:M57),"#,##0")</f>
        <v>0</v>
      </c>
      <c r="N46" s="87" t="s">
        <v>659</v>
      </c>
    </row>
    <row r="47" spans="2:14" ht="19.7" customHeight="1" x14ac:dyDescent="0.2">
      <c r="B47" s="59" t="s">
        <v>227</v>
      </c>
      <c r="C47" s="16" t="s">
        <v>171</v>
      </c>
      <c r="D47" s="18">
        <v>4</v>
      </c>
      <c r="E47" s="17" t="s">
        <v>140</v>
      </c>
      <c r="F47" s="24">
        <f t="shared" si="5"/>
        <v>700000</v>
      </c>
      <c r="G47" s="57">
        <f t="shared" si="6"/>
        <v>2800000</v>
      </c>
      <c r="H47" s="56">
        <f>자재단가!R15</f>
        <v>700000</v>
      </c>
      <c r="I47" s="57">
        <f>TRUNC(D47*H47,0)</f>
        <v>2800000</v>
      </c>
      <c r="J47" s="56">
        <f>자재단가!AA15</f>
        <v>0</v>
      </c>
      <c r="K47" s="57">
        <f>TRUNC(D47*J47,0)</f>
        <v>0</v>
      </c>
      <c r="L47" s="56">
        <f>자재단가!AC15</f>
        <v>0</v>
      </c>
      <c r="M47" s="57">
        <f>TRUNC(D47*L47,0)</f>
        <v>0</v>
      </c>
      <c r="N47" s="19" t="s">
        <v>659</v>
      </c>
    </row>
    <row r="48" spans="2:14" ht="19.7" customHeight="1" x14ac:dyDescent="0.2">
      <c r="B48" s="59" t="s">
        <v>267</v>
      </c>
      <c r="C48" s="16" t="s">
        <v>659</v>
      </c>
      <c r="D48" s="18">
        <v>2</v>
      </c>
      <c r="E48" s="17" t="s">
        <v>294</v>
      </c>
      <c r="F48" s="24">
        <f t="shared" si="5"/>
        <v>2000000</v>
      </c>
      <c r="G48" s="57">
        <f t="shared" si="6"/>
        <v>4000000</v>
      </c>
      <c r="H48" s="56">
        <f>자재단가!R11</f>
        <v>2000000</v>
      </c>
      <c r="I48" s="57">
        <f>TRUNC(D48*H48,0)</f>
        <v>4000000</v>
      </c>
      <c r="J48" s="56">
        <f>자재단가!AA11</f>
        <v>0</v>
      </c>
      <c r="K48" s="57">
        <f>TRUNC(D48*J48,0)</f>
        <v>0</v>
      </c>
      <c r="L48" s="56">
        <f>자재단가!AC11</f>
        <v>0</v>
      </c>
      <c r="M48" s="57">
        <f>TRUNC(D48*L48,0)</f>
        <v>0</v>
      </c>
      <c r="N48" s="19" t="s">
        <v>659</v>
      </c>
    </row>
    <row r="49" spans="2:14" ht="19.7" customHeight="1" x14ac:dyDescent="0.2">
      <c r="B49" s="59" t="s">
        <v>85</v>
      </c>
      <c r="C49" s="16" t="s">
        <v>659</v>
      </c>
      <c r="D49" s="18">
        <v>1</v>
      </c>
      <c r="E49" s="17" t="s">
        <v>514</v>
      </c>
      <c r="F49" s="24">
        <f t="shared" si="5"/>
        <v>1000000</v>
      </c>
      <c r="G49" s="57">
        <f t="shared" si="6"/>
        <v>1000000</v>
      </c>
      <c r="H49" s="56">
        <f>자재단가!R12</f>
        <v>1000000</v>
      </c>
      <c r="I49" s="57">
        <f>TRUNC(D49*H49,0)</f>
        <v>1000000</v>
      </c>
      <c r="J49" s="56">
        <f>자재단가!AA12</f>
        <v>0</v>
      </c>
      <c r="K49" s="57">
        <f>TRUNC(D49*J49,0)</f>
        <v>0</v>
      </c>
      <c r="L49" s="56">
        <f>자재단가!AC12</f>
        <v>0</v>
      </c>
      <c r="M49" s="57">
        <f>TRUNC(D49*L49,0)</f>
        <v>0</v>
      </c>
      <c r="N49" s="19" t="s">
        <v>659</v>
      </c>
    </row>
    <row r="50" spans="2:14" ht="19.7" customHeight="1" x14ac:dyDescent="0.2">
      <c r="B50" s="59" t="s">
        <v>583</v>
      </c>
      <c r="C50" s="16" t="s">
        <v>301</v>
      </c>
      <c r="D50" s="18">
        <v>98</v>
      </c>
      <c r="E50" s="17" t="s">
        <v>464</v>
      </c>
      <c r="F50" s="24">
        <f t="shared" si="5"/>
        <v>4777</v>
      </c>
      <c r="G50" s="57">
        <f t="shared" si="6"/>
        <v>468146</v>
      </c>
      <c r="H50" s="56">
        <f>자재단가!R23</f>
        <v>4777</v>
      </c>
      <c r="I50" s="57">
        <f>TRUNC(D50*H50,0)</f>
        <v>468146</v>
      </c>
      <c r="J50" s="56">
        <f>자재단가!AA23</f>
        <v>0</v>
      </c>
      <c r="K50" s="57">
        <f>TRUNC(D50*J50,0)</f>
        <v>0</v>
      </c>
      <c r="L50" s="56">
        <f>자재단가!AC23</f>
        <v>0</v>
      </c>
      <c r="M50" s="57">
        <f>TRUNC(D50*L50,0)</f>
        <v>0</v>
      </c>
      <c r="N50" s="19" t="s">
        <v>659</v>
      </c>
    </row>
    <row r="51" spans="2:14" ht="19.7" customHeight="1" x14ac:dyDescent="0.2">
      <c r="B51" s="59" t="s">
        <v>270</v>
      </c>
      <c r="C51" s="16" t="s">
        <v>659</v>
      </c>
      <c r="D51" s="18"/>
      <c r="E51" s="17" t="s">
        <v>659</v>
      </c>
      <c r="F51" s="24">
        <f t="shared" si="5"/>
        <v>0</v>
      </c>
      <c r="G51" s="57">
        <f t="shared" si="6"/>
        <v>0</v>
      </c>
      <c r="H51" s="24"/>
      <c r="I51" s="18"/>
      <c r="J51" s="24"/>
      <c r="K51" s="18"/>
      <c r="L51" s="24"/>
      <c r="M51" s="18"/>
      <c r="N51" s="19" t="s">
        <v>659</v>
      </c>
    </row>
    <row r="52" spans="2:14" ht="19.7" customHeight="1" x14ac:dyDescent="0.2">
      <c r="B52" s="59" t="s">
        <v>270</v>
      </c>
      <c r="C52" s="16" t="s">
        <v>659</v>
      </c>
      <c r="D52" s="18"/>
      <c r="E52" s="17" t="s">
        <v>659</v>
      </c>
      <c r="F52" s="24">
        <f t="shared" si="5"/>
        <v>0</v>
      </c>
      <c r="G52" s="57">
        <f t="shared" si="6"/>
        <v>0</v>
      </c>
      <c r="H52" s="24"/>
      <c r="I52" s="18"/>
      <c r="J52" s="24"/>
      <c r="K52" s="18"/>
      <c r="L52" s="24"/>
      <c r="M52" s="18"/>
      <c r="N52" s="19" t="s">
        <v>659</v>
      </c>
    </row>
    <row r="53" spans="2:14" ht="19.7" customHeight="1" x14ac:dyDescent="0.2">
      <c r="B53" s="59" t="s">
        <v>270</v>
      </c>
      <c r="C53" s="16" t="s">
        <v>659</v>
      </c>
      <c r="D53" s="18"/>
      <c r="E53" s="17" t="s">
        <v>659</v>
      </c>
      <c r="F53" s="24">
        <f t="shared" si="5"/>
        <v>0</v>
      </c>
      <c r="G53" s="57">
        <f t="shared" si="6"/>
        <v>0</v>
      </c>
      <c r="H53" s="24"/>
      <c r="I53" s="18"/>
      <c r="J53" s="24"/>
      <c r="K53" s="18"/>
      <c r="L53" s="24"/>
      <c r="M53" s="18"/>
      <c r="N53" s="19" t="s">
        <v>659</v>
      </c>
    </row>
    <row r="54" spans="2:14" ht="19.7" customHeight="1" x14ac:dyDescent="0.2">
      <c r="B54" s="59" t="s">
        <v>270</v>
      </c>
      <c r="C54" s="16" t="s">
        <v>659</v>
      </c>
      <c r="D54" s="18"/>
      <c r="E54" s="17" t="s">
        <v>659</v>
      </c>
      <c r="F54" s="24">
        <f t="shared" si="5"/>
        <v>0</v>
      </c>
      <c r="G54" s="57">
        <f t="shared" si="6"/>
        <v>0</v>
      </c>
      <c r="H54" s="24"/>
      <c r="I54" s="18"/>
      <c r="J54" s="24"/>
      <c r="K54" s="18"/>
      <c r="L54" s="24"/>
      <c r="M54" s="18"/>
      <c r="N54" s="19" t="s">
        <v>659</v>
      </c>
    </row>
    <row r="55" spans="2:14" ht="19.7" customHeight="1" x14ac:dyDescent="0.2">
      <c r="B55" s="59" t="s">
        <v>270</v>
      </c>
      <c r="C55" s="16" t="s">
        <v>659</v>
      </c>
      <c r="D55" s="18"/>
      <c r="E55" s="17" t="s">
        <v>659</v>
      </c>
      <c r="F55" s="24">
        <f t="shared" si="5"/>
        <v>0</v>
      </c>
      <c r="G55" s="57">
        <f t="shared" si="6"/>
        <v>0</v>
      </c>
      <c r="H55" s="24"/>
      <c r="I55" s="18"/>
      <c r="J55" s="24"/>
      <c r="K55" s="18"/>
      <c r="L55" s="24"/>
      <c r="M55" s="18"/>
      <c r="N55" s="19" t="s">
        <v>659</v>
      </c>
    </row>
    <row r="56" spans="2:14" ht="19.7" customHeight="1" x14ac:dyDescent="0.2">
      <c r="B56" s="61" t="s">
        <v>270</v>
      </c>
      <c r="C56" s="21" t="s">
        <v>659</v>
      </c>
      <c r="D56" s="6"/>
      <c r="E56" s="22" t="s">
        <v>659</v>
      </c>
      <c r="F56" s="11">
        <f t="shared" si="5"/>
        <v>0</v>
      </c>
      <c r="G56" s="66">
        <f t="shared" si="6"/>
        <v>0</v>
      </c>
      <c r="H56" s="11"/>
      <c r="I56" s="6"/>
      <c r="J56" s="11"/>
      <c r="K56" s="6"/>
      <c r="L56" s="11"/>
      <c r="M56" s="6"/>
      <c r="N56" s="23" t="s">
        <v>659</v>
      </c>
    </row>
    <row r="57" spans="2:14" ht="19.7" customHeight="1" x14ac:dyDescent="0.2">
      <c r="B57" s="59" t="s">
        <v>270</v>
      </c>
      <c r="C57" s="16" t="s">
        <v>659</v>
      </c>
      <c r="D57" s="18"/>
      <c r="E57" s="17" t="s">
        <v>659</v>
      </c>
      <c r="F57" s="24">
        <f t="shared" si="5"/>
        <v>0</v>
      </c>
      <c r="G57" s="57">
        <f t="shared" si="6"/>
        <v>0</v>
      </c>
      <c r="H57" s="24"/>
      <c r="I57" s="18"/>
      <c r="J57" s="24"/>
      <c r="K57" s="18"/>
      <c r="L57" s="24"/>
      <c r="M57" s="18"/>
      <c r="N57" s="19" t="s">
        <v>659</v>
      </c>
    </row>
    <row r="58" spans="2:14" ht="19.7" customHeight="1" x14ac:dyDescent="0.2">
      <c r="B58" s="59" t="s">
        <v>270</v>
      </c>
      <c r="C58" s="16" t="s">
        <v>659</v>
      </c>
      <c r="D58" s="18"/>
      <c r="E58" s="17" t="s">
        <v>659</v>
      </c>
      <c r="F58" s="24">
        <f t="shared" si="5"/>
        <v>0</v>
      </c>
      <c r="G58" s="57">
        <f t="shared" si="6"/>
        <v>0</v>
      </c>
      <c r="H58" s="24"/>
      <c r="I58" s="18"/>
      <c r="J58" s="24"/>
      <c r="K58" s="18"/>
      <c r="L58" s="24"/>
      <c r="M58" s="18"/>
      <c r="N58" s="19" t="s">
        <v>659</v>
      </c>
    </row>
    <row r="59" spans="2:14" ht="19.7" customHeight="1" x14ac:dyDescent="0.2">
      <c r="B59" s="59" t="s">
        <v>270</v>
      </c>
      <c r="C59" s="16" t="s">
        <v>659</v>
      </c>
      <c r="D59" s="18"/>
      <c r="E59" s="17" t="s">
        <v>659</v>
      </c>
      <c r="F59" s="24">
        <f t="shared" si="5"/>
        <v>0</v>
      </c>
      <c r="G59" s="57">
        <f t="shared" si="6"/>
        <v>0</v>
      </c>
      <c r="H59" s="24"/>
      <c r="I59" s="18"/>
      <c r="J59" s="24"/>
      <c r="K59" s="18"/>
      <c r="L59" s="24"/>
      <c r="M59" s="18"/>
      <c r="N59" s="19" t="s">
        <v>659</v>
      </c>
    </row>
    <row r="60" spans="2:14" ht="19.7" customHeight="1" x14ac:dyDescent="0.2">
      <c r="B60" s="59" t="s">
        <v>270</v>
      </c>
      <c r="C60" s="16" t="s">
        <v>659</v>
      </c>
      <c r="D60" s="18"/>
      <c r="E60" s="17" t="s">
        <v>659</v>
      </c>
      <c r="F60" s="24">
        <f t="shared" si="5"/>
        <v>0</v>
      </c>
      <c r="G60" s="57">
        <f t="shared" si="6"/>
        <v>0</v>
      </c>
      <c r="H60" s="24"/>
      <c r="I60" s="18"/>
      <c r="J60" s="24"/>
      <c r="K60" s="18"/>
      <c r="L60" s="24"/>
      <c r="M60" s="18"/>
      <c r="N60" s="19" t="s">
        <v>659</v>
      </c>
    </row>
    <row r="61" spans="2:14" ht="19.7" customHeight="1" x14ac:dyDescent="0.2">
      <c r="B61" s="59" t="s">
        <v>270</v>
      </c>
      <c r="C61" s="16" t="s">
        <v>659</v>
      </c>
      <c r="D61" s="18"/>
      <c r="E61" s="17" t="s">
        <v>659</v>
      </c>
      <c r="F61" s="24">
        <f t="shared" si="5"/>
        <v>0</v>
      </c>
      <c r="G61" s="57">
        <f t="shared" si="6"/>
        <v>0</v>
      </c>
      <c r="H61" s="24"/>
      <c r="I61" s="18"/>
      <c r="J61" s="24"/>
      <c r="K61" s="18"/>
      <c r="L61" s="24"/>
      <c r="M61" s="18"/>
      <c r="N61" s="19" t="s">
        <v>659</v>
      </c>
    </row>
    <row r="62" spans="2:14" ht="19.7" customHeight="1" x14ac:dyDescent="0.2">
      <c r="B62" s="59" t="s">
        <v>270</v>
      </c>
      <c r="C62" s="16" t="s">
        <v>659</v>
      </c>
      <c r="D62" s="18"/>
      <c r="E62" s="17" t="s">
        <v>659</v>
      </c>
      <c r="F62" s="24">
        <f t="shared" si="5"/>
        <v>0</v>
      </c>
      <c r="G62" s="57">
        <f t="shared" si="6"/>
        <v>0</v>
      </c>
      <c r="H62" s="24"/>
      <c r="I62" s="18"/>
      <c r="J62" s="24"/>
      <c r="K62" s="18"/>
      <c r="L62" s="24"/>
      <c r="M62" s="18"/>
      <c r="N62" s="19" t="s">
        <v>659</v>
      </c>
    </row>
    <row r="63" spans="2:14" ht="19.7" customHeight="1" x14ac:dyDescent="0.2">
      <c r="B63" s="59" t="s">
        <v>270</v>
      </c>
      <c r="C63" s="16" t="s">
        <v>659</v>
      </c>
      <c r="D63" s="18"/>
      <c r="E63" s="17" t="s">
        <v>659</v>
      </c>
      <c r="F63" s="24">
        <f t="shared" si="5"/>
        <v>0</v>
      </c>
      <c r="G63" s="57">
        <f t="shared" si="6"/>
        <v>0</v>
      </c>
      <c r="H63" s="24"/>
      <c r="I63" s="18"/>
      <c r="J63" s="24"/>
      <c r="K63" s="18"/>
      <c r="L63" s="24"/>
      <c r="M63" s="18"/>
      <c r="N63" s="19" t="s">
        <v>659</v>
      </c>
    </row>
    <row r="64" spans="2:14" ht="19.7" customHeight="1" x14ac:dyDescent="0.2">
      <c r="B64" s="59" t="s">
        <v>270</v>
      </c>
      <c r="C64" s="16" t="s">
        <v>659</v>
      </c>
      <c r="D64" s="18"/>
      <c r="E64" s="17" t="s">
        <v>659</v>
      </c>
      <c r="F64" s="24">
        <f t="shared" si="5"/>
        <v>0</v>
      </c>
      <c r="G64" s="57">
        <f t="shared" si="6"/>
        <v>0</v>
      </c>
      <c r="H64" s="24"/>
      <c r="I64" s="18"/>
      <c r="J64" s="24"/>
      <c r="K64" s="18"/>
      <c r="L64" s="24"/>
      <c r="M64" s="18"/>
      <c r="N64" s="19" t="s">
        <v>659</v>
      </c>
    </row>
    <row r="65" spans="2:14" ht="19.7" customHeight="1" x14ac:dyDescent="0.2">
      <c r="B65" s="59" t="s">
        <v>270</v>
      </c>
      <c r="C65" s="16" t="s">
        <v>659</v>
      </c>
      <c r="D65" s="18"/>
      <c r="E65" s="17" t="s">
        <v>659</v>
      </c>
      <c r="F65" s="24">
        <f t="shared" si="5"/>
        <v>0</v>
      </c>
      <c r="G65" s="57">
        <f t="shared" si="6"/>
        <v>0</v>
      </c>
      <c r="H65" s="24"/>
      <c r="I65" s="18"/>
      <c r="J65" s="24"/>
      <c r="K65" s="18"/>
      <c r="L65" s="24"/>
      <c r="M65" s="18"/>
      <c r="N65" s="19" t="s">
        <v>659</v>
      </c>
    </row>
    <row r="66" spans="2:14" ht="19.7" customHeight="1" x14ac:dyDescent="0.2">
      <c r="B66" s="59" t="s">
        <v>270</v>
      </c>
      <c r="C66" s="16" t="s">
        <v>659</v>
      </c>
      <c r="D66" s="18"/>
      <c r="E66" s="17" t="s">
        <v>659</v>
      </c>
      <c r="F66" s="24">
        <f t="shared" si="5"/>
        <v>0</v>
      </c>
      <c r="G66" s="57">
        <f t="shared" si="6"/>
        <v>0</v>
      </c>
      <c r="H66" s="24"/>
      <c r="I66" s="18"/>
      <c r="J66" s="24"/>
      <c r="K66" s="18"/>
      <c r="L66" s="24"/>
      <c r="M66" s="18"/>
      <c r="N66" s="19" t="s">
        <v>659</v>
      </c>
    </row>
    <row r="67" spans="2:14" ht="19.7" customHeight="1" x14ac:dyDescent="0.2">
      <c r="B67" s="59" t="s">
        <v>270</v>
      </c>
      <c r="C67" s="16" t="s">
        <v>659</v>
      </c>
      <c r="D67" s="18"/>
      <c r="E67" s="17" t="s">
        <v>659</v>
      </c>
      <c r="F67" s="24">
        <f t="shared" si="5"/>
        <v>0</v>
      </c>
      <c r="G67" s="57">
        <f t="shared" si="6"/>
        <v>0</v>
      </c>
      <c r="H67" s="24"/>
      <c r="I67" s="18"/>
      <c r="J67" s="24"/>
      <c r="K67" s="18"/>
      <c r="L67" s="24"/>
      <c r="M67" s="18"/>
      <c r="N67" s="19" t="s">
        <v>659</v>
      </c>
    </row>
    <row r="68" spans="2:14" ht="19.7" customHeight="1" x14ac:dyDescent="0.2">
      <c r="B68" s="59" t="s">
        <v>270</v>
      </c>
      <c r="C68" s="16" t="s">
        <v>659</v>
      </c>
      <c r="D68" s="18"/>
      <c r="E68" s="17" t="s">
        <v>659</v>
      </c>
      <c r="F68" s="24">
        <f t="shared" si="5"/>
        <v>0</v>
      </c>
      <c r="G68" s="57">
        <f t="shared" si="6"/>
        <v>0</v>
      </c>
      <c r="H68" s="24"/>
      <c r="I68" s="18"/>
      <c r="J68" s="24"/>
      <c r="K68" s="18"/>
      <c r="L68" s="24"/>
      <c r="M68" s="18"/>
      <c r="N68" s="19" t="s">
        <v>659</v>
      </c>
    </row>
    <row r="69" spans="2:14" ht="19.7" customHeight="1" x14ac:dyDescent="0.2">
      <c r="B69" s="59" t="s">
        <v>270</v>
      </c>
      <c r="C69" s="16" t="s">
        <v>659</v>
      </c>
      <c r="D69" s="18"/>
      <c r="E69" s="17" t="s">
        <v>659</v>
      </c>
      <c r="F69" s="24">
        <f t="shared" ref="F69:F87" si="7">J69+H69+L69</f>
        <v>0</v>
      </c>
      <c r="G69" s="57">
        <f t="shared" ref="G69:G87" si="8">K69+I69+M69</f>
        <v>0</v>
      </c>
      <c r="H69" s="24"/>
      <c r="I69" s="18"/>
      <c r="J69" s="24"/>
      <c r="K69" s="18"/>
      <c r="L69" s="24"/>
      <c r="M69" s="18"/>
      <c r="N69" s="19" t="s">
        <v>659</v>
      </c>
    </row>
    <row r="70" spans="2:14" ht="19.7" customHeight="1" x14ac:dyDescent="0.2">
      <c r="B70" s="59" t="s">
        <v>270</v>
      </c>
      <c r="C70" s="16" t="s">
        <v>659</v>
      </c>
      <c r="D70" s="18"/>
      <c r="E70" s="17" t="s">
        <v>659</v>
      </c>
      <c r="F70" s="24">
        <f t="shared" si="7"/>
        <v>0</v>
      </c>
      <c r="G70" s="57">
        <f t="shared" si="8"/>
        <v>0</v>
      </c>
      <c r="H70" s="24"/>
      <c r="I70" s="18"/>
      <c r="J70" s="24"/>
      <c r="K70" s="18"/>
      <c r="L70" s="24"/>
      <c r="M70" s="18"/>
      <c r="N70" s="19" t="s">
        <v>659</v>
      </c>
    </row>
    <row r="71" spans="2:14" ht="19.7" customHeight="1" x14ac:dyDescent="0.2">
      <c r="B71" s="59" t="s">
        <v>270</v>
      </c>
      <c r="C71" s="16" t="s">
        <v>659</v>
      </c>
      <c r="D71" s="18"/>
      <c r="E71" s="17" t="s">
        <v>659</v>
      </c>
      <c r="F71" s="24">
        <f t="shared" si="7"/>
        <v>0</v>
      </c>
      <c r="G71" s="57">
        <f t="shared" si="8"/>
        <v>0</v>
      </c>
      <c r="H71" s="24"/>
      <c r="I71" s="18"/>
      <c r="J71" s="24"/>
      <c r="K71" s="18"/>
      <c r="L71" s="24"/>
      <c r="M71" s="18"/>
      <c r="N71" s="19" t="s">
        <v>659</v>
      </c>
    </row>
    <row r="72" spans="2:14" ht="19.7" customHeight="1" x14ac:dyDescent="0.2">
      <c r="B72" s="59" t="s">
        <v>270</v>
      </c>
      <c r="C72" s="16" t="s">
        <v>659</v>
      </c>
      <c r="D72" s="18"/>
      <c r="E72" s="17" t="s">
        <v>659</v>
      </c>
      <c r="F72" s="24">
        <f t="shared" si="7"/>
        <v>0</v>
      </c>
      <c r="G72" s="57">
        <f t="shared" si="8"/>
        <v>0</v>
      </c>
      <c r="H72" s="24"/>
      <c r="I72" s="18"/>
      <c r="J72" s="24"/>
      <c r="K72" s="18"/>
      <c r="L72" s="24"/>
      <c r="M72" s="18"/>
      <c r="N72" s="19" t="s">
        <v>659</v>
      </c>
    </row>
    <row r="73" spans="2:14" ht="19.7" customHeight="1" x14ac:dyDescent="0.2">
      <c r="B73" s="59" t="s">
        <v>270</v>
      </c>
      <c r="C73" s="16" t="s">
        <v>659</v>
      </c>
      <c r="D73" s="18"/>
      <c r="E73" s="17" t="s">
        <v>659</v>
      </c>
      <c r="F73" s="24">
        <f t="shared" si="7"/>
        <v>0</v>
      </c>
      <c r="G73" s="57">
        <f t="shared" si="8"/>
        <v>0</v>
      </c>
      <c r="H73" s="24"/>
      <c r="I73" s="18"/>
      <c r="J73" s="24"/>
      <c r="K73" s="18"/>
      <c r="L73" s="24"/>
      <c r="M73" s="18"/>
      <c r="N73" s="19" t="s">
        <v>659</v>
      </c>
    </row>
    <row r="74" spans="2:14" ht="19.7" customHeight="1" x14ac:dyDescent="0.2">
      <c r="B74" s="53" t="s">
        <v>416</v>
      </c>
      <c r="C74" s="54" t="s">
        <v>659</v>
      </c>
      <c r="D74" s="18"/>
      <c r="E74" s="85" t="s">
        <v>659</v>
      </c>
      <c r="F74" s="24">
        <f t="shared" si="7"/>
        <v>0</v>
      </c>
      <c r="G74" s="86">
        <f t="shared" si="8"/>
        <v>7736000</v>
      </c>
      <c r="H74" s="24"/>
      <c r="I74" s="86" t="str">
        <f>TEXT(I75+I78,"#,##0")</f>
        <v>7,560,090</v>
      </c>
      <c r="J74" s="24"/>
      <c r="K74" s="57" t="str">
        <f>TEXT(K75+K78,"#,##0")</f>
        <v>0</v>
      </c>
      <c r="L74" s="24"/>
      <c r="M74" s="86" t="str">
        <f>TEXT(M75+M78,"#,##0")</f>
        <v>175,910</v>
      </c>
      <c r="N74" s="87" t="s">
        <v>659</v>
      </c>
    </row>
    <row r="75" spans="2:14" ht="19.7" customHeight="1" x14ac:dyDescent="0.2">
      <c r="B75" s="53" t="s">
        <v>173</v>
      </c>
      <c r="C75" s="54" t="s">
        <v>659</v>
      </c>
      <c r="D75" s="18"/>
      <c r="E75" s="85" t="s">
        <v>659</v>
      </c>
      <c r="F75" s="24">
        <f t="shared" si="7"/>
        <v>0</v>
      </c>
      <c r="G75" s="86">
        <f t="shared" si="8"/>
        <v>1600000</v>
      </c>
      <c r="H75" s="24"/>
      <c r="I75" s="86" t="str">
        <f>TEXT(SUM(I76:I77),"#,##0")</f>
        <v>1,549,890</v>
      </c>
      <c r="J75" s="24"/>
      <c r="K75" s="57" t="str">
        <f>TEXT(SUM(K76:K77),"#,##0")</f>
        <v>0</v>
      </c>
      <c r="L75" s="24"/>
      <c r="M75" s="86" t="str">
        <f>TEXT(SUM(M76:M77),"#,##0")</f>
        <v>50,110</v>
      </c>
      <c r="N75" s="87" t="s">
        <v>659</v>
      </c>
    </row>
    <row r="76" spans="2:14" ht="19.7" customHeight="1" x14ac:dyDescent="0.2">
      <c r="B76" s="59" t="s">
        <v>293</v>
      </c>
      <c r="C76" s="16" t="s">
        <v>199</v>
      </c>
      <c r="D76" s="18">
        <v>17</v>
      </c>
      <c r="E76" s="17" t="s">
        <v>452</v>
      </c>
      <c r="F76" s="24">
        <f t="shared" si="7"/>
        <v>91170</v>
      </c>
      <c r="G76" s="57">
        <f t="shared" si="8"/>
        <v>1549890</v>
      </c>
      <c r="H76" s="56">
        <f>자재단가!R19</f>
        <v>91170</v>
      </c>
      <c r="I76" s="57">
        <f>TRUNC(D76*H76,0)</f>
        <v>1549890</v>
      </c>
      <c r="J76" s="56">
        <f>자재단가!AA19</f>
        <v>0</v>
      </c>
      <c r="K76" s="57">
        <f>TRUNC(D76*J76,0)</f>
        <v>0</v>
      </c>
      <c r="L76" s="56">
        <f>자재단가!AC19</f>
        <v>0</v>
      </c>
      <c r="M76" s="57">
        <f>TRUNC(D76*L76,0)</f>
        <v>0</v>
      </c>
      <c r="N76" s="19" t="s">
        <v>299</v>
      </c>
    </row>
    <row r="77" spans="2:14" ht="19.7" customHeight="1" x14ac:dyDescent="0.2">
      <c r="B77" s="59" t="s">
        <v>378</v>
      </c>
      <c r="C77" s="16" t="s">
        <v>659</v>
      </c>
      <c r="D77" s="88">
        <v>0.54</v>
      </c>
      <c r="E77" s="17" t="s">
        <v>144</v>
      </c>
      <c r="F77" s="24">
        <f t="shared" si="7"/>
        <v>1549890</v>
      </c>
      <c r="G77" s="57">
        <f t="shared" si="8"/>
        <v>50110</v>
      </c>
      <c r="H77" s="24"/>
      <c r="I77" s="18"/>
      <c r="J77" s="24"/>
      <c r="K77" s="18"/>
      <c r="L77" s="24">
        <v>1549890</v>
      </c>
      <c r="M77" s="18">
        <v>50110</v>
      </c>
      <c r="N77" s="19" t="s">
        <v>659</v>
      </c>
    </row>
    <row r="78" spans="2:14" ht="19.7" customHeight="1" x14ac:dyDescent="0.2">
      <c r="B78" s="53" t="s">
        <v>396</v>
      </c>
      <c r="C78" s="54" t="s">
        <v>659</v>
      </c>
      <c r="D78" s="18"/>
      <c r="E78" s="85" t="s">
        <v>659</v>
      </c>
      <c r="F78" s="24">
        <f t="shared" si="7"/>
        <v>0</v>
      </c>
      <c r="G78" s="86">
        <f t="shared" si="8"/>
        <v>6136000</v>
      </c>
      <c r="H78" s="24"/>
      <c r="I78" s="86" t="str">
        <f>TEXT(SUM(I79:I81),"#,##0")</f>
        <v>6,010,200</v>
      </c>
      <c r="J78" s="24"/>
      <c r="K78" s="57" t="str">
        <f>TEXT(SUM(K79:K81),"#,##0")</f>
        <v>0</v>
      </c>
      <c r="L78" s="24"/>
      <c r="M78" s="86" t="str">
        <f>TEXT(SUM(M79:M81),"#,##0")</f>
        <v>125,800</v>
      </c>
      <c r="N78" s="87" t="s">
        <v>659</v>
      </c>
    </row>
    <row r="79" spans="2:14" ht="19.7" customHeight="1" x14ac:dyDescent="0.2">
      <c r="B79" s="59" t="s">
        <v>107</v>
      </c>
      <c r="C79" s="16" t="s">
        <v>284</v>
      </c>
      <c r="D79" s="18">
        <v>210</v>
      </c>
      <c r="E79" s="17" t="s">
        <v>178</v>
      </c>
      <c r="F79" s="24">
        <f t="shared" si="7"/>
        <v>28620</v>
      </c>
      <c r="G79" s="57">
        <f t="shared" si="8"/>
        <v>6010200</v>
      </c>
      <c r="H79" s="56">
        <f>자재단가!R20</f>
        <v>28620</v>
      </c>
      <c r="I79" s="57">
        <f>TRUNC(D79*H79,0)</f>
        <v>6010200</v>
      </c>
      <c r="J79" s="56">
        <f>자재단가!AA20</f>
        <v>0</v>
      </c>
      <c r="K79" s="57">
        <f>TRUNC(D79*J79,0)</f>
        <v>0</v>
      </c>
      <c r="L79" s="56">
        <f>자재단가!AC20</f>
        <v>0</v>
      </c>
      <c r="M79" s="57">
        <f>TRUNC(D79*L79,0)</f>
        <v>0</v>
      </c>
      <c r="N79" s="19" t="s">
        <v>299</v>
      </c>
    </row>
    <row r="80" spans="2:14" ht="19.7" customHeight="1" x14ac:dyDescent="0.2">
      <c r="B80" s="59" t="s">
        <v>378</v>
      </c>
      <c r="C80" s="16" t="s">
        <v>659</v>
      </c>
      <c r="D80" s="88">
        <v>0.54</v>
      </c>
      <c r="E80" s="17" t="s">
        <v>144</v>
      </c>
      <c r="F80" s="24">
        <f t="shared" si="7"/>
        <v>5775000</v>
      </c>
      <c r="G80" s="57">
        <f t="shared" si="8"/>
        <v>125800</v>
      </c>
      <c r="H80" s="24"/>
      <c r="I80" s="18"/>
      <c r="J80" s="24"/>
      <c r="K80" s="18"/>
      <c r="L80" s="24">
        <v>5775000</v>
      </c>
      <c r="M80" s="18">
        <v>125800</v>
      </c>
      <c r="N80" s="19" t="s">
        <v>659</v>
      </c>
    </row>
    <row r="81" spans="2:14" ht="19.7" customHeight="1" x14ac:dyDescent="0.2">
      <c r="B81" s="59" t="s">
        <v>270</v>
      </c>
      <c r="C81" s="16" t="s">
        <v>659</v>
      </c>
      <c r="D81" s="18"/>
      <c r="E81" s="17" t="s">
        <v>659</v>
      </c>
      <c r="F81" s="24">
        <f t="shared" si="7"/>
        <v>0</v>
      </c>
      <c r="G81" s="57">
        <f t="shared" si="8"/>
        <v>0</v>
      </c>
      <c r="H81" s="24"/>
      <c r="I81" s="18"/>
      <c r="J81" s="24"/>
      <c r="K81" s="18"/>
      <c r="L81" s="24"/>
      <c r="M81" s="18"/>
      <c r="N81" s="19" t="s">
        <v>659</v>
      </c>
    </row>
    <row r="82" spans="2:14" ht="19.7" customHeight="1" x14ac:dyDescent="0.2">
      <c r="B82" s="90" t="s">
        <v>69</v>
      </c>
      <c r="C82" s="91" t="s">
        <v>659</v>
      </c>
      <c r="D82" s="6"/>
      <c r="E82" s="92" t="s">
        <v>659</v>
      </c>
      <c r="F82" s="11">
        <f t="shared" si="7"/>
        <v>0</v>
      </c>
      <c r="G82" s="93">
        <f t="shared" si="8"/>
        <v>3900000</v>
      </c>
      <c r="H82" s="11"/>
      <c r="I82" s="93" t="str">
        <f>TEXT(I83,"#,##0")</f>
        <v>3,800,000</v>
      </c>
      <c r="J82" s="11"/>
      <c r="K82" s="66" t="str">
        <f>TEXT(K83,"#,##0")</f>
        <v>0</v>
      </c>
      <c r="L82" s="11"/>
      <c r="M82" s="93" t="str">
        <f>TEXT(M83,"#,##0")</f>
        <v>100,000</v>
      </c>
      <c r="N82" s="94" t="s">
        <v>659</v>
      </c>
    </row>
    <row r="83" spans="2:14" ht="19.7" customHeight="1" x14ac:dyDescent="0.2">
      <c r="B83" s="53" t="s">
        <v>442</v>
      </c>
      <c r="C83" s="54" t="s">
        <v>659</v>
      </c>
      <c r="D83" s="18"/>
      <c r="E83" s="85" t="s">
        <v>659</v>
      </c>
      <c r="F83" s="24">
        <f t="shared" si="7"/>
        <v>0</v>
      </c>
      <c r="G83" s="86">
        <f t="shared" si="8"/>
        <v>3900000</v>
      </c>
      <c r="H83" s="24"/>
      <c r="I83" s="86" t="str">
        <f>TEXT(SUM(I84:I87),"#,##0")</f>
        <v>3,800,000</v>
      </c>
      <c r="J83" s="24"/>
      <c r="K83" s="57" t="str">
        <f>TEXT(SUM(K84:K87),"#,##0")</f>
        <v>0</v>
      </c>
      <c r="L83" s="24"/>
      <c r="M83" s="86" t="str">
        <f>TEXT(SUM(M84:M87),"#,##0")</f>
        <v>100,000</v>
      </c>
      <c r="N83" s="87" t="s">
        <v>659</v>
      </c>
    </row>
    <row r="84" spans="2:14" ht="19.7" customHeight="1" x14ac:dyDescent="0.2">
      <c r="B84" s="59" t="s">
        <v>236</v>
      </c>
      <c r="C84" s="16" t="s">
        <v>209</v>
      </c>
      <c r="D84" s="18">
        <v>2</v>
      </c>
      <c r="E84" s="17" t="s">
        <v>178</v>
      </c>
      <c r="F84" s="24">
        <f t="shared" si="7"/>
        <v>1900000</v>
      </c>
      <c r="G84" s="57">
        <f t="shared" si="8"/>
        <v>3800000</v>
      </c>
      <c r="H84" s="56">
        <f>자재단가!R21</f>
        <v>1900000</v>
      </c>
      <c r="I84" s="57">
        <f>TRUNC(D84*H84,0)</f>
        <v>3800000</v>
      </c>
      <c r="J84" s="56">
        <f>자재단가!AA21</f>
        <v>0</v>
      </c>
      <c r="K84" s="57">
        <f>TRUNC(D84*J84,0)</f>
        <v>0</v>
      </c>
      <c r="L84" s="56">
        <f>자재단가!AC21</f>
        <v>0</v>
      </c>
      <c r="M84" s="57">
        <f>TRUNC(D84*L84,0)</f>
        <v>0</v>
      </c>
      <c r="N84" s="19" t="s">
        <v>299</v>
      </c>
    </row>
    <row r="85" spans="2:14" ht="19.7" customHeight="1" x14ac:dyDescent="0.2">
      <c r="B85" s="59" t="s">
        <v>378</v>
      </c>
      <c r="C85" s="16" t="s">
        <v>659</v>
      </c>
      <c r="D85" s="88">
        <v>0.54</v>
      </c>
      <c r="E85" s="17" t="s">
        <v>144</v>
      </c>
      <c r="F85" s="24">
        <f t="shared" si="7"/>
        <v>3800000</v>
      </c>
      <c r="G85" s="57">
        <f t="shared" si="8"/>
        <v>100000</v>
      </c>
      <c r="H85" s="24"/>
      <c r="I85" s="18"/>
      <c r="J85" s="24"/>
      <c r="K85" s="18"/>
      <c r="L85" s="24">
        <v>3800000</v>
      </c>
      <c r="M85" s="18">
        <v>100000</v>
      </c>
      <c r="N85" s="19" t="s">
        <v>659</v>
      </c>
    </row>
    <row r="86" spans="2:14" ht="19.7" customHeight="1" x14ac:dyDescent="0.2">
      <c r="B86" s="59" t="s">
        <v>270</v>
      </c>
      <c r="C86" s="16" t="s">
        <v>659</v>
      </c>
      <c r="D86" s="18"/>
      <c r="E86" s="17" t="s">
        <v>659</v>
      </c>
      <c r="F86" s="24">
        <f t="shared" si="7"/>
        <v>0</v>
      </c>
      <c r="G86" s="57">
        <f t="shared" si="8"/>
        <v>0</v>
      </c>
      <c r="H86" s="24"/>
      <c r="I86" s="18"/>
      <c r="J86" s="24"/>
      <c r="K86" s="18"/>
      <c r="L86" s="24"/>
      <c r="M86" s="18"/>
      <c r="N86" s="19" t="s">
        <v>659</v>
      </c>
    </row>
    <row r="87" spans="2:14" x14ac:dyDescent="0.2">
      <c r="B87" s="61" t="s">
        <v>270</v>
      </c>
      <c r="C87" s="21" t="s">
        <v>659</v>
      </c>
      <c r="D87" s="6"/>
      <c r="E87" s="22" t="s">
        <v>659</v>
      </c>
      <c r="F87" s="11">
        <f t="shared" si="7"/>
        <v>0</v>
      </c>
      <c r="G87" s="66">
        <f t="shared" si="8"/>
        <v>0</v>
      </c>
      <c r="H87" s="11"/>
      <c r="I87" s="6"/>
      <c r="J87" s="11"/>
      <c r="K87" s="6"/>
      <c r="L87" s="11"/>
      <c r="M87" s="6"/>
      <c r="N87" s="23" t="s">
        <v>659</v>
      </c>
    </row>
    <row r="88" spans="2:14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</sheetData>
  <mergeCells count="10">
    <mergeCell ref="J3:K3"/>
    <mergeCell ref="L3:M3"/>
    <mergeCell ref="N3:N4"/>
    <mergeCell ref="B1:N2"/>
    <mergeCell ref="B3:B4"/>
    <mergeCell ref="C3:C4"/>
    <mergeCell ref="D3:D4"/>
    <mergeCell ref="E3:E4"/>
    <mergeCell ref="F3:G3"/>
    <mergeCell ref="H3:I3"/>
  </mergeCells>
  <phoneticPr fontId="5" type="noConversion"/>
  <pageMargins left="0.98425196850393704" right="7.874015748031496E-2" top="0.6692913385826772" bottom="0.59055118110236215" header="0.5" footer="0.5"/>
  <pageSetup paperSize="9" scale="75" orientation="landscape" r:id="rId1"/>
  <headerFooter alignWithMargins="0"/>
  <rowBreaks count="2" manualBreakCount="2">
    <brk id="30" min="1" max="13" man="1"/>
    <brk id="56" min="1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5"/>
  <sheetViews>
    <sheetView view="pageBreakPreview" zoomScale="60" zoomScaleNormal="100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13.140625" customWidth="1"/>
    <col min="3" max="3" width="26.42578125" customWidth="1"/>
    <col min="4" max="4" width="24.140625" customWidth="1"/>
    <col min="5" max="5" width="8.85546875" customWidth="1"/>
    <col min="6" max="9" width="16.42578125" customWidth="1"/>
    <col min="10" max="10" width="15.42578125" customWidth="1"/>
  </cols>
  <sheetData>
    <row r="1" spans="2:29" ht="24.95" customHeight="1" x14ac:dyDescent="0.2">
      <c r="B1" s="110" t="s">
        <v>412</v>
      </c>
      <c r="C1" s="110"/>
      <c r="D1" s="110"/>
      <c r="E1" s="110"/>
      <c r="F1" s="110"/>
      <c r="G1" s="110"/>
      <c r="H1" s="110"/>
      <c r="I1" s="110"/>
      <c r="J1" s="110"/>
    </row>
    <row r="2" spans="2:29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</row>
    <row r="3" spans="2:29" ht="30.75" customHeight="1" x14ac:dyDescent="0.2">
      <c r="B3" s="1" t="s">
        <v>457</v>
      </c>
      <c r="C3" s="2" t="s">
        <v>413</v>
      </c>
      <c r="D3" s="2" t="s">
        <v>501</v>
      </c>
      <c r="E3" s="2" t="s">
        <v>244</v>
      </c>
      <c r="F3" s="2" t="s">
        <v>636</v>
      </c>
      <c r="G3" s="2" t="s">
        <v>400</v>
      </c>
      <c r="H3" s="2" t="s">
        <v>543</v>
      </c>
      <c r="I3" s="2" t="s">
        <v>44</v>
      </c>
      <c r="J3" s="3" t="s">
        <v>155</v>
      </c>
      <c r="Z3" t="s">
        <v>408</v>
      </c>
      <c r="AA3" t="s">
        <v>453</v>
      </c>
      <c r="AB3" t="s">
        <v>648</v>
      </c>
      <c r="AC3" t="s">
        <v>427</v>
      </c>
    </row>
    <row r="4" spans="2:29" ht="19.7" customHeight="1" x14ac:dyDescent="0.2">
      <c r="B4" s="20" t="s">
        <v>203</v>
      </c>
      <c r="C4" s="21" t="s">
        <v>137</v>
      </c>
      <c r="D4" s="21" t="s">
        <v>539</v>
      </c>
      <c r="E4" s="22" t="s">
        <v>140</v>
      </c>
      <c r="F4" s="66">
        <f>H4+G4+I4</f>
        <v>138824</v>
      </c>
      <c r="G4" s="66">
        <f>일위대가!J5</f>
        <v>14662</v>
      </c>
      <c r="H4" s="66">
        <f>일위대가!L5</f>
        <v>112486</v>
      </c>
      <c r="I4" s="66">
        <f>일위대가!N5</f>
        <v>11676</v>
      </c>
      <c r="J4" s="23" t="s">
        <v>659</v>
      </c>
      <c r="Z4" s="14">
        <v>138824</v>
      </c>
      <c r="AA4" s="14">
        <v>112486</v>
      </c>
      <c r="AB4" s="14">
        <v>14662</v>
      </c>
      <c r="AC4" s="14">
        <v>11676</v>
      </c>
    </row>
    <row r="5" spans="2:29" x14ac:dyDescent="0.2">
      <c r="B5" s="8"/>
      <c r="C5" s="8"/>
      <c r="D5" s="8"/>
      <c r="E5" s="8"/>
      <c r="F5" s="8"/>
      <c r="G5" s="8"/>
      <c r="H5" s="8"/>
      <c r="I5" s="8"/>
      <c r="J5" s="8"/>
    </row>
  </sheetData>
  <mergeCells count="1">
    <mergeCell ref="B1:J2"/>
  </mergeCells>
  <phoneticPr fontId="5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10"/>
  <sheetViews>
    <sheetView view="pageBreakPreview" zoomScale="60" zoomScaleNormal="10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7.28515625" customWidth="1"/>
    <col min="3" max="3" width="29.28515625" customWidth="1"/>
    <col min="4" max="4" width="21.140625" customWidth="1"/>
    <col min="5" max="5" width="6.5703125" customWidth="1"/>
    <col min="6" max="6" width="3.7109375" customWidth="1"/>
    <col min="7" max="7" width="9.140625" customWidth="1"/>
    <col min="8" max="8" width="10.5703125" customWidth="1"/>
    <col min="9" max="9" width="8.85546875" customWidth="1"/>
    <col min="10" max="10" width="10.28515625" customWidth="1"/>
    <col min="11" max="11" width="9.140625" customWidth="1"/>
    <col min="12" max="12" width="10.5703125" customWidth="1"/>
    <col min="13" max="13" width="8.85546875" customWidth="1"/>
    <col min="14" max="14" width="10.28515625" customWidth="1"/>
    <col min="15" max="15" width="8.7109375" customWidth="1"/>
  </cols>
  <sheetData>
    <row r="1" spans="2:15" ht="24.95" customHeight="1" x14ac:dyDescent="0.2">
      <c r="B1" s="110" t="s">
        <v>75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2:15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2:15" ht="15.4" customHeight="1" x14ac:dyDescent="0.2">
      <c r="B3" s="116" t="s">
        <v>457</v>
      </c>
      <c r="C3" s="118" t="s">
        <v>413</v>
      </c>
      <c r="D3" s="118" t="s">
        <v>501</v>
      </c>
      <c r="E3" s="118" t="s">
        <v>24</v>
      </c>
      <c r="F3" s="118" t="s">
        <v>244</v>
      </c>
      <c r="G3" s="112" t="s">
        <v>636</v>
      </c>
      <c r="H3" s="113"/>
      <c r="I3" s="112" t="s">
        <v>400</v>
      </c>
      <c r="J3" s="113"/>
      <c r="K3" s="112" t="s">
        <v>543</v>
      </c>
      <c r="L3" s="113"/>
      <c r="M3" s="112" t="s">
        <v>44</v>
      </c>
      <c r="N3" s="113"/>
      <c r="O3" s="114" t="s">
        <v>155</v>
      </c>
    </row>
    <row r="4" spans="2:15" ht="19.7" customHeight="1" x14ac:dyDescent="0.2">
      <c r="B4" s="117"/>
      <c r="C4" s="119"/>
      <c r="D4" s="119"/>
      <c r="E4" s="119"/>
      <c r="F4" s="119"/>
      <c r="G4" s="10" t="s">
        <v>2</v>
      </c>
      <c r="H4" s="9" t="s">
        <v>332</v>
      </c>
      <c r="I4" s="10" t="s">
        <v>2</v>
      </c>
      <c r="J4" s="9" t="s">
        <v>332</v>
      </c>
      <c r="K4" s="10" t="s">
        <v>2</v>
      </c>
      <c r="L4" s="9" t="s">
        <v>332</v>
      </c>
      <c r="M4" s="10" t="s">
        <v>2</v>
      </c>
      <c r="N4" s="9" t="s">
        <v>332</v>
      </c>
      <c r="O4" s="115"/>
    </row>
    <row r="5" spans="2:15" ht="19.7" customHeight="1" x14ac:dyDescent="0.2">
      <c r="B5" s="84" t="s">
        <v>203</v>
      </c>
      <c r="C5" s="54" t="s">
        <v>137</v>
      </c>
      <c r="D5" s="54" t="s">
        <v>539</v>
      </c>
      <c r="E5" s="18"/>
      <c r="F5" s="85" t="s">
        <v>140</v>
      </c>
      <c r="G5" s="24"/>
      <c r="H5" s="86">
        <f>L5+J5+N5</f>
        <v>138824</v>
      </c>
      <c r="I5" s="24"/>
      <c r="J5" s="86">
        <f>TRUNC(J6+J7+J8)</f>
        <v>14662</v>
      </c>
      <c r="K5" s="24"/>
      <c r="L5" s="86">
        <f>TRUNC(L6+L7+L8)</f>
        <v>112486</v>
      </c>
      <c r="M5" s="24"/>
      <c r="N5" s="86">
        <f>TRUNC(N6+N7+N8)</f>
        <v>11676</v>
      </c>
      <c r="O5" s="87" t="s">
        <v>659</v>
      </c>
    </row>
    <row r="6" spans="2:15" ht="19.7" customHeight="1" x14ac:dyDescent="0.2">
      <c r="B6" s="15" t="s">
        <v>659</v>
      </c>
      <c r="C6" s="16" t="s">
        <v>123</v>
      </c>
      <c r="D6" s="16" t="s">
        <v>253</v>
      </c>
      <c r="E6" s="88">
        <v>0.25</v>
      </c>
      <c r="F6" s="17" t="s">
        <v>602</v>
      </c>
      <c r="G6" s="24">
        <f>K6+I6+M6</f>
        <v>235204</v>
      </c>
      <c r="H6" s="89">
        <f>L6+J6+N6</f>
        <v>58801</v>
      </c>
      <c r="I6" s="56">
        <f>노임단가!AB12</f>
        <v>0</v>
      </c>
      <c r="J6" s="89">
        <f>TRUNC(E6*I6,1)</f>
        <v>0</v>
      </c>
      <c r="K6" s="56">
        <f>노임단가!F12</f>
        <v>235204</v>
      </c>
      <c r="L6" s="89">
        <f>TRUNC(E6*K6,1)</f>
        <v>58801</v>
      </c>
      <c r="M6" s="56">
        <f>노임단가!AC12</f>
        <v>0</v>
      </c>
      <c r="N6" s="89">
        <f>TRUNC(E6*M6,1)</f>
        <v>0</v>
      </c>
      <c r="O6" s="19" t="s">
        <v>659</v>
      </c>
    </row>
    <row r="7" spans="2:15" ht="19.7" customHeight="1" x14ac:dyDescent="0.2">
      <c r="B7" s="15" t="s">
        <v>659</v>
      </c>
      <c r="C7" s="16" t="s">
        <v>43</v>
      </c>
      <c r="D7" s="16" t="s">
        <v>644</v>
      </c>
      <c r="E7" s="88">
        <v>8.3330000000000001E-2</v>
      </c>
      <c r="F7" s="17" t="s">
        <v>602</v>
      </c>
      <c r="G7" s="24">
        <f>K7+I7+M7</f>
        <v>172068</v>
      </c>
      <c r="H7" s="89">
        <f>L7+J7+N7</f>
        <v>14338.4</v>
      </c>
      <c r="I7" s="56">
        <f>노임단가!AB4</f>
        <v>0</v>
      </c>
      <c r="J7" s="89">
        <f>TRUNC(E7*I7,1)</f>
        <v>0</v>
      </c>
      <c r="K7" s="56">
        <f>노임단가!F4</f>
        <v>172068</v>
      </c>
      <c r="L7" s="89">
        <f>TRUNC(E7*K7,1)</f>
        <v>14338.4</v>
      </c>
      <c r="M7" s="56">
        <f>노임단가!AC4</f>
        <v>0</v>
      </c>
      <c r="N7" s="89">
        <f>TRUNC(E7*M7,1)</f>
        <v>0</v>
      </c>
      <c r="O7" s="19" t="s">
        <v>659</v>
      </c>
    </row>
    <row r="8" spans="2:15" ht="19.7" customHeight="1" x14ac:dyDescent="0.2">
      <c r="B8" s="15" t="s">
        <v>659</v>
      </c>
      <c r="C8" s="16" t="s">
        <v>541</v>
      </c>
      <c r="D8" s="16" t="s">
        <v>563</v>
      </c>
      <c r="E8" s="88">
        <v>0.66666999999999998</v>
      </c>
      <c r="F8" s="17" t="s">
        <v>467</v>
      </c>
      <c r="G8" s="24">
        <f>K8+I8+M8</f>
        <v>98528</v>
      </c>
      <c r="H8" s="89">
        <f>L8+J8+N8</f>
        <v>65685.5</v>
      </c>
      <c r="I8" s="56">
        <f>기계경비총괄표!G5</f>
        <v>21994</v>
      </c>
      <c r="J8" s="89">
        <f>TRUNC(E8*I8,1)</f>
        <v>14662.7</v>
      </c>
      <c r="K8" s="56">
        <f>기계경비총괄표!H5</f>
        <v>59020</v>
      </c>
      <c r="L8" s="89">
        <f>TRUNC(E8*K8,1)</f>
        <v>39346.800000000003</v>
      </c>
      <c r="M8" s="56">
        <f>기계경비총괄표!I5</f>
        <v>17514</v>
      </c>
      <c r="N8" s="89">
        <f>TRUNC(E8*M8,1)</f>
        <v>11676</v>
      </c>
      <c r="O8" s="19" t="s">
        <v>9</v>
      </c>
    </row>
    <row r="9" spans="2:15" x14ac:dyDescent="0.2">
      <c r="B9" s="20" t="s">
        <v>659</v>
      </c>
      <c r="C9" s="21" t="s">
        <v>659</v>
      </c>
      <c r="D9" s="21" t="s">
        <v>659</v>
      </c>
      <c r="E9" s="6"/>
      <c r="F9" s="22" t="s">
        <v>659</v>
      </c>
      <c r="G9" s="11"/>
      <c r="H9" s="6"/>
      <c r="I9" s="11"/>
      <c r="J9" s="66">
        <f>TRUNC(E9*I9,1)</f>
        <v>0</v>
      </c>
      <c r="K9" s="11"/>
      <c r="L9" s="66">
        <f>TRUNC(E9*K9,1)</f>
        <v>0</v>
      </c>
      <c r="M9" s="11"/>
      <c r="N9" s="66">
        <f>TRUNC(E9*M9,1)</f>
        <v>0</v>
      </c>
      <c r="O9" s="23" t="s">
        <v>659</v>
      </c>
    </row>
    <row r="10" spans="2:15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5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22"/>
  <sheetViews>
    <sheetView view="pageBreakPreview" zoomScale="60" zoomScaleNormal="100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6.42578125" customWidth="1"/>
    <col min="3" max="3" width="27.7109375" customWidth="1"/>
    <col min="4" max="4" width="25.28515625" customWidth="1"/>
    <col min="5" max="5" width="9.140625" customWidth="1"/>
    <col min="6" max="9" width="17.28515625" customWidth="1"/>
    <col min="10" max="10" width="16.140625" customWidth="1"/>
  </cols>
  <sheetData>
    <row r="1" spans="2:29" ht="24.95" customHeight="1" x14ac:dyDescent="0.2">
      <c r="B1" s="110" t="s">
        <v>256</v>
      </c>
      <c r="C1" s="110"/>
      <c r="D1" s="110"/>
      <c r="E1" s="110"/>
      <c r="F1" s="110"/>
      <c r="G1" s="110"/>
      <c r="H1" s="110"/>
      <c r="I1" s="110"/>
      <c r="J1" s="110"/>
    </row>
    <row r="2" spans="2:29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</row>
    <row r="3" spans="2:29" ht="30.75" customHeight="1" x14ac:dyDescent="0.2">
      <c r="B3" s="1" t="s">
        <v>168</v>
      </c>
      <c r="C3" s="2" t="s">
        <v>413</v>
      </c>
      <c r="D3" s="2" t="s">
        <v>501</v>
      </c>
      <c r="E3" s="2" t="s">
        <v>244</v>
      </c>
      <c r="F3" s="2" t="s">
        <v>636</v>
      </c>
      <c r="G3" s="2" t="s">
        <v>400</v>
      </c>
      <c r="H3" s="2" t="s">
        <v>543</v>
      </c>
      <c r="I3" s="2" t="s">
        <v>44</v>
      </c>
      <c r="J3" s="3" t="s">
        <v>155</v>
      </c>
      <c r="Z3" t="s">
        <v>408</v>
      </c>
      <c r="AA3" t="s">
        <v>453</v>
      </c>
      <c r="AB3" t="s">
        <v>648</v>
      </c>
      <c r="AC3" t="s">
        <v>427</v>
      </c>
    </row>
    <row r="4" spans="2:29" ht="19.7" customHeight="1" x14ac:dyDescent="0.2">
      <c r="B4" s="15" t="s">
        <v>187</v>
      </c>
      <c r="C4" s="16" t="s">
        <v>214</v>
      </c>
      <c r="D4" s="16" t="s">
        <v>278</v>
      </c>
      <c r="E4" s="17" t="s">
        <v>452</v>
      </c>
      <c r="F4" s="57">
        <f t="shared" ref="F4:F21" si="0">H4+G4+I4</f>
        <v>4109</v>
      </c>
      <c r="G4" s="57" t="str">
        <f>단가산출!EM4</f>
        <v>539</v>
      </c>
      <c r="H4" s="57" t="str">
        <f>단가산출!EN4</f>
        <v>2,891</v>
      </c>
      <c r="I4" s="57" t="str">
        <f>단가산출!EO4</f>
        <v>679</v>
      </c>
      <c r="J4" s="19" t="s">
        <v>659</v>
      </c>
      <c r="Z4" s="14">
        <v>4109</v>
      </c>
      <c r="AA4" s="14">
        <v>2891</v>
      </c>
      <c r="AB4" s="14">
        <v>539</v>
      </c>
      <c r="AC4" s="14">
        <v>679</v>
      </c>
    </row>
    <row r="5" spans="2:29" ht="19.7" customHeight="1" x14ac:dyDescent="0.2">
      <c r="B5" s="15" t="s">
        <v>617</v>
      </c>
      <c r="C5" s="16" t="s">
        <v>355</v>
      </c>
      <c r="D5" s="16" t="s">
        <v>581</v>
      </c>
      <c r="E5" s="17" t="s">
        <v>464</v>
      </c>
      <c r="F5" s="57">
        <f t="shared" si="0"/>
        <v>884</v>
      </c>
      <c r="G5" s="57" t="str">
        <f>단가산출!EM28</f>
        <v>116</v>
      </c>
      <c r="H5" s="57" t="str">
        <f>단가산출!EN28</f>
        <v>622</v>
      </c>
      <c r="I5" s="57" t="str">
        <f>단가산출!EO28</f>
        <v>146</v>
      </c>
      <c r="J5" s="19" t="s">
        <v>659</v>
      </c>
      <c r="Z5" s="14">
        <v>884</v>
      </c>
      <c r="AA5" s="14">
        <v>622</v>
      </c>
      <c r="AB5" s="14">
        <v>116</v>
      </c>
      <c r="AC5" s="14">
        <v>146</v>
      </c>
    </row>
    <row r="6" spans="2:29" ht="19.7" customHeight="1" x14ac:dyDescent="0.2">
      <c r="B6" s="15" t="s">
        <v>258</v>
      </c>
      <c r="C6" s="16" t="s">
        <v>549</v>
      </c>
      <c r="D6" s="16" t="s">
        <v>71</v>
      </c>
      <c r="E6" s="17" t="s">
        <v>464</v>
      </c>
      <c r="F6" s="57">
        <f t="shared" si="0"/>
        <v>895</v>
      </c>
      <c r="G6" s="57" t="str">
        <f>단가산출!EM54</f>
        <v>117</v>
      </c>
      <c r="H6" s="57" t="str">
        <f>단가산출!EN54</f>
        <v>630</v>
      </c>
      <c r="I6" s="57" t="str">
        <f>단가산출!EO54</f>
        <v>148</v>
      </c>
      <c r="J6" s="19" t="s">
        <v>659</v>
      </c>
      <c r="Z6" s="14">
        <v>895</v>
      </c>
      <c r="AA6" s="14">
        <v>630</v>
      </c>
      <c r="AB6" s="14">
        <v>117</v>
      </c>
      <c r="AC6" s="14">
        <v>148</v>
      </c>
    </row>
    <row r="7" spans="2:29" ht="19.7" customHeight="1" x14ac:dyDescent="0.2">
      <c r="B7" s="15" t="s">
        <v>493</v>
      </c>
      <c r="C7" s="16" t="s">
        <v>525</v>
      </c>
      <c r="D7" s="16" t="s">
        <v>523</v>
      </c>
      <c r="E7" s="17" t="s">
        <v>452</v>
      </c>
      <c r="F7" s="57">
        <f t="shared" si="0"/>
        <v>3447</v>
      </c>
      <c r="G7" s="57" t="str">
        <f>단가산출!EM75</f>
        <v>452</v>
      </c>
      <c r="H7" s="57" t="str">
        <f>단가산출!EN75</f>
        <v>2,425</v>
      </c>
      <c r="I7" s="57" t="str">
        <f>단가산출!EO75</f>
        <v>570</v>
      </c>
      <c r="J7" s="19" t="s">
        <v>659</v>
      </c>
      <c r="Z7" s="14">
        <v>3447</v>
      </c>
      <c r="AA7" s="14">
        <v>2425</v>
      </c>
      <c r="AB7" s="14">
        <v>452</v>
      </c>
      <c r="AC7" s="14">
        <v>570</v>
      </c>
    </row>
    <row r="8" spans="2:29" ht="19.7" customHeight="1" x14ac:dyDescent="0.2">
      <c r="B8" s="15" t="s">
        <v>210</v>
      </c>
      <c r="C8" s="16" t="s">
        <v>621</v>
      </c>
      <c r="D8" s="16" t="s">
        <v>523</v>
      </c>
      <c r="E8" s="17" t="s">
        <v>452</v>
      </c>
      <c r="F8" s="57">
        <f t="shared" si="0"/>
        <v>3424</v>
      </c>
      <c r="G8" s="57" t="str">
        <f>단가산출!EM99</f>
        <v>449</v>
      </c>
      <c r="H8" s="57" t="str">
        <f>단가산출!EN99</f>
        <v>2,409</v>
      </c>
      <c r="I8" s="57" t="str">
        <f>단가산출!EO99</f>
        <v>566</v>
      </c>
      <c r="J8" s="19" t="s">
        <v>659</v>
      </c>
      <c r="Z8" s="14">
        <v>3424</v>
      </c>
      <c r="AA8" s="14">
        <v>2409</v>
      </c>
      <c r="AB8" s="14">
        <v>449</v>
      </c>
      <c r="AC8" s="14">
        <v>566</v>
      </c>
    </row>
    <row r="9" spans="2:29" ht="19.7" customHeight="1" x14ac:dyDescent="0.2">
      <c r="B9" s="15" t="s">
        <v>596</v>
      </c>
      <c r="C9" s="16" t="s">
        <v>21</v>
      </c>
      <c r="D9" s="16" t="s">
        <v>447</v>
      </c>
      <c r="E9" s="17" t="s">
        <v>452</v>
      </c>
      <c r="F9" s="57">
        <f t="shared" si="0"/>
        <v>30337</v>
      </c>
      <c r="G9" s="57" t="str">
        <f>단가산출!EM123</f>
        <v>3,641</v>
      </c>
      <c r="H9" s="57" t="str">
        <f>단가산출!EN123</f>
        <v>23,252</v>
      </c>
      <c r="I9" s="57" t="str">
        <f>단가산출!EO123</f>
        <v>3,444</v>
      </c>
      <c r="J9" s="19" t="s">
        <v>659</v>
      </c>
      <c r="Z9" s="14">
        <v>30337</v>
      </c>
      <c r="AA9" s="14">
        <v>23252</v>
      </c>
      <c r="AB9" s="14">
        <v>3641</v>
      </c>
      <c r="AC9" s="14">
        <v>3444</v>
      </c>
    </row>
    <row r="10" spans="2:29" ht="19.7" customHeight="1" x14ac:dyDescent="0.2">
      <c r="B10" s="15" t="s">
        <v>316</v>
      </c>
      <c r="C10" s="16" t="s">
        <v>508</v>
      </c>
      <c r="D10" s="16" t="s">
        <v>505</v>
      </c>
      <c r="E10" s="17" t="s">
        <v>464</v>
      </c>
      <c r="F10" s="57">
        <f t="shared" si="0"/>
        <v>36083</v>
      </c>
      <c r="G10" s="57" t="str">
        <f>단가산출!EM157</f>
        <v>4,203</v>
      </c>
      <c r="H10" s="57" t="str">
        <f>단가산출!EN157</f>
        <v>31,880</v>
      </c>
      <c r="I10" s="57">
        <f>단가산출!EO157</f>
        <v>0</v>
      </c>
      <c r="J10" s="19" t="s">
        <v>659</v>
      </c>
      <c r="Z10" s="14">
        <v>36083</v>
      </c>
      <c r="AA10" s="14">
        <v>31880</v>
      </c>
      <c r="AB10" s="14">
        <v>4203</v>
      </c>
    </row>
    <row r="11" spans="2:29" ht="19.7" customHeight="1" x14ac:dyDescent="0.2">
      <c r="B11" s="15" t="s">
        <v>598</v>
      </c>
      <c r="C11" s="16" t="s">
        <v>620</v>
      </c>
      <c r="D11" s="16" t="s">
        <v>495</v>
      </c>
      <c r="E11" s="17" t="s">
        <v>464</v>
      </c>
      <c r="F11" s="57">
        <f t="shared" si="0"/>
        <v>28408</v>
      </c>
      <c r="G11" s="57" t="str">
        <f>단가산출!EM187</f>
        <v>3,941</v>
      </c>
      <c r="H11" s="57" t="str">
        <f>단가산출!EN187</f>
        <v>24,467</v>
      </c>
      <c r="I11" s="57">
        <f>단가산출!EO187</f>
        <v>0</v>
      </c>
      <c r="J11" s="19" t="s">
        <v>659</v>
      </c>
      <c r="Z11" s="14">
        <v>28408</v>
      </c>
      <c r="AA11" s="14">
        <v>24467</v>
      </c>
      <c r="AB11" s="14">
        <v>3941</v>
      </c>
    </row>
    <row r="12" spans="2:29" ht="19.7" customHeight="1" x14ac:dyDescent="0.2">
      <c r="B12" s="15" t="s">
        <v>311</v>
      </c>
      <c r="C12" s="16" t="s">
        <v>418</v>
      </c>
      <c r="D12" s="16" t="s">
        <v>522</v>
      </c>
      <c r="E12" s="17" t="s">
        <v>441</v>
      </c>
      <c r="F12" s="57">
        <f t="shared" si="0"/>
        <v>236560</v>
      </c>
      <c r="G12" s="57" t="str">
        <f>단가산출!EM211</f>
        <v>19,532</v>
      </c>
      <c r="H12" s="57" t="str">
        <f>단가산출!EN211</f>
        <v>217,028</v>
      </c>
      <c r="I12" s="57">
        <f>단가산출!EO211</f>
        <v>0</v>
      </c>
      <c r="J12" s="19" t="s">
        <v>659</v>
      </c>
      <c r="Z12" s="14">
        <v>236560</v>
      </c>
      <c r="AA12" s="14">
        <v>217028</v>
      </c>
      <c r="AB12" s="14">
        <v>19532</v>
      </c>
    </row>
    <row r="13" spans="2:29" ht="19.7" customHeight="1" x14ac:dyDescent="0.2">
      <c r="B13" s="15" t="s">
        <v>81</v>
      </c>
      <c r="C13" s="16" t="s">
        <v>439</v>
      </c>
      <c r="D13" s="16" t="s">
        <v>232</v>
      </c>
      <c r="E13" s="17" t="s">
        <v>247</v>
      </c>
      <c r="F13" s="57">
        <f t="shared" si="0"/>
        <v>4638</v>
      </c>
      <c r="G13" s="57" t="str">
        <f>단가산출!EM254</f>
        <v>4,418</v>
      </c>
      <c r="H13" s="57" t="str">
        <f>단가산출!EN254</f>
        <v>220</v>
      </c>
      <c r="I13" s="57">
        <f>단가산출!EO254</f>
        <v>0</v>
      </c>
      <c r="J13" s="19" t="s">
        <v>659</v>
      </c>
      <c r="Z13" s="14">
        <v>4638</v>
      </c>
      <c r="AA13" s="14">
        <v>220</v>
      </c>
      <c r="AB13" s="14">
        <v>4418</v>
      </c>
    </row>
    <row r="14" spans="2:29" ht="19.7" customHeight="1" x14ac:dyDescent="0.2">
      <c r="B14" s="15" t="s">
        <v>337</v>
      </c>
      <c r="C14" s="16" t="s">
        <v>548</v>
      </c>
      <c r="D14" s="16" t="s">
        <v>149</v>
      </c>
      <c r="E14" s="17" t="s">
        <v>464</v>
      </c>
      <c r="F14" s="57">
        <f t="shared" si="0"/>
        <v>10346</v>
      </c>
      <c r="G14" s="57" t="str">
        <f>단가산출!EM271</f>
        <v>1,316</v>
      </c>
      <c r="H14" s="57" t="str">
        <f>단가산출!EN271</f>
        <v>9,030</v>
      </c>
      <c r="I14" s="57">
        <f>단가산출!EO271</f>
        <v>0</v>
      </c>
      <c r="J14" s="19" t="s">
        <v>659</v>
      </c>
      <c r="Z14" s="14">
        <v>10346</v>
      </c>
      <c r="AA14" s="14">
        <v>9030</v>
      </c>
      <c r="AB14" s="14">
        <v>1316</v>
      </c>
    </row>
    <row r="15" spans="2:29" ht="19.7" customHeight="1" x14ac:dyDescent="0.2">
      <c r="B15" s="15" t="s">
        <v>136</v>
      </c>
      <c r="C15" s="16" t="s">
        <v>532</v>
      </c>
      <c r="D15" s="16" t="s">
        <v>49</v>
      </c>
      <c r="E15" s="17" t="s">
        <v>452</v>
      </c>
      <c r="F15" s="57">
        <f t="shared" si="0"/>
        <v>15691</v>
      </c>
      <c r="G15" s="57" t="str">
        <f>단가산출!EM292</f>
        <v>2,225</v>
      </c>
      <c r="H15" s="57" t="str">
        <f>단가산출!EN292</f>
        <v>11,649</v>
      </c>
      <c r="I15" s="57" t="str">
        <f>단가산출!EO292</f>
        <v>1,817</v>
      </c>
      <c r="J15" s="19" t="s">
        <v>659</v>
      </c>
      <c r="Z15" s="14">
        <v>15691</v>
      </c>
      <c r="AA15" s="14">
        <v>11649</v>
      </c>
      <c r="AB15" s="14">
        <v>2225</v>
      </c>
      <c r="AC15" s="14">
        <v>1817</v>
      </c>
    </row>
    <row r="16" spans="2:29" ht="19.7" customHeight="1" x14ac:dyDescent="0.2">
      <c r="B16" s="15" t="s">
        <v>411</v>
      </c>
      <c r="C16" s="16" t="s">
        <v>240</v>
      </c>
      <c r="D16" s="16" t="s">
        <v>632</v>
      </c>
      <c r="E16" s="17" t="s">
        <v>452</v>
      </c>
      <c r="F16" s="57">
        <f t="shared" si="0"/>
        <v>22957</v>
      </c>
      <c r="G16" s="57" t="str">
        <f>단가산출!EM336</f>
        <v>7,639</v>
      </c>
      <c r="H16" s="57" t="str">
        <f>단가산출!EN336</f>
        <v>11,284</v>
      </c>
      <c r="I16" s="57" t="str">
        <f>단가산출!EO336</f>
        <v>4,034</v>
      </c>
      <c r="J16" s="19" t="s">
        <v>521</v>
      </c>
      <c r="Z16" s="14">
        <v>22957</v>
      </c>
      <c r="AA16" s="14">
        <v>11284</v>
      </c>
      <c r="AB16" s="14">
        <v>7639</v>
      </c>
      <c r="AC16" s="14">
        <v>4034</v>
      </c>
    </row>
    <row r="17" spans="2:29" ht="19.7" customHeight="1" x14ac:dyDescent="0.2">
      <c r="B17" s="15" t="s">
        <v>23</v>
      </c>
      <c r="C17" s="16" t="s">
        <v>561</v>
      </c>
      <c r="D17" s="16" t="s">
        <v>659</v>
      </c>
      <c r="E17" s="17" t="s">
        <v>514</v>
      </c>
      <c r="F17" s="57">
        <f t="shared" si="0"/>
        <v>372360</v>
      </c>
      <c r="G17" s="57" t="str">
        <f>단가산출!EM387</f>
        <v>85,620</v>
      </c>
      <c r="H17" s="57" t="str">
        <f>단가산출!EN387</f>
        <v>224,581</v>
      </c>
      <c r="I17" s="57" t="str">
        <f>단가산출!EO387</f>
        <v>62,159</v>
      </c>
      <c r="J17" s="19" t="s">
        <v>70</v>
      </c>
      <c r="Z17" s="14">
        <v>372360</v>
      </c>
      <c r="AA17" s="14">
        <v>224581</v>
      </c>
      <c r="AB17" s="14">
        <v>85620</v>
      </c>
      <c r="AC17" s="14">
        <v>62159</v>
      </c>
    </row>
    <row r="18" spans="2:29" ht="19.7" customHeight="1" x14ac:dyDescent="0.2">
      <c r="B18" s="15" t="s">
        <v>361</v>
      </c>
      <c r="C18" s="16" t="s">
        <v>26</v>
      </c>
      <c r="D18" s="16" t="s">
        <v>239</v>
      </c>
      <c r="E18" s="17" t="s">
        <v>247</v>
      </c>
      <c r="F18" s="57">
        <f t="shared" si="0"/>
        <v>14567</v>
      </c>
      <c r="G18" s="57" t="str">
        <f>단가산출!EM453</f>
        <v>2,223</v>
      </c>
      <c r="H18" s="57" t="str">
        <f>단가산출!EN453</f>
        <v>10,543</v>
      </c>
      <c r="I18" s="57" t="str">
        <f>단가산출!EO453</f>
        <v>1,801</v>
      </c>
      <c r="J18" s="19" t="s">
        <v>659</v>
      </c>
      <c r="Z18" s="14">
        <v>14567</v>
      </c>
      <c r="AA18" s="14">
        <v>10543</v>
      </c>
      <c r="AB18" s="14">
        <v>2223</v>
      </c>
      <c r="AC18" s="14">
        <v>1801</v>
      </c>
    </row>
    <row r="19" spans="2:29" ht="19.7" customHeight="1" x14ac:dyDescent="0.2">
      <c r="B19" s="15" t="s">
        <v>114</v>
      </c>
      <c r="C19" s="16" t="s">
        <v>502</v>
      </c>
      <c r="D19" s="16" t="s">
        <v>595</v>
      </c>
      <c r="E19" s="17" t="s">
        <v>247</v>
      </c>
      <c r="F19" s="57">
        <f t="shared" si="0"/>
        <v>2460</v>
      </c>
      <c r="G19" s="57">
        <f>단가산출!EM488</f>
        <v>0</v>
      </c>
      <c r="H19" s="57" t="str">
        <f>단가산출!EN488</f>
        <v>2,460</v>
      </c>
      <c r="I19" s="57">
        <f>단가산출!EO488</f>
        <v>0</v>
      </c>
      <c r="J19" s="19" t="s">
        <v>659</v>
      </c>
      <c r="Z19" s="14">
        <v>2460</v>
      </c>
      <c r="AA19" s="14">
        <v>2460</v>
      </c>
    </row>
    <row r="20" spans="2:29" ht="19.7" customHeight="1" x14ac:dyDescent="0.2">
      <c r="B20" s="15" t="s">
        <v>461</v>
      </c>
      <c r="C20" s="16" t="s">
        <v>488</v>
      </c>
      <c r="D20" s="16" t="s">
        <v>659</v>
      </c>
      <c r="E20" s="17" t="s">
        <v>464</v>
      </c>
      <c r="F20" s="57">
        <f t="shared" si="0"/>
        <v>31668</v>
      </c>
      <c r="G20" s="57" t="str">
        <f>단가산출!EM505</f>
        <v>3,406</v>
      </c>
      <c r="H20" s="57" t="str">
        <f>단가산출!EN505</f>
        <v>24,934</v>
      </c>
      <c r="I20" s="57" t="str">
        <f>단가산출!EO505</f>
        <v>3,328</v>
      </c>
      <c r="J20" s="19" t="s">
        <v>659</v>
      </c>
      <c r="Z20" s="14">
        <v>31668</v>
      </c>
      <c r="AA20" s="14">
        <v>24934</v>
      </c>
      <c r="AB20" s="14">
        <v>3406</v>
      </c>
      <c r="AC20" s="14">
        <v>3328</v>
      </c>
    </row>
    <row r="21" spans="2:29" ht="19.7" customHeight="1" x14ac:dyDescent="0.2">
      <c r="B21" s="20" t="s">
        <v>118</v>
      </c>
      <c r="C21" s="21" t="s">
        <v>148</v>
      </c>
      <c r="D21" s="21" t="s">
        <v>284</v>
      </c>
      <c r="E21" s="22" t="s">
        <v>178</v>
      </c>
      <c r="F21" s="66">
        <f t="shared" si="0"/>
        <v>963</v>
      </c>
      <c r="G21" s="66">
        <f>단가산출!EM549</f>
        <v>0</v>
      </c>
      <c r="H21" s="66">
        <f>단가산출!EN549</f>
        <v>0</v>
      </c>
      <c r="I21" s="66" t="str">
        <f>단가산출!EO549</f>
        <v>963</v>
      </c>
      <c r="J21" s="23" t="s">
        <v>521</v>
      </c>
      <c r="Z21" s="14">
        <v>963</v>
      </c>
      <c r="AC21" s="14">
        <v>963</v>
      </c>
    </row>
    <row r="22" spans="2:29" x14ac:dyDescent="0.2">
      <c r="B22" s="8"/>
      <c r="C22" s="8"/>
      <c r="D22" s="8"/>
      <c r="E22" s="8"/>
      <c r="F22" s="8"/>
      <c r="G22" s="8"/>
      <c r="H22" s="8"/>
      <c r="I22" s="8"/>
      <c r="J22" s="8"/>
    </row>
  </sheetData>
  <mergeCells count="1">
    <mergeCell ref="B1:J2"/>
  </mergeCells>
  <phoneticPr fontId="5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P562"/>
  <sheetViews>
    <sheetView view="pageBreakPreview" zoomScale="60" zoomScaleNormal="100" workbookViewId="0">
      <pane ySplit="3" topLeftCell="A12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141" width="0.85546875" customWidth="1"/>
    <col min="142" max="142" width="16" customWidth="1"/>
    <col min="143" max="143" width="13.42578125" customWidth="1"/>
    <col min="144" max="144" width="14.140625" customWidth="1"/>
    <col min="145" max="145" width="13.42578125" customWidth="1"/>
  </cols>
  <sheetData>
    <row r="1" spans="2:146" ht="24.95" customHeight="1" x14ac:dyDescent="0.2">
      <c r="B1" s="110" t="s">
        <v>393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</row>
    <row r="2" spans="2:146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</row>
    <row r="3" spans="2:146" ht="27.95" customHeight="1" x14ac:dyDescent="0.2">
      <c r="B3" s="120" t="s">
        <v>304</v>
      </c>
      <c r="C3" s="121" t="s">
        <v>260</v>
      </c>
      <c r="D3" s="121" t="s">
        <v>400</v>
      </c>
      <c r="E3" s="121" t="s">
        <v>543</v>
      </c>
      <c r="F3" s="121" t="s">
        <v>303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68" t="s">
        <v>260</v>
      </c>
      <c r="EM3" s="68" t="s">
        <v>400</v>
      </c>
      <c r="EN3" s="68" t="s">
        <v>543</v>
      </c>
      <c r="EO3" s="69" t="s">
        <v>303</v>
      </c>
    </row>
    <row r="4" spans="2:146" ht="11.25" customHeight="1" x14ac:dyDescent="0.2">
      <c r="B4" s="75" t="s">
        <v>279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6">
        <f>EL26</f>
        <v>4109</v>
      </c>
      <c r="EM4" s="76" t="str">
        <f>EM26</f>
        <v>539</v>
      </c>
      <c r="EN4" s="76" t="str">
        <f>EN26</f>
        <v>2,891</v>
      </c>
      <c r="EO4" s="77" t="str">
        <f>EO26</f>
        <v>679</v>
      </c>
      <c r="EP4" s="78"/>
    </row>
    <row r="5" spans="2:146" ht="11.25" customHeight="1" x14ac:dyDescent="0.2"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9"/>
      <c r="EM5" s="79"/>
      <c r="EN5" s="79"/>
      <c r="EO5" s="80"/>
      <c r="EP5" s="78"/>
    </row>
    <row r="6" spans="2:146" ht="11.25" customHeight="1" x14ac:dyDescent="0.2">
      <c r="B6" s="70"/>
      <c r="C6" s="71"/>
      <c r="D6" s="71" t="s">
        <v>315</v>
      </c>
      <c r="E6" s="71"/>
      <c r="F6" s="71"/>
      <c r="G6" s="71" t="s">
        <v>76</v>
      </c>
      <c r="H6" s="71"/>
      <c r="I6" s="71"/>
      <c r="J6" s="71" t="s">
        <v>341</v>
      </c>
      <c r="K6" s="71"/>
      <c r="L6" s="71"/>
      <c r="M6" s="71" t="s">
        <v>469</v>
      </c>
      <c r="N6" s="71"/>
      <c r="O6" s="71" t="s">
        <v>541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 t="s">
        <v>307</v>
      </c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9"/>
      <c r="EM6" s="79"/>
      <c r="EN6" s="79"/>
      <c r="EO6" s="80"/>
      <c r="EP6" s="78"/>
    </row>
    <row r="7" spans="2:146" ht="11.25" customHeight="1" x14ac:dyDescent="0.2">
      <c r="B7" s="70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9"/>
      <c r="EM7" s="79"/>
      <c r="EN7" s="79"/>
      <c r="EO7" s="80"/>
      <c r="EP7" s="78"/>
    </row>
    <row r="8" spans="2:146" ht="11.25" customHeight="1" x14ac:dyDescent="0.2">
      <c r="B8" s="70"/>
      <c r="C8" s="71"/>
      <c r="D8" s="71"/>
      <c r="E8" s="71"/>
      <c r="F8" s="71"/>
      <c r="G8" s="71" t="s">
        <v>540</v>
      </c>
      <c r="H8" s="71"/>
      <c r="I8" s="71" t="s">
        <v>254</v>
      </c>
      <c r="J8" s="71"/>
      <c r="K8" s="71" t="str">
        <f>TEXT(0.2,"#,##0.#######")</f>
        <v>0.2</v>
      </c>
      <c r="L8" s="71"/>
      <c r="M8" s="71"/>
      <c r="N8" s="71"/>
      <c r="O8" s="71"/>
      <c r="P8" s="71"/>
      <c r="Q8" s="71"/>
      <c r="R8" s="71" t="s">
        <v>84</v>
      </c>
      <c r="S8" s="71"/>
      <c r="T8" s="71" t="s">
        <v>254</v>
      </c>
      <c r="U8" s="71"/>
      <c r="V8" s="71" t="str">
        <f>TEXT(1,"#,##0.#######")</f>
        <v>1.</v>
      </c>
      <c r="W8" s="71"/>
      <c r="X8" s="71" t="s">
        <v>112</v>
      </c>
      <c r="Y8" s="71"/>
      <c r="Z8" s="71" t="str">
        <f>TEXT(1.24,"#,##0.#######")</f>
        <v>1.24</v>
      </c>
      <c r="AA8" s="71"/>
      <c r="AB8" s="71"/>
      <c r="AC8" s="71"/>
      <c r="AD8" s="71"/>
      <c r="AE8" s="71" t="s">
        <v>254</v>
      </c>
      <c r="AF8" s="71"/>
      <c r="AG8" s="71" t="str">
        <f>TEXT(ROUND(V8/Z8,2),"#,##0.#######")</f>
        <v>0.81</v>
      </c>
      <c r="AH8" s="71"/>
      <c r="AI8" s="71"/>
      <c r="AJ8" s="71"/>
      <c r="AK8" s="71"/>
      <c r="AL8" s="71"/>
      <c r="AM8" s="71"/>
      <c r="AN8" s="71"/>
      <c r="AO8" s="71"/>
      <c r="AP8" s="71"/>
      <c r="AQ8" s="71" t="s">
        <v>405</v>
      </c>
      <c r="AR8" s="71"/>
      <c r="AS8" s="71" t="s">
        <v>254</v>
      </c>
      <c r="AT8" s="71"/>
      <c r="AU8" s="71" t="str">
        <f>TEXT(0.9,"#,##0.#######")</f>
        <v>0.9</v>
      </c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9"/>
      <c r="EM8" s="79"/>
      <c r="EN8" s="79"/>
      <c r="EO8" s="80"/>
      <c r="EP8" s="78"/>
    </row>
    <row r="9" spans="2:146" ht="11.25" customHeight="1" x14ac:dyDescent="0.2"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9"/>
      <c r="EM9" s="79"/>
      <c r="EN9" s="79"/>
      <c r="EO9" s="80"/>
      <c r="EP9" s="78"/>
    </row>
    <row r="10" spans="2:146" ht="11.25" customHeight="1" x14ac:dyDescent="0.2">
      <c r="B10" s="70"/>
      <c r="C10" s="71"/>
      <c r="D10" s="71"/>
      <c r="E10" s="71"/>
      <c r="F10" s="71"/>
      <c r="G10" s="71" t="s">
        <v>282</v>
      </c>
      <c r="H10" s="71"/>
      <c r="I10" s="71" t="s">
        <v>254</v>
      </c>
      <c r="J10" s="71"/>
      <c r="K10" s="71" t="str">
        <f>TEXT(0.7,"#,##0.#######")</f>
        <v>0.7</v>
      </c>
      <c r="L10" s="71"/>
      <c r="M10" s="71"/>
      <c r="N10" s="71"/>
      <c r="O10" s="71"/>
      <c r="P10" s="71"/>
      <c r="Q10" s="71"/>
      <c r="R10" s="71" t="s">
        <v>91</v>
      </c>
      <c r="S10" s="71"/>
      <c r="T10" s="71"/>
      <c r="U10" s="71" t="s">
        <v>254</v>
      </c>
      <c r="V10" s="71"/>
      <c r="W10" s="71" t="str">
        <f>TEXT(18,"#,##0.#######")</f>
        <v>18.</v>
      </c>
      <c r="X10" s="71"/>
      <c r="Y10" s="71" t="s">
        <v>573</v>
      </c>
      <c r="Z10" s="71"/>
      <c r="AA10" s="71"/>
      <c r="AB10" s="71" t="s">
        <v>336</v>
      </c>
      <c r="AC10" s="71" t="s">
        <v>229</v>
      </c>
      <c r="AD10" s="71"/>
      <c r="AE10" s="71"/>
      <c r="AF10" s="71" t="s">
        <v>448</v>
      </c>
      <c r="AG10" s="71"/>
      <c r="AH10" s="71" t="s">
        <v>80</v>
      </c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9"/>
      <c r="EM10" s="79"/>
      <c r="EN10" s="79"/>
      <c r="EO10" s="80"/>
      <c r="EP10" s="78"/>
    </row>
    <row r="11" spans="2:146" ht="11.25" customHeight="1" x14ac:dyDescent="0.2"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9"/>
      <c r="EM11" s="79"/>
      <c r="EN11" s="79"/>
      <c r="EO11" s="80"/>
      <c r="EP11" s="78"/>
    </row>
    <row r="12" spans="2:146" ht="11.25" customHeight="1" x14ac:dyDescent="0.2"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1" t="str">
        <f>TEXT(3600,"#,##0.#######")</f>
        <v>3,600.</v>
      </c>
      <c r="M12" s="71"/>
      <c r="N12" s="71"/>
      <c r="O12" s="71"/>
      <c r="P12" s="71"/>
      <c r="Q12" s="71" t="s">
        <v>542</v>
      </c>
      <c r="R12" s="71"/>
      <c r="S12" s="71" t="s">
        <v>540</v>
      </c>
      <c r="T12" s="71" t="s">
        <v>542</v>
      </c>
      <c r="U12" s="71"/>
      <c r="V12" s="71" t="s">
        <v>405</v>
      </c>
      <c r="W12" s="71" t="s">
        <v>542</v>
      </c>
      <c r="X12" s="71"/>
      <c r="Y12" s="71" t="s">
        <v>84</v>
      </c>
      <c r="Z12" s="71" t="s">
        <v>542</v>
      </c>
      <c r="AA12" s="71"/>
      <c r="AB12" s="71" t="s">
        <v>282</v>
      </c>
      <c r="AC12" s="71"/>
      <c r="AD12" s="71"/>
      <c r="AE12" s="71"/>
      <c r="AF12" s="71"/>
      <c r="AG12" s="71"/>
      <c r="AH12" s="71"/>
      <c r="AI12" s="71" t="str">
        <f>TEXT(L12,"#,##0.#######")</f>
        <v>3,600.</v>
      </c>
      <c r="AJ12" s="71"/>
      <c r="AK12" s="71"/>
      <c r="AL12" s="71"/>
      <c r="AM12" s="71"/>
      <c r="AN12" s="71" t="s">
        <v>542</v>
      </c>
      <c r="AO12" s="71"/>
      <c r="AP12" s="71" t="str">
        <f>TEXT(K8,"#,##0.#######")</f>
        <v>0.2</v>
      </c>
      <c r="AQ12" s="71"/>
      <c r="AR12" s="71"/>
      <c r="AS12" s="71" t="s">
        <v>542</v>
      </c>
      <c r="AT12" s="71"/>
      <c r="AU12" s="71" t="str">
        <f>TEXT(AU8,"#,##0.#######")</f>
        <v>0.9</v>
      </c>
      <c r="AV12" s="71"/>
      <c r="AW12" s="71"/>
      <c r="AX12" s="71" t="s">
        <v>542</v>
      </c>
      <c r="AY12" s="71"/>
      <c r="AZ12" s="71" t="str">
        <f>TEXT(AG8,"#,##0.#######")</f>
        <v>0.81</v>
      </c>
      <c r="BA12" s="71"/>
      <c r="BB12" s="71"/>
      <c r="BC12" s="71"/>
      <c r="BD12" s="71" t="s">
        <v>542</v>
      </c>
      <c r="BE12" s="71"/>
      <c r="BF12" s="71" t="str">
        <f>TEXT(K10,"#,##0.#######")</f>
        <v>0.7</v>
      </c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9"/>
      <c r="EM12" s="79"/>
      <c r="EN12" s="79"/>
      <c r="EO12" s="80"/>
      <c r="EP12" s="78"/>
    </row>
    <row r="13" spans="2:146" ht="11.25" customHeight="1" x14ac:dyDescent="0.2">
      <c r="B13" s="70"/>
      <c r="C13" s="71"/>
      <c r="D13" s="71"/>
      <c r="E13" s="71"/>
      <c r="F13" s="71"/>
      <c r="G13" s="71" t="s">
        <v>40</v>
      </c>
      <c r="H13" s="71"/>
      <c r="I13" s="71" t="s">
        <v>254</v>
      </c>
      <c r="J13" s="71"/>
      <c r="K13" s="71" t="s">
        <v>182</v>
      </c>
      <c r="L13" s="71"/>
      <c r="M13" s="71" t="s">
        <v>182</v>
      </c>
      <c r="N13" s="71"/>
      <c r="O13" s="71" t="s">
        <v>182</v>
      </c>
      <c r="P13" s="71"/>
      <c r="Q13" s="71" t="s">
        <v>182</v>
      </c>
      <c r="R13" s="71"/>
      <c r="S13" s="71" t="s">
        <v>182</v>
      </c>
      <c r="T13" s="71"/>
      <c r="U13" s="71" t="s">
        <v>182</v>
      </c>
      <c r="V13" s="71"/>
      <c r="W13" s="71" t="s">
        <v>182</v>
      </c>
      <c r="X13" s="71"/>
      <c r="Y13" s="71" t="s">
        <v>182</v>
      </c>
      <c r="Z13" s="71"/>
      <c r="AA13" s="71" t="s">
        <v>182</v>
      </c>
      <c r="AB13" s="71"/>
      <c r="AC13" s="71" t="s">
        <v>182</v>
      </c>
      <c r="AD13" s="71"/>
      <c r="AE13" s="71"/>
      <c r="AF13" s="71" t="s">
        <v>254</v>
      </c>
      <c r="AG13" s="71"/>
      <c r="AH13" s="71" t="s">
        <v>182</v>
      </c>
      <c r="AI13" s="71"/>
      <c r="AJ13" s="71" t="s">
        <v>182</v>
      </c>
      <c r="AK13" s="71"/>
      <c r="AL13" s="71" t="s">
        <v>182</v>
      </c>
      <c r="AM13" s="71"/>
      <c r="AN13" s="71" t="s">
        <v>182</v>
      </c>
      <c r="AO13" s="71"/>
      <c r="AP13" s="71" t="s">
        <v>182</v>
      </c>
      <c r="AQ13" s="71"/>
      <c r="AR13" s="71" t="s">
        <v>182</v>
      </c>
      <c r="AS13" s="71"/>
      <c r="AT13" s="71" t="s">
        <v>182</v>
      </c>
      <c r="AU13" s="71"/>
      <c r="AV13" s="71" t="s">
        <v>182</v>
      </c>
      <c r="AW13" s="71"/>
      <c r="AX13" s="71" t="s">
        <v>182</v>
      </c>
      <c r="AY13" s="71"/>
      <c r="AZ13" s="71" t="s">
        <v>182</v>
      </c>
      <c r="BA13" s="71"/>
      <c r="BB13" s="71" t="s">
        <v>182</v>
      </c>
      <c r="BC13" s="71"/>
      <c r="BD13" s="71" t="s">
        <v>182</v>
      </c>
      <c r="BE13" s="71"/>
      <c r="BF13" s="71" t="s">
        <v>182</v>
      </c>
      <c r="BG13" s="71"/>
      <c r="BH13" s="71" t="s">
        <v>182</v>
      </c>
      <c r="BI13" s="71"/>
      <c r="BJ13" s="71"/>
      <c r="BK13" s="71" t="s">
        <v>254</v>
      </c>
      <c r="BL13" s="71"/>
      <c r="BM13" s="71" t="str">
        <f>TEXT(ROUND((3600*K8*AU8*AG8*K10)/(W10),2),"#,##0.#######")</f>
        <v>20.41</v>
      </c>
      <c r="BN13" s="71"/>
      <c r="BO13" s="71"/>
      <c r="BP13" s="71"/>
      <c r="BQ13" s="71"/>
      <c r="BR13" s="71"/>
      <c r="BS13" s="71"/>
      <c r="BT13" s="71"/>
      <c r="BU13" s="71" t="s">
        <v>452</v>
      </c>
      <c r="BV13" s="71"/>
      <c r="BW13" s="71" t="s">
        <v>112</v>
      </c>
      <c r="BX13" s="71" t="s">
        <v>467</v>
      </c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9"/>
      <c r="EM13" s="79"/>
      <c r="EN13" s="79"/>
      <c r="EO13" s="80"/>
      <c r="EP13" s="78"/>
    </row>
    <row r="14" spans="2:146" ht="11.25" customHeight="1" x14ac:dyDescent="0.2"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 t="s">
        <v>91</v>
      </c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 t="str">
        <f>TEXT(W10,"#,##0.#######")</f>
        <v>18.</v>
      </c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9"/>
      <c r="EM14" s="79"/>
      <c r="EN14" s="79"/>
      <c r="EO14" s="80"/>
      <c r="EP14" s="78"/>
    </row>
    <row r="15" spans="2:146" ht="11.25" customHeight="1" x14ac:dyDescent="0.2"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9"/>
      <c r="EM15" s="79"/>
      <c r="EN15" s="79"/>
      <c r="EO15" s="80"/>
      <c r="EP15" s="78"/>
    </row>
    <row r="16" spans="2:146" ht="11.25" customHeight="1" x14ac:dyDescent="0.2">
      <c r="B16" s="70"/>
      <c r="C16" s="71"/>
      <c r="D16" s="71"/>
      <c r="E16" s="71"/>
      <c r="F16" s="71"/>
      <c r="G16" s="71" t="s">
        <v>543</v>
      </c>
      <c r="H16" s="71"/>
      <c r="I16" s="71"/>
      <c r="J16" s="71"/>
      <c r="K16" s="71"/>
      <c r="L16" s="71"/>
      <c r="M16" s="71"/>
      <c r="N16" s="71" t="s">
        <v>469</v>
      </c>
      <c r="O16" s="71"/>
      <c r="P16" s="71" t="str">
        <f>TEXT(기계경비총괄표!H4,"#,##0")</f>
        <v>59,020</v>
      </c>
      <c r="Q16" s="71"/>
      <c r="R16" s="71"/>
      <c r="S16" s="71"/>
      <c r="T16" s="71"/>
      <c r="U16" s="71"/>
      <c r="V16" s="71"/>
      <c r="W16" s="71"/>
      <c r="X16" s="71"/>
      <c r="Y16" s="71" t="s">
        <v>309</v>
      </c>
      <c r="Z16" s="71"/>
      <c r="AA16" s="71"/>
      <c r="AB16" s="71" t="str">
        <f>TEXT(BM13,"#,##0.#######")</f>
        <v>20.41</v>
      </c>
      <c r="AC16" s="71"/>
      <c r="AD16" s="71"/>
      <c r="AE16" s="71"/>
      <c r="AF16" s="71"/>
      <c r="AG16" s="71"/>
      <c r="AH16" s="71"/>
      <c r="AI16" s="71"/>
      <c r="AJ16" s="71" t="s">
        <v>254</v>
      </c>
      <c r="AK16" s="71"/>
      <c r="AL16" s="71" t="str">
        <f>TEXT(TRUNC(P16/BM13,1),"#,##0.#")</f>
        <v>2,891.7</v>
      </c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9"/>
      <c r="EM16" s="79"/>
      <c r="EN16" s="79"/>
      <c r="EO16" s="80"/>
      <c r="EP16" s="78"/>
    </row>
    <row r="17" spans="2:146" ht="11.25" customHeight="1" x14ac:dyDescent="0.2">
      <c r="B17" s="70"/>
      <c r="C17" s="71"/>
      <c r="D17" s="71"/>
      <c r="E17" s="71"/>
      <c r="F17" s="71"/>
      <c r="G17" s="71" t="s">
        <v>400</v>
      </c>
      <c r="H17" s="71"/>
      <c r="I17" s="71"/>
      <c r="J17" s="71"/>
      <c r="K17" s="71"/>
      <c r="L17" s="71"/>
      <c r="M17" s="71"/>
      <c r="N17" s="71" t="s">
        <v>469</v>
      </c>
      <c r="O17" s="71"/>
      <c r="P17" s="71"/>
      <c r="Q17" s="71" t="str">
        <f>TEXT(기계경비총괄표!G4,"#,##0")</f>
        <v>11,017</v>
      </c>
      <c r="R17" s="71"/>
      <c r="S17" s="71"/>
      <c r="T17" s="71"/>
      <c r="U17" s="71"/>
      <c r="V17" s="71"/>
      <c r="W17" s="71"/>
      <c r="X17" s="71"/>
      <c r="Y17" s="71"/>
      <c r="Z17" s="71" t="s">
        <v>309</v>
      </c>
      <c r="AA17" s="71"/>
      <c r="AB17" s="71"/>
      <c r="AC17" s="71" t="str">
        <f>TEXT(BM13,"#,##0.#######")</f>
        <v>20.41</v>
      </c>
      <c r="AD17" s="71"/>
      <c r="AE17" s="71"/>
      <c r="AF17" s="71"/>
      <c r="AG17" s="71"/>
      <c r="AH17" s="71"/>
      <c r="AI17" s="71"/>
      <c r="AJ17" s="71"/>
      <c r="AK17" s="71" t="s">
        <v>254</v>
      </c>
      <c r="AL17" s="71"/>
      <c r="AM17" s="71"/>
      <c r="AN17" s="71"/>
      <c r="AO17" s="71" t="str">
        <f>TEXT(TRUNC(Q17/BM13,1),"#,##0.#")</f>
        <v>539.7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9"/>
      <c r="EM17" s="79"/>
      <c r="EN17" s="79"/>
      <c r="EO17" s="80"/>
      <c r="EP17" s="78"/>
    </row>
    <row r="18" spans="2:146" ht="11.25" customHeight="1" x14ac:dyDescent="0.2">
      <c r="B18" s="70"/>
      <c r="C18" s="71"/>
      <c r="D18" s="71"/>
      <c r="E18" s="71"/>
      <c r="F18" s="71"/>
      <c r="G18" s="71" t="s">
        <v>147</v>
      </c>
      <c r="H18" s="71"/>
      <c r="I18" s="71"/>
      <c r="J18" s="71"/>
      <c r="K18" s="71" t="s">
        <v>342</v>
      </c>
      <c r="L18" s="71"/>
      <c r="M18" s="71"/>
      <c r="N18" s="71" t="s">
        <v>469</v>
      </c>
      <c r="O18" s="71"/>
      <c r="P18" s="71" t="str">
        <f>TEXT(기계경비총괄표!I4,"#,##0")</f>
        <v>13,873</v>
      </c>
      <c r="Q18" s="71"/>
      <c r="R18" s="71"/>
      <c r="S18" s="71"/>
      <c r="T18" s="71"/>
      <c r="U18" s="71"/>
      <c r="V18" s="71"/>
      <c r="W18" s="71"/>
      <c r="X18" s="71"/>
      <c r="Y18" s="71" t="s">
        <v>309</v>
      </c>
      <c r="Z18" s="71"/>
      <c r="AA18" s="71"/>
      <c r="AB18" s="71" t="str">
        <f>TEXT(BM13,"#,##0.#######")</f>
        <v>20.41</v>
      </c>
      <c r="AC18" s="71"/>
      <c r="AD18" s="71"/>
      <c r="AE18" s="71"/>
      <c r="AF18" s="71"/>
      <c r="AG18" s="71"/>
      <c r="AH18" s="71"/>
      <c r="AI18" s="71"/>
      <c r="AJ18" s="71" t="s">
        <v>254</v>
      </c>
      <c r="AK18" s="71"/>
      <c r="AL18" s="71"/>
      <c r="AM18" s="71"/>
      <c r="AN18" s="71" t="str">
        <f>TEXT(TRUNC(P18/BM13,1),"#,##0.#")</f>
        <v>679.7</v>
      </c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9"/>
      <c r="EM18" s="79"/>
      <c r="EN18" s="79"/>
      <c r="EO18" s="80"/>
      <c r="EP18" s="78"/>
    </row>
    <row r="19" spans="2:146" ht="11.25" customHeight="1" x14ac:dyDescent="0.2">
      <c r="B19" s="70"/>
      <c r="C19" s="71"/>
      <c r="D19" s="71"/>
      <c r="E19" s="71"/>
      <c r="F19" s="71"/>
      <c r="G19" s="71" t="s">
        <v>252</v>
      </c>
      <c r="H19" s="71"/>
      <c r="I19" s="71"/>
      <c r="J19" s="71"/>
      <c r="K19" s="71" t="s">
        <v>341</v>
      </c>
      <c r="L19" s="71"/>
      <c r="M19" s="71"/>
      <c r="N19" s="71" t="s">
        <v>469</v>
      </c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 t="str">
        <f>TEXT(AL16+AO17+AN18,"#,##0.#######")</f>
        <v>4,111.1</v>
      </c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9">
        <f>EN19+EM19+EO19</f>
        <v>4111.0999999999995</v>
      </c>
      <c r="EM19" s="79" t="str">
        <f>TEXT(AO17,"#,###.0")</f>
        <v>539.7</v>
      </c>
      <c r="EN19" s="79" t="str">
        <f>TEXT(AL16,"#,###.0")</f>
        <v>2,891.7</v>
      </c>
      <c r="EO19" s="80" t="str">
        <f>TEXT(AN18,"#,###.0")</f>
        <v>679.7</v>
      </c>
      <c r="EP19" s="78"/>
    </row>
    <row r="20" spans="2:146" ht="11.25" customHeight="1" x14ac:dyDescent="0.2">
      <c r="B20" s="70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9"/>
      <c r="EM20" s="79"/>
      <c r="EN20" s="79"/>
      <c r="EO20" s="80"/>
      <c r="EP20" s="78"/>
    </row>
    <row r="21" spans="2:146" ht="11.25" customHeight="1" x14ac:dyDescent="0.2">
      <c r="B21" s="70"/>
      <c r="C21" s="71"/>
      <c r="D21" s="71" t="s">
        <v>463</v>
      </c>
      <c r="E21" s="71"/>
      <c r="F21" s="71"/>
      <c r="G21" s="71" t="s">
        <v>437</v>
      </c>
      <c r="H21" s="71"/>
      <c r="I21" s="71"/>
      <c r="J21" s="71"/>
      <c r="K21" s="71" t="s">
        <v>341</v>
      </c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9"/>
      <c r="EM21" s="79"/>
      <c r="EN21" s="79"/>
      <c r="EO21" s="80"/>
      <c r="EP21" s="78"/>
    </row>
    <row r="22" spans="2:146" ht="11.25" customHeight="1" x14ac:dyDescent="0.2">
      <c r="B22" s="70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9"/>
      <c r="EM22" s="79"/>
      <c r="EN22" s="79"/>
      <c r="EO22" s="80"/>
      <c r="EP22" s="78"/>
    </row>
    <row r="23" spans="2:146" ht="11.25" customHeight="1" x14ac:dyDescent="0.2">
      <c r="B23" s="70"/>
      <c r="C23" s="71"/>
      <c r="D23" s="71"/>
      <c r="E23" s="71"/>
      <c r="F23" s="71"/>
      <c r="G23" s="71"/>
      <c r="H23" s="71" t="s">
        <v>543</v>
      </c>
      <c r="I23" s="71"/>
      <c r="J23" s="71"/>
      <c r="K23" s="71"/>
      <c r="L23" s="71"/>
      <c r="M23" s="71"/>
      <c r="N23" s="71"/>
      <c r="O23" s="71" t="s">
        <v>469</v>
      </c>
      <c r="P23" s="71"/>
      <c r="Q23" s="71" t="str">
        <f>TEXT(TRUNC(EN19,0),"#,##0")</f>
        <v>2,891</v>
      </c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9"/>
      <c r="EM23" s="79"/>
      <c r="EN23" s="79"/>
      <c r="EO23" s="80"/>
      <c r="EP23" s="78"/>
    </row>
    <row r="24" spans="2:146" ht="11.25" customHeight="1" x14ac:dyDescent="0.2">
      <c r="B24" s="70"/>
      <c r="C24" s="71"/>
      <c r="D24" s="71"/>
      <c r="E24" s="71"/>
      <c r="F24" s="71"/>
      <c r="G24" s="71"/>
      <c r="H24" s="71" t="s">
        <v>400</v>
      </c>
      <c r="I24" s="71"/>
      <c r="J24" s="71"/>
      <c r="K24" s="71"/>
      <c r="L24" s="71"/>
      <c r="M24" s="71"/>
      <c r="N24" s="71"/>
      <c r="O24" s="71" t="s">
        <v>469</v>
      </c>
      <c r="P24" s="71"/>
      <c r="Q24" s="71" t="str">
        <f>TEXT(TRUNC(EM19,0),"#,##0")</f>
        <v>539</v>
      </c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9"/>
      <c r="EM24" s="79"/>
      <c r="EN24" s="79"/>
      <c r="EO24" s="80"/>
      <c r="EP24" s="78"/>
    </row>
    <row r="25" spans="2:146" ht="11.25" customHeight="1" x14ac:dyDescent="0.2">
      <c r="B25" s="70"/>
      <c r="C25" s="71"/>
      <c r="D25" s="71"/>
      <c r="E25" s="71"/>
      <c r="F25" s="71"/>
      <c r="G25" s="71"/>
      <c r="H25" s="71" t="s">
        <v>147</v>
      </c>
      <c r="I25" s="71"/>
      <c r="J25" s="71"/>
      <c r="K25" s="71"/>
      <c r="L25" s="71" t="s">
        <v>342</v>
      </c>
      <c r="M25" s="71"/>
      <c r="N25" s="71"/>
      <c r="O25" s="71" t="s">
        <v>469</v>
      </c>
      <c r="P25" s="71"/>
      <c r="Q25" s="71" t="str">
        <f>TEXT(TRUNC(EO19,0),"#,##0")</f>
        <v>679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9"/>
      <c r="EM25" s="79"/>
      <c r="EN25" s="79"/>
      <c r="EO25" s="80"/>
      <c r="EP25" s="78"/>
    </row>
    <row r="26" spans="2:146" ht="11.25" customHeight="1" x14ac:dyDescent="0.2">
      <c r="B26" s="70"/>
      <c r="C26" s="71"/>
      <c r="D26" s="71"/>
      <c r="E26" s="71"/>
      <c r="F26" s="71"/>
      <c r="G26" s="71"/>
      <c r="H26" s="71"/>
      <c r="I26" s="71"/>
      <c r="J26" s="71" t="s">
        <v>341</v>
      </c>
      <c r="K26" s="71"/>
      <c r="L26" s="71"/>
      <c r="M26" s="71"/>
      <c r="N26" s="71"/>
      <c r="O26" s="71" t="s">
        <v>469</v>
      </c>
      <c r="P26" s="71"/>
      <c r="Q26" s="71"/>
      <c r="R26" s="71" t="str">
        <f>TEXT(Q23+Q24+Q25,"#,##0")</f>
        <v>4,109</v>
      </c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81">
        <f>EN26+EM26+EO26</f>
        <v>4109</v>
      </c>
      <c r="EM26" s="79" t="str">
        <f>TEXT(Q24,"#,##0")</f>
        <v>539</v>
      </c>
      <c r="EN26" s="79" t="str">
        <f>TEXT(Q23,"#,##0")</f>
        <v>2,891</v>
      </c>
      <c r="EO26" s="80" t="str">
        <f>TEXT(Q25,"#,##0")</f>
        <v>679</v>
      </c>
      <c r="EP26" s="78"/>
    </row>
    <row r="27" spans="2:146" ht="11.25" customHeight="1" x14ac:dyDescent="0.2"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9"/>
      <c r="EM27" s="79"/>
      <c r="EN27" s="79"/>
      <c r="EO27" s="80"/>
      <c r="EP27" s="78"/>
    </row>
    <row r="28" spans="2:146" ht="11.25" customHeight="1" x14ac:dyDescent="0.2">
      <c r="B28" s="75" t="s">
        <v>197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6">
        <f>EL52</f>
        <v>884</v>
      </c>
      <c r="EM28" s="76" t="str">
        <f>EM52</f>
        <v>116</v>
      </c>
      <c r="EN28" s="76" t="str">
        <f>EN52</f>
        <v>622</v>
      </c>
      <c r="EO28" s="77" t="str">
        <f>EO52</f>
        <v>146</v>
      </c>
      <c r="EP28" s="78"/>
    </row>
    <row r="29" spans="2:146" ht="11.25" customHeight="1" x14ac:dyDescent="0.2"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9"/>
      <c r="EM29" s="79"/>
      <c r="EN29" s="79"/>
      <c r="EO29" s="80"/>
      <c r="EP29" s="78"/>
    </row>
    <row r="30" spans="2:146" ht="11.25" customHeight="1" x14ac:dyDescent="0.2">
      <c r="B30" s="70"/>
      <c r="C30" s="71"/>
      <c r="D30" s="71" t="s">
        <v>315</v>
      </c>
      <c r="E30" s="71"/>
      <c r="F30" s="71"/>
      <c r="G30" s="71" t="s">
        <v>541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 t="s">
        <v>307</v>
      </c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9"/>
      <c r="EM30" s="79"/>
      <c r="EN30" s="79"/>
      <c r="EO30" s="80"/>
      <c r="EP30" s="78"/>
    </row>
    <row r="31" spans="2:146" ht="11.25" customHeight="1" x14ac:dyDescent="0.2">
      <c r="B31" s="70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9"/>
      <c r="EM31" s="79"/>
      <c r="EN31" s="79"/>
      <c r="EO31" s="80"/>
      <c r="EP31" s="78"/>
    </row>
    <row r="32" spans="2:146" ht="11.25" customHeight="1" x14ac:dyDescent="0.2">
      <c r="B32" s="70"/>
      <c r="C32" s="71"/>
      <c r="D32" s="71"/>
      <c r="E32" s="71"/>
      <c r="F32" s="71"/>
      <c r="G32" s="71" t="s">
        <v>540</v>
      </c>
      <c r="H32" s="71"/>
      <c r="I32" s="71" t="s">
        <v>254</v>
      </c>
      <c r="J32" s="71"/>
      <c r="K32" s="71" t="str">
        <f>TEXT(0.2,"#,##0.#######")</f>
        <v>0.2</v>
      </c>
      <c r="L32" s="71"/>
      <c r="M32" s="71"/>
      <c r="N32" s="71" t="s">
        <v>452</v>
      </c>
      <c r="O32" s="71"/>
      <c r="P32" s="71"/>
      <c r="Q32" s="71"/>
      <c r="R32" s="71"/>
      <c r="S32" s="71"/>
      <c r="T32" s="71"/>
      <c r="U32" s="71"/>
      <c r="V32" s="71" t="s">
        <v>84</v>
      </c>
      <c r="W32" s="71"/>
      <c r="X32" s="71" t="s">
        <v>254</v>
      </c>
      <c r="Y32" s="71"/>
      <c r="Z32" s="71" t="str">
        <f>TEXT(1,"#,##0.#######")</f>
        <v>1.</v>
      </c>
      <c r="AA32" s="71"/>
      <c r="AB32" s="71" t="s">
        <v>112</v>
      </c>
      <c r="AC32" s="71"/>
      <c r="AD32" s="71" t="str">
        <f>TEXT(1.24,"#,##0.#######")</f>
        <v>1.24</v>
      </c>
      <c r="AE32" s="71"/>
      <c r="AF32" s="71"/>
      <c r="AG32" s="71"/>
      <c r="AH32" s="71"/>
      <c r="AI32" s="71" t="s">
        <v>254</v>
      </c>
      <c r="AJ32" s="71"/>
      <c r="AK32" s="71" t="str">
        <f>TEXT(ROUND(Z32/AD32,2),"#,##0.#######")</f>
        <v>0.81</v>
      </c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 t="s">
        <v>273</v>
      </c>
      <c r="AW32" s="71"/>
      <c r="AX32" s="71" t="s">
        <v>254</v>
      </c>
      <c r="AY32" s="71"/>
      <c r="AZ32" s="71" t="str">
        <f>TEXT(0.9,"#,##0.#######")</f>
        <v>0.9</v>
      </c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9"/>
      <c r="EM32" s="79"/>
      <c r="EN32" s="79"/>
      <c r="EO32" s="80"/>
      <c r="EP32" s="78"/>
    </row>
    <row r="33" spans="2:146" ht="11.25" customHeight="1" x14ac:dyDescent="0.2"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9"/>
      <c r="EM33" s="79"/>
      <c r="EN33" s="79"/>
      <c r="EO33" s="80"/>
      <c r="EP33" s="78"/>
    </row>
    <row r="34" spans="2:146" ht="11.25" customHeight="1" x14ac:dyDescent="0.2">
      <c r="B34" s="70"/>
      <c r="C34" s="71"/>
      <c r="D34" s="71"/>
      <c r="E34" s="71"/>
      <c r="F34" s="71"/>
      <c r="G34" s="71" t="s">
        <v>282</v>
      </c>
      <c r="H34" s="71"/>
      <c r="I34" s="71" t="s">
        <v>254</v>
      </c>
      <c r="J34" s="71"/>
      <c r="K34" s="71" t="str">
        <f>TEXT(0.65,"#,##0.#######")</f>
        <v>0.65</v>
      </c>
      <c r="L34" s="71"/>
      <c r="M34" s="71"/>
      <c r="N34" s="71"/>
      <c r="O34" s="71"/>
      <c r="P34" s="71"/>
      <c r="Q34" s="71"/>
      <c r="R34" s="71"/>
      <c r="S34" s="71"/>
      <c r="T34" s="71" t="s">
        <v>91</v>
      </c>
      <c r="U34" s="71"/>
      <c r="V34" s="71"/>
      <c r="W34" s="71" t="s">
        <v>254</v>
      </c>
      <c r="X34" s="71"/>
      <c r="Y34" s="71" t="str">
        <f>TEXT(18,"#,##0.#######")</f>
        <v>18.</v>
      </c>
      <c r="Z34" s="71"/>
      <c r="AA34" s="71" t="s">
        <v>573</v>
      </c>
      <c r="AB34" s="71"/>
      <c r="AC34" s="71"/>
      <c r="AD34" s="71"/>
      <c r="AE34" s="71" t="s">
        <v>336</v>
      </c>
      <c r="AF34" s="71" t="s">
        <v>229</v>
      </c>
      <c r="AG34" s="71"/>
      <c r="AH34" s="71"/>
      <c r="AI34" s="71" t="s">
        <v>448</v>
      </c>
      <c r="AJ34" s="71"/>
      <c r="AK34" s="71" t="s">
        <v>80</v>
      </c>
      <c r="AL34" s="71"/>
      <c r="AM34" s="71"/>
      <c r="AN34" s="71"/>
      <c r="AO34" s="71" t="s">
        <v>402</v>
      </c>
      <c r="AP34" s="71"/>
      <c r="AQ34" s="71" t="s">
        <v>254</v>
      </c>
      <c r="AR34" s="71"/>
      <c r="AS34" s="71" t="str">
        <f>TEXT(0.2,"#,##0.#######")</f>
        <v>0.2</v>
      </c>
      <c r="AT34" s="71"/>
      <c r="AU34" s="71"/>
      <c r="AV34" s="71"/>
      <c r="AW34" s="71"/>
      <c r="AX34" s="71" t="s">
        <v>375</v>
      </c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9"/>
      <c r="EM34" s="79"/>
      <c r="EN34" s="79"/>
      <c r="EO34" s="80"/>
      <c r="EP34" s="78"/>
    </row>
    <row r="35" spans="2:146" ht="11.25" customHeight="1" x14ac:dyDescent="0.2"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9"/>
      <c r="EM35" s="79"/>
      <c r="EN35" s="79"/>
      <c r="EO35" s="80"/>
      <c r="EP35" s="78"/>
    </row>
    <row r="36" spans="2:146" ht="11.25" customHeight="1" x14ac:dyDescent="0.2"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 t="str">
        <f>TEXT(3600,"#,##0.#######")</f>
        <v>3,600.</v>
      </c>
      <c r="M36" s="71"/>
      <c r="N36" s="71"/>
      <c r="O36" s="71"/>
      <c r="P36" s="71"/>
      <c r="Q36" s="71" t="s">
        <v>542</v>
      </c>
      <c r="R36" s="71"/>
      <c r="S36" s="71" t="s">
        <v>540</v>
      </c>
      <c r="T36" s="71" t="s">
        <v>542</v>
      </c>
      <c r="U36" s="71"/>
      <c r="V36" s="71" t="s">
        <v>273</v>
      </c>
      <c r="W36" s="71" t="s">
        <v>542</v>
      </c>
      <c r="X36" s="71"/>
      <c r="Y36" s="71" t="s">
        <v>84</v>
      </c>
      <c r="Z36" s="71" t="s">
        <v>542</v>
      </c>
      <c r="AA36" s="71"/>
      <c r="AB36" s="71" t="s">
        <v>282</v>
      </c>
      <c r="AC36" s="71"/>
      <c r="AD36" s="71"/>
      <c r="AE36" s="71"/>
      <c r="AF36" s="71"/>
      <c r="AG36" s="71"/>
      <c r="AH36" s="71" t="str">
        <f>TEXT(L36,"#,##0.#######")</f>
        <v>3,600.</v>
      </c>
      <c r="AI36" s="71"/>
      <c r="AJ36" s="71"/>
      <c r="AK36" s="71"/>
      <c r="AL36" s="71"/>
      <c r="AM36" s="71" t="s">
        <v>542</v>
      </c>
      <c r="AN36" s="71"/>
      <c r="AO36" s="71" t="str">
        <f>TEXT(K32,"#,##0.#######")</f>
        <v>0.2</v>
      </c>
      <c r="AP36" s="71"/>
      <c r="AQ36" s="71"/>
      <c r="AR36" s="71" t="s">
        <v>542</v>
      </c>
      <c r="AS36" s="71"/>
      <c r="AT36" s="71" t="str">
        <f>TEXT(AZ32,"#,##0.#######")</f>
        <v>0.9</v>
      </c>
      <c r="AU36" s="71"/>
      <c r="AV36" s="71"/>
      <c r="AW36" s="71" t="s">
        <v>542</v>
      </c>
      <c r="AX36" s="71"/>
      <c r="AY36" s="71" t="str">
        <f>TEXT(AK32,"#,##0.#######")</f>
        <v>0.81</v>
      </c>
      <c r="AZ36" s="71"/>
      <c r="BA36" s="71"/>
      <c r="BB36" s="71"/>
      <c r="BC36" s="71" t="s">
        <v>542</v>
      </c>
      <c r="BD36" s="71"/>
      <c r="BE36" s="71" t="str">
        <f>TEXT(K34,"#,##0.#######")</f>
        <v>0.65</v>
      </c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9"/>
      <c r="EM36" s="79"/>
      <c r="EN36" s="79"/>
      <c r="EO36" s="80"/>
      <c r="EP36" s="78"/>
    </row>
    <row r="37" spans="2:146" ht="11.25" customHeight="1" x14ac:dyDescent="0.2">
      <c r="B37" s="70"/>
      <c r="C37" s="71"/>
      <c r="D37" s="71"/>
      <c r="E37" s="71"/>
      <c r="F37" s="71"/>
      <c r="G37" s="71" t="s">
        <v>40</v>
      </c>
      <c r="H37" s="71"/>
      <c r="I37" s="71" t="s">
        <v>254</v>
      </c>
      <c r="J37" s="71"/>
      <c r="K37" s="71" t="s">
        <v>182</v>
      </c>
      <c r="L37" s="71"/>
      <c r="M37" s="71" t="s">
        <v>182</v>
      </c>
      <c r="N37" s="71"/>
      <c r="O37" s="71" t="s">
        <v>182</v>
      </c>
      <c r="P37" s="71"/>
      <c r="Q37" s="71" t="s">
        <v>182</v>
      </c>
      <c r="R37" s="71"/>
      <c r="S37" s="71" t="s">
        <v>182</v>
      </c>
      <c r="T37" s="71"/>
      <c r="U37" s="71" t="s">
        <v>182</v>
      </c>
      <c r="V37" s="71"/>
      <c r="W37" s="71" t="s">
        <v>182</v>
      </c>
      <c r="X37" s="71"/>
      <c r="Y37" s="71" t="s">
        <v>182</v>
      </c>
      <c r="Z37" s="71"/>
      <c r="AA37" s="71" t="s">
        <v>182</v>
      </c>
      <c r="AB37" s="71"/>
      <c r="AC37" s="71" t="s">
        <v>182</v>
      </c>
      <c r="AD37" s="71"/>
      <c r="AE37" s="71"/>
      <c r="AF37" s="71" t="s">
        <v>254</v>
      </c>
      <c r="AG37" s="71"/>
      <c r="AH37" s="71" t="s">
        <v>182</v>
      </c>
      <c r="AI37" s="71"/>
      <c r="AJ37" s="71" t="s">
        <v>182</v>
      </c>
      <c r="AK37" s="71"/>
      <c r="AL37" s="71" t="s">
        <v>182</v>
      </c>
      <c r="AM37" s="71"/>
      <c r="AN37" s="71" t="s">
        <v>182</v>
      </c>
      <c r="AO37" s="71"/>
      <c r="AP37" s="71" t="s">
        <v>182</v>
      </c>
      <c r="AQ37" s="71"/>
      <c r="AR37" s="71" t="s">
        <v>182</v>
      </c>
      <c r="AS37" s="71"/>
      <c r="AT37" s="71" t="s">
        <v>182</v>
      </c>
      <c r="AU37" s="71"/>
      <c r="AV37" s="71" t="s">
        <v>182</v>
      </c>
      <c r="AW37" s="71"/>
      <c r="AX37" s="71" t="s">
        <v>182</v>
      </c>
      <c r="AY37" s="71"/>
      <c r="AZ37" s="71" t="s">
        <v>182</v>
      </c>
      <c r="BA37" s="71"/>
      <c r="BB37" s="71" t="s">
        <v>182</v>
      </c>
      <c r="BC37" s="71"/>
      <c r="BD37" s="71" t="s">
        <v>182</v>
      </c>
      <c r="BE37" s="71"/>
      <c r="BF37" s="71" t="s">
        <v>182</v>
      </c>
      <c r="BG37" s="71"/>
      <c r="BH37" s="71" t="s">
        <v>182</v>
      </c>
      <c r="BI37" s="71"/>
      <c r="BJ37" s="71" t="s">
        <v>254</v>
      </c>
      <c r="BK37" s="71"/>
      <c r="BL37" s="71" t="str">
        <f>TEXT(ROUND((3600*K32*AZ32*AK32*K34)/(Y34),2),"#,##0.#######")</f>
        <v>18.95</v>
      </c>
      <c r="BM37" s="71"/>
      <c r="BN37" s="71"/>
      <c r="BO37" s="71"/>
      <c r="BP37" s="71"/>
      <c r="BQ37" s="71"/>
      <c r="BR37" s="71"/>
      <c r="BS37" s="71"/>
      <c r="BT37" s="71" t="s">
        <v>452</v>
      </c>
      <c r="BU37" s="71"/>
      <c r="BV37" s="71" t="s">
        <v>112</v>
      </c>
      <c r="BW37" s="71" t="s">
        <v>467</v>
      </c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9"/>
      <c r="EM37" s="79"/>
      <c r="EN37" s="79"/>
      <c r="EO37" s="80"/>
      <c r="EP37" s="78"/>
    </row>
    <row r="38" spans="2:146" ht="11.25" customHeight="1" x14ac:dyDescent="0.2"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 t="s">
        <v>91</v>
      </c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 t="str">
        <f>TEXT(Y34,"#,##0.#######")</f>
        <v>18.</v>
      </c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9"/>
      <c r="EM38" s="79"/>
      <c r="EN38" s="79"/>
      <c r="EO38" s="80"/>
      <c r="EP38" s="78"/>
    </row>
    <row r="39" spans="2:146" ht="11.25" customHeight="1" x14ac:dyDescent="0.2">
      <c r="B39" s="70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9"/>
      <c r="EM39" s="79"/>
      <c r="EN39" s="79"/>
      <c r="EO39" s="80"/>
      <c r="EP39" s="78"/>
    </row>
    <row r="40" spans="2:146" ht="11.25" customHeight="1" x14ac:dyDescent="0.2">
      <c r="B40" s="70"/>
      <c r="C40" s="71"/>
      <c r="D40" s="71"/>
      <c r="E40" s="71"/>
      <c r="F40" s="71"/>
      <c r="G40" s="71" t="s">
        <v>127</v>
      </c>
      <c r="H40" s="71"/>
      <c r="I40" s="71"/>
      <c r="J40" s="71" t="s">
        <v>254</v>
      </c>
      <c r="K40" s="71"/>
      <c r="L40" s="71" t="s">
        <v>40</v>
      </c>
      <c r="M40" s="71"/>
      <c r="N40" s="71" t="s">
        <v>112</v>
      </c>
      <c r="O40" s="71"/>
      <c r="P40" s="71" t="s">
        <v>402</v>
      </c>
      <c r="Q40" s="71"/>
      <c r="R40" s="71" t="s">
        <v>254</v>
      </c>
      <c r="S40" s="71"/>
      <c r="T40" s="71" t="str">
        <f>TEXT(BL37,"#,##0.#######")</f>
        <v>18.95</v>
      </c>
      <c r="U40" s="71"/>
      <c r="V40" s="71"/>
      <c r="W40" s="71"/>
      <c r="X40" s="71"/>
      <c r="Y40" s="71"/>
      <c r="Z40" s="71" t="s">
        <v>112</v>
      </c>
      <c r="AA40" s="71"/>
      <c r="AB40" s="71" t="str">
        <f>TEXT(AS34,"#,##0.#######")</f>
        <v>0.2</v>
      </c>
      <c r="AC40" s="71"/>
      <c r="AD40" s="71"/>
      <c r="AE40" s="71"/>
      <c r="AF40" s="71" t="s">
        <v>254</v>
      </c>
      <c r="AG40" s="71"/>
      <c r="AH40" s="71" t="str">
        <f>TEXT(ROUND(BL37/AS34,2),"#,##0.#######")</f>
        <v>94.75</v>
      </c>
      <c r="AI40" s="71"/>
      <c r="AJ40" s="71"/>
      <c r="AK40" s="71"/>
      <c r="AL40" s="71"/>
      <c r="AM40" s="71"/>
      <c r="AN40" s="71"/>
      <c r="AO40" s="71"/>
      <c r="AP40" s="71" t="s">
        <v>464</v>
      </c>
      <c r="AQ40" s="71"/>
      <c r="AR40" s="71" t="s">
        <v>112</v>
      </c>
      <c r="AS40" s="71" t="s">
        <v>467</v>
      </c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9"/>
      <c r="EM40" s="79"/>
      <c r="EN40" s="79"/>
      <c r="EO40" s="80"/>
      <c r="EP40" s="78"/>
    </row>
    <row r="41" spans="2:146" ht="11.25" customHeight="1" x14ac:dyDescent="0.2"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9"/>
      <c r="EM41" s="79"/>
      <c r="EN41" s="79"/>
      <c r="EO41" s="80"/>
      <c r="EP41" s="78"/>
    </row>
    <row r="42" spans="2:146" ht="11.25" customHeight="1" x14ac:dyDescent="0.2">
      <c r="B42" s="70"/>
      <c r="C42" s="71"/>
      <c r="D42" s="71"/>
      <c r="E42" s="71"/>
      <c r="F42" s="71"/>
      <c r="G42" s="71" t="s">
        <v>543</v>
      </c>
      <c r="H42" s="71"/>
      <c r="I42" s="71"/>
      <c r="J42" s="71"/>
      <c r="K42" s="71"/>
      <c r="L42" s="71"/>
      <c r="M42" s="71"/>
      <c r="N42" s="71" t="s">
        <v>469</v>
      </c>
      <c r="O42" s="71"/>
      <c r="P42" s="71" t="str">
        <f>TEXT(기계경비총괄표!H4,"#,##0")</f>
        <v>59,020</v>
      </c>
      <c r="Q42" s="71"/>
      <c r="R42" s="71"/>
      <c r="S42" s="71"/>
      <c r="T42" s="71"/>
      <c r="U42" s="71"/>
      <c r="V42" s="71"/>
      <c r="W42" s="71"/>
      <c r="X42" s="71"/>
      <c r="Y42" s="71" t="s">
        <v>309</v>
      </c>
      <c r="Z42" s="71"/>
      <c r="AA42" s="71"/>
      <c r="AB42" s="71" t="s">
        <v>127</v>
      </c>
      <c r="AC42" s="71"/>
      <c r="AD42" s="71"/>
      <c r="AE42" s="71" t="s">
        <v>254</v>
      </c>
      <c r="AF42" s="71"/>
      <c r="AG42" s="71" t="str">
        <f>TEXT(P42,"#,##0.#######")</f>
        <v>59,020.</v>
      </c>
      <c r="AH42" s="71"/>
      <c r="AI42" s="71"/>
      <c r="AJ42" s="71"/>
      <c r="AK42" s="71"/>
      <c r="AL42" s="71"/>
      <c r="AM42" s="71"/>
      <c r="AN42" s="71" t="s">
        <v>309</v>
      </c>
      <c r="AO42" s="71"/>
      <c r="AP42" s="71"/>
      <c r="AQ42" s="71" t="str">
        <f>TEXT(AH40,"#,##0.#######")</f>
        <v>94.75</v>
      </c>
      <c r="AR42" s="71"/>
      <c r="AS42" s="71"/>
      <c r="AT42" s="71"/>
      <c r="AU42" s="71"/>
      <c r="AV42" s="71"/>
      <c r="AW42" s="71" t="s">
        <v>254</v>
      </c>
      <c r="AX42" s="71"/>
      <c r="AY42" s="71"/>
      <c r="AZ42" s="71"/>
      <c r="BA42" s="71" t="str">
        <f>TEXT(TRUNC(P42/AH40,1),"#,##0.#")</f>
        <v>622.9</v>
      </c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9"/>
      <c r="EM42" s="79"/>
      <c r="EN42" s="79"/>
      <c r="EO42" s="80"/>
      <c r="EP42" s="78"/>
    </row>
    <row r="43" spans="2:146" ht="11.25" customHeight="1" x14ac:dyDescent="0.2">
      <c r="B43" s="70"/>
      <c r="C43" s="71"/>
      <c r="D43" s="71"/>
      <c r="E43" s="71"/>
      <c r="F43" s="71"/>
      <c r="G43" s="71" t="s">
        <v>400</v>
      </c>
      <c r="H43" s="71"/>
      <c r="I43" s="71"/>
      <c r="J43" s="71"/>
      <c r="K43" s="71"/>
      <c r="L43" s="71"/>
      <c r="M43" s="71"/>
      <c r="N43" s="71" t="s">
        <v>469</v>
      </c>
      <c r="O43" s="71"/>
      <c r="P43" s="71" t="str">
        <f>TEXT(기계경비총괄표!G4,"#,##0")</f>
        <v>11,017</v>
      </c>
      <c r="Q43" s="71"/>
      <c r="R43" s="71"/>
      <c r="S43" s="71"/>
      <c r="T43" s="71"/>
      <c r="U43" s="71"/>
      <c r="V43" s="71"/>
      <c r="W43" s="71"/>
      <c r="X43" s="71"/>
      <c r="Y43" s="71" t="s">
        <v>309</v>
      </c>
      <c r="Z43" s="71"/>
      <c r="AA43" s="71"/>
      <c r="AB43" s="71" t="s">
        <v>127</v>
      </c>
      <c r="AC43" s="71"/>
      <c r="AD43" s="71"/>
      <c r="AE43" s="71" t="s">
        <v>254</v>
      </c>
      <c r="AF43" s="71"/>
      <c r="AG43" s="71" t="str">
        <f>TEXT(P43,"#,##0.#######")</f>
        <v>11,017.</v>
      </c>
      <c r="AH43" s="71"/>
      <c r="AI43" s="71"/>
      <c r="AJ43" s="71"/>
      <c r="AK43" s="71"/>
      <c r="AL43" s="71"/>
      <c r="AM43" s="71"/>
      <c r="AN43" s="71" t="s">
        <v>309</v>
      </c>
      <c r="AO43" s="71"/>
      <c r="AP43" s="71"/>
      <c r="AQ43" s="71" t="str">
        <f>TEXT(AH40,"#,##0.#######")</f>
        <v>94.75</v>
      </c>
      <c r="AR43" s="71"/>
      <c r="AS43" s="71"/>
      <c r="AT43" s="71"/>
      <c r="AU43" s="71"/>
      <c r="AV43" s="71"/>
      <c r="AW43" s="71" t="s">
        <v>254</v>
      </c>
      <c r="AX43" s="71"/>
      <c r="AY43" s="71"/>
      <c r="AZ43" s="71"/>
      <c r="BA43" s="71" t="str">
        <f>TEXT(TRUNC(P43/AH40,1),"#,##0.#")</f>
        <v>116.2</v>
      </c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9"/>
      <c r="EM43" s="79"/>
      <c r="EN43" s="79"/>
      <c r="EO43" s="80"/>
      <c r="EP43" s="78"/>
    </row>
    <row r="44" spans="2:146" ht="11.25" customHeight="1" x14ac:dyDescent="0.2">
      <c r="B44" s="70"/>
      <c r="C44" s="71"/>
      <c r="D44" s="71"/>
      <c r="E44" s="71"/>
      <c r="F44" s="71"/>
      <c r="G44" s="71" t="s">
        <v>147</v>
      </c>
      <c r="H44" s="71"/>
      <c r="I44" s="71"/>
      <c r="J44" s="71"/>
      <c r="K44" s="71" t="s">
        <v>342</v>
      </c>
      <c r="L44" s="71"/>
      <c r="M44" s="71"/>
      <c r="N44" s="71" t="s">
        <v>469</v>
      </c>
      <c r="O44" s="71"/>
      <c r="P44" s="71" t="str">
        <f>TEXT(기계경비총괄표!I4,"#,##0")</f>
        <v>13,873</v>
      </c>
      <c r="Q44" s="71"/>
      <c r="R44" s="71"/>
      <c r="S44" s="71"/>
      <c r="T44" s="71"/>
      <c r="U44" s="71"/>
      <c r="V44" s="71"/>
      <c r="W44" s="71"/>
      <c r="X44" s="71"/>
      <c r="Y44" s="71" t="s">
        <v>309</v>
      </c>
      <c r="Z44" s="71"/>
      <c r="AA44" s="71"/>
      <c r="AB44" s="71" t="s">
        <v>127</v>
      </c>
      <c r="AC44" s="71"/>
      <c r="AD44" s="71"/>
      <c r="AE44" s="71" t="s">
        <v>254</v>
      </c>
      <c r="AF44" s="71"/>
      <c r="AG44" s="71" t="str">
        <f>TEXT(P44,"#,##0.#######")</f>
        <v>13,873.</v>
      </c>
      <c r="AH44" s="71"/>
      <c r="AI44" s="71"/>
      <c r="AJ44" s="71"/>
      <c r="AK44" s="71"/>
      <c r="AL44" s="71"/>
      <c r="AM44" s="71"/>
      <c r="AN44" s="71" t="s">
        <v>309</v>
      </c>
      <c r="AO44" s="71"/>
      <c r="AP44" s="71"/>
      <c r="AQ44" s="71" t="str">
        <f>TEXT(AH40,"#,##0.#######")</f>
        <v>94.75</v>
      </c>
      <c r="AR44" s="71"/>
      <c r="AS44" s="71"/>
      <c r="AT44" s="71"/>
      <c r="AU44" s="71"/>
      <c r="AV44" s="71"/>
      <c r="AW44" s="71" t="s">
        <v>254</v>
      </c>
      <c r="AX44" s="71"/>
      <c r="AY44" s="71"/>
      <c r="AZ44" s="71"/>
      <c r="BA44" s="71" t="str">
        <f>TEXT(TRUNC(P44/AH40,1),"#,##0.#")</f>
        <v>146.4</v>
      </c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9"/>
      <c r="EM44" s="79"/>
      <c r="EN44" s="79"/>
      <c r="EO44" s="80"/>
      <c r="EP44" s="78"/>
    </row>
    <row r="45" spans="2:146" ht="11.25" customHeight="1" x14ac:dyDescent="0.2">
      <c r="B45" s="70"/>
      <c r="C45" s="71"/>
      <c r="D45" s="71"/>
      <c r="E45" s="71"/>
      <c r="F45" s="71"/>
      <c r="G45" s="71" t="s">
        <v>252</v>
      </c>
      <c r="H45" s="71"/>
      <c r="I45" s="71"/>
      <c r="J45" s="71"/>
      <c r="K45" s="71" t="s">
        <v>341</v>
      </c>
      <c r="L45" s="71"/>
      <c r="M45" s="71"/>
      <c r="N45" s="71" t="s">
        <v>469</v>
      </c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 t="str">
        <f>TEXT(BA42+BA43+BA44,"#,##0.#######")</f>
        <v>885.5</v>
      </c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9">
        <f>EN45+EM45+EO45</f>
        <v>885.5</v>
      </c>
      <c r="EM45" s="79" t="str">
        <f>TEXT(BA43,"#,###.0")</f>
        <v>116.2</v>
      </c>
      <c r="EN45" s="79" t="str">
        <f>TEXT(BA42,"#,###.0")</f>
        <v>622.9</v>
      </c>
      <c r="EO45" s="80" t="str">
        <f>TEXT(BA44,"#,###.0")</f>
        <v>146.4</v>
      </c>
      <c r="EP45" s="78"/>
    </row>
    <row r="46" spans="2:146" ht="11.25" customHeight="1" x14ac:dyDescent="0.2"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9"/>
      <c r="EM46" s="79"/>
      <c r="EN46" s="79"/>
      <c r="EO46" s="80"/>
      <c r="EP46" s="78"/>
    </row>
    <row r="47" spans="2:146" ht="11.25" customHeight="1" x14ac:dyDescent="0.2">
      <c r="B47" s="70"/>
      <c r="C47" s="71"/>
      <c r="D47" s="71" t="s">
        <v>463</v>
      </c>
      <c r="E47" s="71"/>
      <c r="F47" s="71"/>
      <c r="G47" s="71" t="s">
        <v>437</v>
      </c>
      <c r="H47" s="71"/>
      <c r="I47" s="71"/>
      <c r="J47" s="71"/>
      <c r="K47" s="71" t="s">
        <v>341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9"/>
      <c r="EM47" s="79"/>
      <c r="EN47" s="79"/>
      <c r="EO47" s="80"/>
      <c r="EP47" s="78"/>
    </row>
    <row r="48" spans="2:146" ht="11.25" customHeight="1" x14ac:dyDescent="0.2">
      <c r="B48" s="7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9"/>
      <c r="EM48" s="79"/>
      <c r="EN48" s="79"/>
      <c r="EO48" s="80"/>
      <c r="EP48" s="78"/>
    </row>
    <row r="49" spans="2:146" ht="11.25" customHeight="1" x14ac:dyDescent="0.2">
      <c r="B49" s="70"/>
      <c r="C49" s="71"/>
      <c r="D49" s="71"/>
      <c r="E49" s="71"/>
      <c r="F49" s="71"/>
      <c r="G49" s="71"/>
      <c r="H49" s="71" t="s">
        <v>543</v>
      </c>
      <c r="I49" s="71"/>
      <c r="J49" s="71"/>
      <c r="K49" s="71"/>
      <c r="L49" s="71"/>
      <c r="M49" s="71"/>
      <c r="N49" s="71"/>
      <c r="O49" s="71" t="s">
        <v>469</v>
      </c>
      <c r="P49" s="71"/>
      <c r="Q49" s="71" t="str">
        <f>TEXT(TRUNC(EN45,0),"#,##0")</f>
        <v>622</v>
      </c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9"/>
      <c r="EM49" s="79"/>
      <c r="EN49" s="79"/>
      <c r="EO49" s="80"/>
      <c r="EP49" s="78"/>
    </row>
    <row r="50" spans="2:146" ht="11.25" customHeight="1" x14ac:dyDescent="0.2">
      <c r="B50" s="70"/>
      <c r="C50" s="71"/>
      <c r="D50" s="71"/>
      <c r="E50" s="71"/>
      <c r="F50" s="71"/>
      <c r="G50" s="71"/>
      <c r="H50" s="71" t="s">
        <v>400</v>
      </c>
      <c r="I50" s="71"/>
      <c r="J50" s="71"/>
      <c r="K50" s="71"/>
      <c r="L50" s="71"/>
      <c r="M50" s="71"/>
      <c r="N50" s="71"/>
      <c r="O50" s="71" t="s">
        <v>469</v>
      </c>
      <c r="P50" s="71"/>
      <c r="Q50" s="71" t="str">
        <f>TEXT(TRUNC(EM45,0),"#,##0")</f>
        <v>116</v>
      </c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9"/>
      <c r="EM50" s="79"/>
      <c r="EN50" s="79"/>
      <c r="EO50" s="80"/>
      <c r="EP50" s="78"/>
    </row>
    <row r="51" spans="2:146" ht="11.25" customHeight="1" x14ac:dyDescent="0.2">
      <c r="B51" s="70"/>
      <c r="C51" s="71"/>
      <c r="D51" s="71"/>
      <c r="E51" s="71"/>
      <c r="F51" s="71"/>
      <c r="G51" s="71"/>
      <c r="H51" s="71" t="s">
        <v>147</v>
      </c>
      <c r="I51" s="71"/>
      <c r="J51" s="71"/>
      <c r="K51" s="71"/>
      <c r="L51" s="71" t="s">
        <v>342</v>
      </c>
      <c r="M51" s="71"/>
      <c r="N51" s="71"/>
      <c r="O51" s="71" t="s">
        <v>469</v>
      </c>
      <c r="P51" s="71"/>
      <c r="Q51" s="71" t="str">
        <f>TEXT(TRUNC(EO45,0),"#,##0")</f>
        <v>146</v>
      </c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9"/>
      <c r="EM51" s="79"/>
      <c r="EN51" s="79"/>
      <c r="EO51" s="80"/>
      <c r="EP51" s="78"/>
    </row>
    <row r="52" spans="2:146" ht="11.25" customHeight="1" x14ac:dyDescent="0.2">
      <c r="B52" s="70"/>
      <c r="C52" s="71"/>
      <c r="D52" s="71"/>
      <c r="E52" s="71"/>
      <c r="F52" s="71"/>
      <c r="G52" s="71"/>
      <c r="H52" s="71"/>
      <c r="I52" s="71"/>
      <c r="J52" s="71" t="s">
        <v>341</v>
      </c>
      <c r="K52" s="71"/>
      <c r="L52" s="71"/>
      <c r="M52" s="71"/>
      <c r="N52" s="71"/>
      <c r="O52" s="71" t="s">
        <v>469</v>
      </c>
      <c r="P52" s="71"/>
      <c r="Q52" s="71"/>
      <c r="R52" s="71" t="str">
        <f>TEXT(Q49+Q50+Q51,"#,##0")</f>
        <v>884</v>
      </c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81">
        <f>EN52+EM52+EO52</f>
        <v>884</v>
      </c>
      <c r="EM52" s="79" t="str">
        <f>TEXT(Q50,"#,##0")</f>
        <v>116</v>
      </c>
      <c r="EN52" s="79" t="str">
        <f>TEXT(Q49,"#,##0")</f>
        <v>622</v>
      </c>
      <c r="EO52" s="80" t="str">
        <f>TEXT(Q51,"#,##0")</f>
        <v>146</v>
      </c>
      <c r="EP52" s="78"/>
    </row>
    <row r="53" spans="2:146" ht="11.25" customHeight="1" x14ac:dyDescent="0.2">
      <c r="B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9"/>
      <c r="EM53" s="79"/>
      <c r="EN53" s="79"/>
      <c r="EO53" s="80"/>
      <c r="EP53" s="78"/>
    </row>
    <row r="54" spans="2:146" ht="11.25" customHeight="1" x14ac:dyDescent="0.2">
      <c r="B54" s="75" t="s">
        <v>60</v>
      </c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6">
        <f>EL73</f>
        <v>895</v>
      </c>
      <c r="EM54" s="76" t="str">
        <f>EM73</f>
        <v>117</v>
      </c>
      <c r="EN54" s="76" t="str">
        <f>EN73</f>
        <v>630</v>
      </c>
      <c r="EO54" s="77" t="str">
        <f>EO73</f>
        <v>148</v>
      </c>
      <c r="EP54" s="78"/>
    </row>
    <row r="55" spans="2:146" ht="11.25" customHeight="1" x14ac:dyDescent="0.2">
      <c r="B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9"/>
      <c r="EM55" s="79"/>
      <c r="EN55" s="79"/>
      <c r="EO55" s="80"/>
      <c r="EP55" s="78"/>
    </row>
    <row r="56" spans="2:146" ht="11.25" customHeight="1" x14ac:dyDescent="0.2">
      <c r="B56" s="70"/>
      <c r="C56" s="71"/>
      <c r="D56" s="71" t="s">
        <v>541</v>
      </c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 t="s">
        <v>307</v>
      </c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9"/>
      <c r="EM56" s="79"/>
      <c r="EN56" s="79"/>
      <c r="EO56" s="80"/>
      <c r="EP56" s="78"/>
    </row>
    <row r="57" spans="2:146" ht="11.25" customHeight="1" x14ac:dyDescent="0.2">
      <c r="B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9"/>
      <c r="EM57" s="79"/>
      <c r="EN57" s="79"/>
      <c r="EO57" s="80"/>
      <c r="EP57" s="78"/>
    </row>
    <row r="58" spans="2:146" ht="11.25" customHeight="1" x14ac:dyDescent="0.2">
      <c r="B58" s="70"/>
      <c r="C58" s="71"/>
      <c r="D58" s="71"/>
      <c r="E58" s="71"/>
      <c r="F58" s="71"/>
      <c r="G58" s="71" t="s">
        <v>540</v>
      </c>
      <c r="H58" s="71"/>
      <c r="I58" s="71" t="s">
        <v>254</v>
      </c>
      <c r="J58" s="71"/>
      <c r="K58" s="71" t="str">
        <f>TEXT(0.2,"#,##0.#######")</f>
        <v>0.2</v>
      </c>
      <c r="L58" s="71"/>
      <c r="M58" s="71"/>
      <c r="N58" s="71" t="s">
        <v>452</v>
      </c>
      <c r="O58" s="71"/>
      <c r="P58" s="71"/>
      <c r="Q58" s="71"/>
      <c r="R58" s="71"/>
      <c r="S58" s="71"/>
      <c r="T58" s="71" t="s">
        <v>273</v>
      </c>
      <c r="U58" s="71"/>
      <c r="V58" s="71" t="s">
        <v>254</v>
      </c>
      <c r="W58" s="71"/>
      <c r="X58" s="71" t="str">
        <f>TEXT(0.9,"#,##0.#######")</f>
        <v>0.9</v>
      </c>
      <c r="Y58" s="71"/>
      <c r="Z58" s="71"/>
      <c r="AA58" s="71"/>
      <c r="AB58" s="71"/>
      <c r="AC58" s="71"/>
      <c r="AD58" s="71"/>
      <c r="AE58" s="71" t="s">
        <v>84</v>
      </c>
      <c r="AF58" s="71"/>
      <c r="AG58" s="71" t="s">
        <v>254</v>
      </c>
      <c r="AH58" s="71"/>
      <c r="AI58" s="71" t="str">
        <f>TEXT(1,"#,##0.#######")</f>
        <v>1.</v>
      </c>
      <c r="AJ58" s="71"/>
      <c r="AK58" s="71" t="s">
        <v>112</v>
      </c>
      <c r="AL58" s="71"/>
      <c r="AM58" s="71" t="str">
        <f>TEXT(1.25,"#,##0.#######")</f>
        <v>1.25</v>
      </c>
      <c r="AN58" s="71"/>
      <c r="AO58" s="71"/>
      <c r="AP58" s="71"/>
      <c r="AQ58" s="71"/>
      <c r="AR58" s="71" t="s">
        <v>254</v>
      </c>
      <c r="AS58" s="71"/>
      <c r="AT58" s="71" t="str">
        <f>TEXT(ROUND(AI58/AM58,2),"#,##0.#######")</f>
        <v>0.8</v>
      </c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9"/>
      <c r="EM58" s="79"/>
      <c r="EN58" s="79"/>
      <c r="EO58" s="80"/>
      <c r="EP58" s="78"/>
    </row>
    <row r="59" spans="2:146" ht="11.25" customHeight="1" x14ac:dyDescent="0.2">
      <c r="B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9"/>
      <c r="EM59" s="79"/>
      <c r="EN59" s="79"/>
      <c r="EO59" s="80"/>
      <c r="EP59" s="78"/>
    </row>
    <row r="60" spans="2:146" ht="11.25" customHeight="1" x14ac:dyDescent="0.2">
      <c r="B60" s="70"/>
      <c r="C60" s="71"/>
      <c r="D60" s="71"/>
      <c r="E60" s="71"/>
      <c r="F60" s="71"/>
      <c r="G60" s="71" t="s">
        <v>282</v>
      </c>
      <c r="H60" s="71"/>
      <c r="I60" s="71" t="s">
        <v>254</v>
      </c>
      <c r="J60" s="71"/>
      <c r="K60" s="71" t="str">
        <f>TEXT(0.65,"#,##0.#######")</f>
        <v>0.65</v>
      </c>
      <c r="L60" s="71"/>
      <c r="M60" s="71"/>
      <c r="N60" s="71"/>
      <c r="O60" s="71"/>
      <c r="P60" s="71"/>
      <c r="Q60" s="71"/>
      <c r="R60" s="71"/>
      <c r="S60" s="71" t="s">
        <v>91</v>
      </c>
      <c r="T60" s="71"/>
      <c r="U60" s="71"/>
      <c r="V60" s="71" t="s">
        <v>254</v>
      </c>
      <c r="W60" s="71"/>
      <c r="X60" s="71" t="str">
        <f>TEXT(18,"#,##0.#######")</f>
        <v>18.</v>
      </c>
      <c r="Y60" s="71"/>
      <c r="Z60" s="71" t="s">
        <v>573</v>
      </c>
      <c r="AA60" s="71"/>
      <c r="AB60" s="71"/>
      <c r="AC60" s="71" t="s">
        <v>336</v>
      </c>
      <c r="AD60" s="71" t="s">
        <v>229</v>
      </c>
      <c r="AE60" s="71"/>
      <c r="AF60" s="71"/>
      <c r="AG60" s="71" t="s">
        <v>448</v>
      </c>
      <c r="AH60" s="71"/>
      <c r="AI60" s="71" t="s">
        <v>80</v>
      </c>
      <c r="AJ60" s="71"/>
      <c r="AK60" s="71"/>
      <c r="AL60" s="71" t="s">
        <v>402</v>
      </c>
      <c r="AM60" s="71"/>
      <c r="AN60" s="71" t="s">
        <v>254</v>
      </c>
      <c r="AO60" s="71"/>
      <c r="AP60" s="71" t="str">
        <f>TEXT(0.2,"#,##0.#######")</f>
        <v>0.2</v>
      </c>
      <c r="AQ60" s="71"/>
      <c r="AR60" s="71"/>
      <c r="AS60" s="71" t="s">
        <v>375</v>
      </c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9"/>
      <c r="EM60" s="79"/>
      <c r="EN60" s="79"/>
      <c r="EO60" s="80"/>
      <c r="EP60" s="78"/>
    </row>
    <row r="61" spans="2:146" ht="11.25" customHeight="1" x14ac:dyDescent="0.2">
      <c r="B61" s="73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82"/>
      <c r="EM61" s="82"/>
      <c r="EN61" s="82"/>
      <c r="EO61" s="83"/>
      <c r="EP61" s="78"/>
    </row>
    <row r="62" spans="2:146" ht="11.25" customHeight="1" x14ac:dyDescent="0.2"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 t="str">
        <f>TEXT(3600,"#,##0.#######")</f>
        <v>3,600.</v>
      </c>
      <c r="M62" s="71"/>
      <c r="N62" s="71"/>
      <c r="O62" s="71"/>
      <c r="P62" s="71"/>
      <c r="Q62" s="71"/>
      <c r="R62" s="71" t="s">
        <v>542</v>
      </c>
      <c r="S62" s="71"/>
      <c r="T62" s="71"/>
      <c r="U62" s="71" t="s">
        <v>540</v>
      </c>
      <c r="V62" s="71"/>
      <c r="W62" s="71" t="s">
        <v>542</v>
      </c>
      <c r="X62" s="71"/>
      <c r="Y62" s="71"/>
      <c r="Z62" s="71" t="s">
        <v>273</v>
      </c>
      <c r="AA62" s="71"/>
      <c r="AB62" s="71" t="s">
        <v>542</v>
      </c>
      <c r="AC62" s="71"/>
      <c r="AD62" s="71"/>
      <c r="AE62" s="71" t="s">
        <v>84</v>
      </c>
      <c r="AF62" s="71"/>
      <c r="AG62" s="71" t="s">
        <v>542</v>
      </c>
      <c r="AH62" s="71"/>
      <c r="AI62" s="71"/>
      <c r="AJ62" s="71" t="s">
        <v>282</v>
      </c>
      <c r="AK62" s="71"/>
      <c r="AL62" s="71"/>
      <c r="AM62" s="71"/>
      <c r="AN62" s="71"/>
      <c r="AO62" s="71"/>
      <c r="AP62" s="71"/>
      <c r="AQ62" s="71" t="str">
        <f>TEXT(L62,"#,##0.#######")</f>
        <v>3,600.</v>
      </c>
      <c r="AR62" s="71"/>
      <c r="AS62" s="71"/>
      <c r="AT62" s="71"/>
      <c r="AU62" s="71"/>
      <c r="AV62" s="71"/>
      <c r="AW62" s="71" t="s">
        <v>542</v>
      </c>
      <c r="AX62" s="71"/>
      <c r="AY62" s="71"/>
      <c r="AZ62" s="71" t="str">
        <f>TEXT(K58,"#,##0.#######")</f>
        <v>0.2</v>
      </c>
      <c r="BA62" s="71"/>
      <c r="BB62" s="71"/>
      <c r="BC62" s="71"/>
      <c r="BD62" s="71" t="s">
        <v>542</v>
      </c>
      <c r="BE62" s="71"/>
      <c r="BF62" s="71"/>
      <c r="BG62" s="71" t="str">
        <f>TEXT(X58,"#,##0.#######")</f>
        <v>0.9</v>
      </c>
      <c r="BH62" s="71"/>
      <c r="BI62" s="71"/>
      <c r="BJ62" s="71"/>
      <c r="BK62" s="71" t="s">
        <v>542</v>
      </c>
      <c r="BL62" s="71"/>
      <c r="BM62" s="71"/>
      <c r="BN62" s="71" t="str">
        <f>TEXT(AT58,"#,##0.#######")</f>
        <v>0.8</v>
      </c>
      <c r="BO62" s="71"/>
      <c r="BP62" s="71"/>
      <c r="BQ62" s="71"/>
      <c r="BR62" s="71" t="s">
        <v>542</v>
      </c>
      <c r="BS62" s="71"/>
      <c r="BT62" s="71"/>
      <c r="BU62" s="71" t="str">
        <f>TEXT(K60,"#,##0.#######")</f>
        <v>0.65</v>
      </c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9"/>
      <c r="EM62" s="79"/>
      <c r="EN62" s="79"/>
      <c r="EO62" s="80"/>
      <c r="EP62" s="78"/>
    </row>
    <row r="63" spans="2:146" ht="11.25" customHeight="1" x14ac:dyDescent="0.2">
      <c r="B63" s="70"/>
      <c r="C63" s="71"/>
      <c r="D63" s="71"/>
      <c r="E63" s="71"/>
      <c r="F63" s="71"/>
      <c r="G63" s="71" t="s">
        <v>40</v>
      </c>
      <c r="H63" s="71"/>
      <c r="I63" s="71" t="s">
        <v>254</v>
      </c>
      <c r="J63" s="71"/>
      <c r="K63" s="71" t="s">
        <v>182</v>
      </c>
      <c r="L63" s="71"/>
      <c r="M63" s="71" t="s">
        <v>182</v>
      </c>
      <c r="N63" s="71"/>
      <c r="O63" s="71" t="s">
        <v>182</v>
      </c>
      <c r="P63" s="71"/>
      <c r="Q63" s="71" t="s">
        <v>182</v>
      </c>
      <c r="R63" s="71"/>
      <c r="S63" s="71" t="s">
        <v>182</v>
      </c>
      <c r="T63" s="71"/>
      <c r="U63" s="71" t="s">
        <v>182</v>
      </c>
      <c r="V63" s="71"/>
      <c r="W63" s="71" t="s">
        <v>182</v>
      </c>
      <c r="X63" s="71"/>
      <c r="Y63" s="71" t="s">
        <v>182</v>
      </c>
      <c r="Z63" s="71"/>
      <c r="AA63" s="71" t="s">
        <v>182</v>
      </c>
      <c r="AB63" s="71"/>
      <c r="AC63" s="71" t="s">
        <v>182</v>
      </c>
      <c r="AD63" s="71"/>
      <c r="AE63" s="71" t="s">
        <v>182</v>
      </c>
      <c r="AF63" s="71"/>
      <c r="AG63" s="71" t="s">
        <v>182</v>
      </c>
      <c r="AH63" s="71"/>
      <c r="AI63" s="71" t="s">
        <v>182</v>
      </c>
      <c r="AJ63" s="71"/>
      <c r="AK63" s="71" t="s">
        <v>182</v>
      </c>
      <c r="AL63" s="71"/>
      <c r="AM63" s="71"/>
      <c r="AN63" s="71" t="s">
        <v>254</v>
      </c>
      <c r="AO63" s="71"/>
      <c r="AP63" s="71" t="s">
        <v>182</v>
      </c>
      <c r="AQ63" s="71"/>
      <c r="AR63" s="71" t="s">
        <v>182</v>
      </c>
      <c r="AS63" s="71"/>
      <c r="AT63" s="71" t="s">
        <v>182</v>
      </c>
      <c r="AU63" s="71"/>
      <c r="AV63" s="71" t="s">
        <v>182</v>
      </c>
      <c r="AW63" s="71"/>
      <c r="AX63" s="71" t="s">
        <v>182</v>
      </c>
      <c r="AY63" s="71"/>
      <c r="AZ63" s="71" t="s">
        <v>182</v>
      </c>
      <c r="BA63" s="71"/>
      <c r="BB63" s="71" t="s">
        <v>182</v>
      </c>
      <c r="BC63" s="71"/>
      <c r="BD63" s="71" t="s">
        <v>182</v>
      </c>
      <c r="BE63" s="71"/>
      <c r="BF63" s="71" t="s">
        <v>182</v>
      </c>
      <c r="BG63" s="71"/>
      <c r="BH63" s="71" t="s">
        <v>182</v>
      </c>
      <c r="BI63" s="71"/>
      <c r="BJ63" s="71" t="s">
        <v>182</v>
      </c>
      <c r="BK63" s="71"/>
      <c r="BL63" s="71" t="s">
        <v>182</v>
      </c>
      <c r="BM63" s="71"/>
      <c r="BN63" s="71" t="s">
        <v>182</v>
      </c>
      <c r="BO63" s="71"/>
      <c r="BP63" s="71" t="s">
        <v>182</v>
      </c>
      <c r="BQ63" s="71"/>
      <c r="BR63" s="71" t="s">
        <v>182</v>
      </c>
      <c r="BS63" s="71"/>
      <c r="BT63" s="71" t="s">
        <v>182</v>
      </c>
      <c r="BU63" s="71"/>
      <c r="BV63" s="71" t="s">
        <v>182</v>
      </c>
      <c r="BW63" s="71"/>
      <c r="BX63" s="71" t="s">
        <v>182</v>
      </c>
      <c r="BY63" s="71"/>
      <c r="BZ63" s="71"/>
      <c r="CA63" s="71" t="s">
        <v>254</v>
      </c>
      <c r="CB63" s="71"/>
      <c r="CC63" s="71" t="str">
        <f>TEXT(ROUND((3600*K58*X58*AT58*K60)/(X60),2),"#,##0.#######")</f>
        <v>18.72</v>
      </c>
      <c r="CD63" s="71"/>
      <c r="CE63" s="71"/>
      <c r="CF63" s="71"/>
      <c r="CG63" s="71"/>
      <c r="CH63" s="71"/>
      <c r="CI63" s="71"/>
      <c r="CJ63" s="71"/>
      <c r="CK63" s="71" t="s">
        <v>452</v>
      </c>
      <c r="CL63" s="71"/>
      <c r="CM63" s="71" t="s">
        <v>112</v>
      </c>
      <c r="CN63" s="71" t="s">
        <v>467</v>
      </c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9"/>
      <c r="EM63" s="79"/>
      <c r="EN63" s="79"/>
      <c r="EO63" s="80"/>
      <c r="EP63" s="78"/>
    </row>
    <row r="64" spans="2:146" ht="11.25" customHeight="1" x14ac:dyDescent="0.2">
      <c r="B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 t="s">
        <v>91</v>
      </c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 t="str">
        <f>TEXT(X60,"#,##0.#######")</f>
        <v>18.</v>
      </c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9"/>
      <c r="EM64" s="79"/>
      <c r="EN64" s="79"/>
      <c r="EO64" s="80"/>
      <c r="EP64" s="78"/>
    </row>
    <row r="65" spans="2:146" ht="11.25" customHeight="1" x14ac:dyDescent="0.2">
      <c r="B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9"/>
      <c r="EM65" s="79"/>
      <c r="EN65" s="79"/>
      <c r="EO65" s="80"/>
      <c r="EP65" s="78"/>
    </row>
    <row r="66" spans="2:146" ht="11.25" customHeight="1" x14ac:dyDescent="0.2">
      <c r="B66" s="70"/>
      <c r="C66" s="71"/>
      <c r="D66" s="71"/>
      <c r="E66" s="71"/>
      <c r="F66" s="71"/>
      <c r="G66" s="71" t="s">
        <v>127</v>
      </c>
      <c r="H66" s="71"/>
      <c r="I66" s="71"/>
      <c r="J66" s="71" t="s">
        <v>254</v>
      </c>
      <c r="K66" s="71"/>
      <c r="L66" s="71" t="s">
        <v>40</v>
      </c>
      <c r="M66" s="71"/>
      <c r="N66" s="71" t="s">
        <v>112</v>
      </c>
      <c r="O66" s="71"/>
      <c r="P66" s="71" t="s">
        <v>402</v>
      </c>
      <c r="Q66" s="71"/>
      <c r="R66" s="71" t="s">
        <v>254</v>
      </c>
      <c r="S66" s="71"/>
      <c r="T66" s="71" t="str">
        <f>TEXT(CC63,"#,##0.#######")</f>
        <v>18.72</v>
      </c>
      <c r="U66" s="71"/>
      <c r="V66" s="71"/>
      <c r="W66" s="71"/>
      <c r="X66" s="71"/>
      <c r="Y66" s="71"/>
      <c r="Z66" s="71" t="s">
        <v>112</v>
      </c>
      <c r="AA66" s="71"/>
      <c r="AB66" s="71" t="str">
        <f>TEXT(AP60,"#,##0.#######")</f>
        <v>0.2</v>
      </c>
      <c r="AC66" s="71"/>
      <c r="AD66" s="71"/>
      <c r="AE66" s="71"/>
      <c r="AF66" s="71" t="s">
        <v>254</v>
      </c>
      <c r="AG66" s="71"/>
      <c r="AH66" s="71" t="str">
        <f>TEXT(ROUND(CC63/AP60,2),"#,##0.#######")</f>
        <v>93.6</v>
      </c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9"/>
      <c r="EM66" s="79"/>
      <c r="EN66" s="79"/>
      <c r="EO66" s="80"/>
      <c r="EP66" s="78"/>
    </row>
    <row r="67" spans="2:146" ht="11.25" customHeight="1" x14ac:dyDescent="0.2">
      <c r="B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9"/>
      <c r="EM67" s="79"/>
      <c r="EN67" s="79"/>
      <c r="EO67" s="80"/>
      <c r="EP67" s="78"/>
    </row>
    <row r="68" spans="2:146" ht="11.25" customHeight="1" x14ac:dyDescent="0.2">
      <c r="B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9"/>
      <c r="EM68" s="79"/>
      <c r="EN68" s="79"/>
      <c r="EO68" s="80"/>
      <c r="EP68" s="78"/>
    </row>
    <row r="69" spans="2:146" ht="11.25" customHeight="1" x14ac:dyDescent="0.2">
      <c r="B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9"/>
      <c r="EM69" s="79"/>
      <c r="EN69" s="79"/>
      <c r="EO69" s="80"/>
      <c r="EP69" s="78"/>
    </row>
    <row r="70" spans="2:146" ht="11.25" customHeight="1" x14ac:dyDescent="0.2">
      <c r="B70" s="70"/>
      <c r="C70" s="71"/>
      <c r="D70" s="71"/>
      <c r="E70" s="71"/>
      <c r="F70" s="71"/>
      <c r="G70" s="71" t="s">
        <v>543</v>
      </c>
      <c r="H70" s="71"/>
      <c r="I70" s="71"/>
      <c r="J70" s="71"/>
      <c r="K70" s="71"/>
      <c r="L70" s="71"/>
      <c r="M70" s="71"/>
      <c r="N70" s="71" t="s">
        <v>469</v>
      </c>
      <c r="O70" s="71"/>
      <c r="P70" s="71" t="str">
        <f>TEXT(기계경비총괄표!H4,"#,##0")</f>
        <v>59,020</v>
      </c>
      <c r="Q70" s="71"/>
      <c r="R70" s="71"/>
      <c r="S70" s="71"/>
      <c r="T70" s="71"/>
      <c r="U70" s="71"/>
      <c r="V70" s="71"/>
      <c r="W70" s="71"/>
      <c r="X70" s="71"/>
      <c r="Y70" s="71" t="s">
        <v>309</v>
      </c>
      <c r="Z70" s="71"/>
      <c r="AA70" s="71"/>
      <c r="AB70" s="71" t="s">
        <v>127</v>
      </c>
      <c r="AC70" s="71"/>
      <c r="AD70" s="71"/>
      <c r="AE70" s="71" t="s">
        <v>254</v>
      </c>
      <c r="AF70" s="71"/>
      <c r="AG70" s="71" t="str">
        <f>TEXT(P70,"#,##0.#######")</f>
        <v>59,020.</v>
      </c>
      <c r="AH70" s="71"/>
      <c r="AI70" s="71"/>
      <c r="AJ70" s="71"/>
      <c r="AK70" s="71"/>
      <c r="AL70" s="71"/>
      <c r="AM70" s="71"/>
      <c r="AN70" s="71" t="s">
        <v>309</v>
      </c>
      <c r="AO70" s="71"/>
      <c r="AP70" s="71"/>
      <c r="AQ70" s="71" t="str">
        <f>TEXT(AH66,"#,##0.#######")</f>
        <v>93.6</v>
      </c>
      <c r="AR70" s="71"/>
      <c r="AS70" s="71"/>
      <c r="AT70" s="71"/>
      <c r="AU70" s="71"/>
      <c r="AV70" s="71" t="s">
        <v>254</v>
      </c>
      <c r="AW70" s="71"/>
      <c r="AX70" s="71" t="str">
        <f>TEXT(TRUNC(P70/AH66,0),"#,##0")</f>
        <v>630</v>
      </c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9"/>
      <c r="EM70" s="79"/>
      <c r="EN70" s="79"/>
      <c r="EO70" s="80"/>
      <c r="EP70" s="78"/>
    </row>
    <row r="71" spans="2:146" ht="11.25" customHeight="1" x14ac:dyDescent="0.2">
      <c r="B71" s="70"/>
      <c r="C71" s="71"/>
      <c r="D71" s="71"/>
      <c r="E71" s="71"/>
      <c r="F71" s="71"/>
      <c r="G71" s="71" t="s">
        <v>400</v>
      </c>
      <c r="H71" s="71"/>
      <c r="I71" s="71"/>
      <c r="J71" s="71"/>
      <c r="K71" s="71"/>
      <c r="L71" s="71"/>
      <c r="M71" s="71"/>
      <c r="N71" s="71" t="s">
        <v>469</v>
      </c>
      <c r="O71" s="71"/>
      <c r="P71" s="71" t="str">
        <f>TEXT(기계경비총괄표!G4,"#,##0")</f>
        <v>11,017</v>
      </c>
      <c r="Q71" s="71"/>
      <c r="R71" s="71"/>
      <c r="S71" s="71"/>
      <c r="T71" s="71"/>
      <c r="U71" s="71"/>
      <c r="V71" s="71"/>
      <c r="W71" s="71"/>
      <c r="X71" s="71"/>
      <c r="Y71" s="71" t="s">
        <v>309</v>
      </c>
      <c r="Z71" s="71"/>
      <c r="AA71" s="71"/>
      <c r="AB71" s="71" t="s">
        <v>127</v>
      </c>
      <c r="AC71" s="71"/>
      <c r="AD71" s="71"/>
      <c r="AE71" s="71" t="s">
        <v>254</v>
      </c>
      <c r="AF71" s="71"/>
      <c r="AG71" s="71" t="str">
        <f>TEXT(P71,"#,##0.#######")</f>
        <v>11,017.</v>
      </c>
      <c r="AH71" s="71"/>
      <c r="AI71" s="71"/>
      <c r="AJ71" s="71"/>
      <c r="AK71" s="71"/>
      <c r="AL71" s="71"/>
      <c r="AM71" s="71"/>
      <c r="AN71" s="71" t="s">
        <v>309</v>
      </c>
      <c r="AO71" s="71"/>
      <c r="AP71" s="71"/>
      <c r="AQ71" s="71" t="str">
        <f>TEXT(AH66,"#,##0.#######")</f>
        <v>93.6</v>
      </c>
      <c r="AR71" s="71"/>
      <c r="AS71" s="71"/>
      <c r="AT71" s="71"/>
      <c r="AU71" s="71"/>
      <c r="AV71" s="71" t="s">
        <v>254</v>
      </c>
      <c r="AW71" s="71"/>
      <c r="AX71" s="71" t="str">
        <f>TEXT(TRUNC(P71/AH66,0),"#,##0")</f>
        <v>117</v>
      </c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9"/>
      <c r="EM71" s="79"/>
      <c r="EN71" s="79"/>
      <c r="EO71" s="80"/>
      <c r="EP71" s="78"/>
    </row>
    <row r="72" spans="2:146" ht="11.25" customHeight="1" x14ac:dyDescent="0.2">
      <c r="B72" s="70"/>
      <c r="C72" s="71"/>
      <c r="D72" s="71"/>
      <c r="E72" s="71"/>
      <c r="F72" s="71"/>
      <c r="G72" s="71" t="s">
        <v>147</v>
      </c>
      <c r="H72" s="71"/>
      <c r="I72" s="71"/>
      <c r="J72" s="71"/>
      <c r="K72" s="71" t="s">
        <v>342</v>
      </c>
      <c r="L72" s="71"/>
      <c r="M72" s="71"/>
      <c r="N72" s="71" t="s">
        <v>469</v>
      </c>
      <c r="O72" s="71"/>
      <c r="P72" s="71" t="str">
        <f>TEXT(기계경비총괄표!I4,"#,##0")</f>
        <v>13,873</v>
      </c>
      <c r="Q72" s="71"/>
      <c r="R72" s="71"/>
      <c r="S72" s="71"/>
      <c r="T72" s="71"/>
      <c r="U72" s="71"/>
      <c r="V72" s="71"/>
      <c r="W72" s="71"/>
      <c r="X72" s="71"/>
      <c r="Y72" s="71" t="s">
        <v>309</v>
      </c>
      <c r="Z72" s="71"/>
      <c r="AA72" s="71"/>
      <c r="AB72" s="71" t="s">
        <v>127</v>
      </c>
      <c r="AC72" s="71"/>
      <c r="AD72" s="71"/>
      <c r="AE72" s="71" t="s">
        <v>254</v>
      </c>
      <c r="AF72" s="71"/>
      <c r="AG72" s="71" t="str">
        <f>TEXT(P72,"#,##0.#######")</f>
        <v>13,873.</v>
      </c>
      <c r="AH72" s="71"/>
      <c r="AI72" s="71"/>
      <c r="AJ72" s="71"/>
      <c r="AK72" s="71"/>
      <c r="AL72" s="71"/>
      <c r="AM72" s="71"/>
      <c r="AN72" s="71" t="s">
        <v>309</v>
      </c>
      <c r="AO72" s="71"/>
      <c r="AP72" s="71"/>
      <c r="AQ72" s="71" t="str">
        <f>TEXT(AH66,"#,##0.#######")</f>
        <v>93.6</v>
      </c>
      <c r="AR72" s="71"/>
      <c r="AS72" s="71"/>
      <c r="AT72" s="71"/>
      <c r="AU72" s="71"/>
      <c r="AV72" s="71" t="s">
        <v>254</v>
      </c>
      <c r="AW72" s="71"/>
      <c r="AX72" s="71" t="str">
        <f>TEXT(TRUNC(P72/AH66,0),"#,##0")</f>
        <v>148</v>
      </c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9"/>
      <c r="EM72" s="79"/>
      <c r="EN72" s="79"/>
      <c r="EO72" s="80"/>
      <c r="EP72" s="78"/>
    </row>
    <row r="73" spans="2:146" ht="11.25" customHeight="1" x14ac:dyDescent="0.2">
      <c r="B73" s="70"/>
      <c r="C73" s="71"/>
      <c r="D73" s="71"/>
      <c r="E73" s="71"/>
      <c r="F73" s="71"/>
      <c r="G73" s="71" t="s">
        <v>252</v>
      </c>
      <c r="H73" s="71"/>
      <c r="I73" s="71"/>
      <c r="J73" s="71"/>
      <c r="K73" s="71" t="s">
        <v>341</v>
      </c>
      <c r="L73" s="71"/>
      <c r="M73" s="71"/>
      <c r="N73" s="71" t="s">
        <v>469</v>
      </c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 t="str">
        <f>TEXT(AX70+AX71+AX72,"#,##0")</f>
        <v>895</v>
      </c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81">
        <f>EN73+EM73+EO73</f>
        <v>895</v>
      </c>
      <c r="EM73" s="79" t="str">
        <f>TEXT(AX71,"#,##0")</f>
        <v>117</v>
      </c>
      <c r="EN73" s="79" t="str">
        <f>TEXT(AX70,"#,##0")</f>
        <v>630</v>
      </c>
      <c r="EO73" s="80" t="str">
        <f>TEXT(AX72,"#,##0")</f>
        <v>148</v>
      </c>
      <c r="EP73" s="78"/>
    </row>
    <row r="74" spans="2:146" ht="11.25" customHeight="1" x14ac:dyDescent="0.2">
      <c r="B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9"/>
      <c r="EM74" s="79"/>
      <c r="EN74" s="79"/>
      <c r="EO74" s="80"/>
      <c r="EP74" s="78"/>
    </row>
    <row r="75" spans="2:146" ht="11.25" customHeight="1" x14ac:dyDescent="0.2">
      <c r="B75" s="75" t="s">
        <v>196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6">
        <f>EL97</f>
        <v>3447</v>
      </c>
      <c r="EM75" s="76" t="str">
        <f>EM97</f>
        <v>452</v>
      </c>
      <c r="EN75" s="76" t="str">
        <f>EN97</f>
        <v>2,425</v>
      </c>
      <c r="EO75" s="77" t="str">
        <f>EO97</f>
        <v>570</v>
      </c>
      <c r="EP75" s="78"/>
    </row>
    <row r="76" spans="2:146" ht="11.25" customHeight="1" x14ac:dyDescent="0.2">
      <c r="B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9"/>
      <c r="EM76" s="79"/>
      <c r="EN76" s="79"/>
      <c r="EO76" s="80"/>
      <c r="EP76" s="78"/>
    </row>
    <row r="77" spans="2:146" ht="11.25" customHeight="1" x14ac:dyDescent="0.2">
      <c r="B77" s="70"/>
      <c r="C77" s="71"/>
      <c r="D77" s="71" t="s">
        <v>315</v>
      </c>
      <c r="E77" s="71"/>
      <c r="F77" s="71"/>
      <c r="G77" s="71" t="s">
        <v>541</v>
      </c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 t="s">
        <v>307</v>
      </c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9"/>
      <c r="EM77" s="79"/>
      <c r="EN77" s="79"/>
      <c r="EO77" s="80"/>
      <c r="EP77" s="78"/>
    </row>
    <row r="78" spans="2:146" ht="11.25" customHeight="1" x14ac:dyDescent="0.2"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9"/>
      <c r="EM78" s="79"/>
      <c r="EN78" s="79"/>
      <c r="EO78" s="80"/>
      <c r="EP78" s="78"/>
    </row>
    <row r="79" spans="2:146" ht="11.25" customHeight="1" x14ac:dyDescent="0.2">
      <c r="B79" s="70"/>
      <c r="C79" s="71"/>
      <c r="D79" s="71"/>
      <c r="E79" s="71"/>
      <c r="F79" s="71"/>
      <c r="G79" s="71" t="s">
        <v>540</v>
      </c>
      <c r="H79" s="71"/>
      <c r="I79" s="71" t="s">
        <v>254</v>
      </c>
      <c r="J79" s="71"/>
      <c r="K79" s="71" t="str">
        <f>TEXT(0.2,"#,##0.#######")</f>
        <v>0.2</v>
      </c>
      <c r="L79" s="71"/>
      <c r="M79" s="71"/>
      <c r="N79" s="71" t="s">
        <v>452</v>
      </c>
      <c r="O79" s="71"/>
      <c r="P79" s="71"/>
      <c r="Q79" s="71"/>
      <c r="R79" s="71"/>
      <c r="S79" s="71"/>
      <c r="T79" s="71"/>
      <c r="U79" s="71"/>
      <c r="V79" s="71" t="s">
        <v>84</v>
      </c>
      <c r="W79" s="71"/>
      <c r="X79" s="71" t="s">
        <v>254</v>
      </c>
      <c r="Y79" s="71"/>
      <c r="Z79" s="71" t="str">
        <f>TEXT(0.98,"#,##0.#######")</f>
        <v>0.98</v>
      </c>
      <c r="AA79" s="71"/>
      <c r="AB79" s="71"/>
      <c r="AC79" s="71"/>
      <c r="AD79" s="71"/>
      <c r="AE79" s="71" t="s">
        <v>112</v>
      </c>
      <c r="AF79" s="71"/>
      <c r="AG79" s="71" t="str">
        <f>TEXT(1.24,"#,##0.#######")</f>
        <v>1.24</v>
      </c>
      <c r="AH79" s="71"/>
      <c r="AI79" s="71"/>
      <c r="AJ79" s="71"/>
      <c r="AK79" s="71"/>
      <c r="AL79" s="71" t="s">
        <v>254</v>
      </c>
      <c r="AM79" s="71"/>
      <c r="AN79" s="71" t="str">
        <f>TEXT(ROUND(Z79/AG79,2),"#,##0.#######")</f>
        <v>0.79</v>
      </c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 t="s">
        <v>273</v>
      </c>
      <c r="AZ79" s="71"/>
      <c r="BA79" s="71" t="s">
        <v>254</v>
      </c>
      <c r="BB79" s="71"/>
      <c r="BC79" s="71" t="str">
        <f>TEXT(1.1,"#,##0.#######")</f>
        <v>1.1</v>
      </c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9"/>
      <c r="EM79" s="79"/>
      <c r="EN79" s="79"/>
      <c r="EO79" s="80"/>
      <c r="EP79" s="78"/>
    </row>
    <row r="80" spans="2:146" ht="11.25" customHeight="1" x14ac:dyDescent="0.2">
      <c r="B80" s="70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9"/>
      <c r="EM80" s="79"/>
      <c r="EN80" s="79"/>
      <c r="EO80" s="80"/>
      <c r="EP80" s="78"/>
    </row>
    <row r="81" spans="2:146" ht="11.25" customHeight="1" x14ac:dyDescent="0.2">
      <c r="B81" s="70"/>
      <c r="C81" s="71"/>
      <c r="D81" s="71"/>
      <c r="E81" s="71"/>
      <c r="F81" s="71"/>
      <c r="G81" s="71" t="s">
        <v>282</v>
      </c>
      <c r="H81" s="71"/>
      <c r="I81" s="71" t="s">
        <v>254</v>
      </c>
      <c r="J81" s="71"/>
      <c r="K81" s="71" t="s">
        <v>336</v>
      </c>
      <c r="L81" s="71" t="str">
        <f>TEXT(0.75,"#,##0.#######")</f>
        <v>0.75</v>
      </c>
      <c r="M81" s="71"/>
      <c r="N81" s="71"/>
      <c r="O81" s="71"/>
      <c r="P81" s="71" t="s">
        <v>133</v>
      </c>
      <c r="Q81" s="71" t="str">
        <f>TEXT(0.65,"#,##0.#######")</f>
        <v>0.65</v>
      </c>
      <c r="R81" s="71"/>
      <c r="S81" s="71"/>
      <c r="T81" s="71"/>
      <c r="U81" s="71" t="s">
        <v>80</v>
      </c>
      <c r="V81" s="71" t="s">
        <v>112</v>
      </c>
      <c r="W81" s="71" t="str">
        <f>TEXT(2,"#,##0.#######")</f>
        <v>2.</v>
      </c>
      <c r="X81" s="71"/>
      <c r="Y81" s="71" t="s">
        <v>254</v>
      </c>
      <c r="Z81" s="71"/>
      <c r="AA81" s="71" t="str">
        <f>TEXT(ROUND((L81+Q81)/W81,2),"#,##0.#######")</f>
        <v>0.7</v>
      </c>
      <c r="AB81" s="71"/>
      <c r="AC81" s="71"/>
      <c r="AD81" s="71"/>
      <c r="AE81" s="71"/>
      <c r="AF81" s="71"/>
      <c r="AG81" s="71"/>
      <c r="AH81" s="71"/>
      <c r="AI81" s="71"/>
      <c r="AJ81" s="71"/>
      <c r="AK81" s="71" t="s">
        <v>91</v>
      </c>
      <c r="AL81" s="71"/>
      <c r="AM81" s="71"/>
      <c r="AN81" s="71" t="s">
        <v>254</v>
      </c>
      <c r="AO81" s="71"/>
      <c r="AP81" s="71" t="str">
        <f>TEXT(18,"#,##0.#######")</f>
        <v>18.</v>
      </c>
      <c r="AQ81" s="71"/>
      <c r="AR81" s="71" t="s">
        <v>573</v>
      </c>
      <c r="AS81" s="71"/>
      <c r="AT81" s="71"/>
      <c r="AU81" s="71"/>
      <c r="AV81" s="71" t="s">
        <v>336</v>
      </c>
      <c r="AW81" s="71" t="s">
        <v>229</v>
      </c>
      <c r="AX81" s="71"/>
      <c r="AY81" s="71"/>
      <c r="AZ81" s="71" t="s">
        <v>448</v>
      </c>
      <c r="BA81" s="71"/>
      <c r="BB81" s="71" t="s">
        <v>80</v>
      </c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9"/>
      <c r="EM81" s="79"/>
      <c r="EN81" s="79"/>
      <c r="EO81" s="80"/>
      <c r="EP81" s="78"/>
    </row>
    <row r="82" spans="2:146" ht="11.25" customHeight="1" x14ac:dyDescent="0.2">
      <c r="B82" s="70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9"/>
      <c r="EM82" s="79"/>
      <c r="EN82" s="79"/>
      <c r="EO82" s="80"/>
      <c r="EP82" s="78"/>
    </row>
    <row r="83" spans="2:146" ht="11.25" customHeight="1" x14ac:dyDescent="0.2">
      <c r="B83" s="70"/>
      <c r="C83" s="71"/>
      <c r="D83" s="71"/>
      <c r="E83" s="71"/>
      <c r="F83" s="71"/>
      <c r="G83" s="71"/>
      <c r="H83" s="71"/>
      <c r="I83" s="71"/>
      <c r="J83" s="71"/>
      <c r="K83" s="71"/>
      <c r="L83" s="71" t="str">
        <f>TEXT(3600,"#,##0.#######")</f>
        <v>3,600.</v>
      </c>
      <c r="M83" s="71"/>
      <c r="N83" s="71"/>
      <c r="O83" s="71"/>
      <c r="P83" s="71"/>
      <c r="Q83" s="71" t="s">
        <v>542</v>
      </c>
      <c r="R83" s="71"/>
      <c r="S83" s="71" t="s">
        <v>540</v>
      </c>
      <c r="T83" s="71" t="s">
        <v>542</v>
      </c>
      <c r="U83" s="71"/>
      <c r="V83" s="71" t="s">
        <v>273</v>
      </c>
      <c r="W83" s="71" t="s">
        <v>542</v>
      </c>
      <c r="X83" s="71"/>
      <c r="Y83" s="71" t="s">
        <v>84</v>
      </c>
      <c r="Z83" s="71" t="s">
        <v>542</v>
      </c>
      <c r="AA83" s="71"/>
      <c r="AB83" s="71" t="s">
        <v>282</v>
      </c>
      <c r="AC83" s="71"/>
      <c r="AD83" s="71"/>
      <c r="AE83" s="71"/>
      <c r="AF83" s="71"/>
      <c r="AG83" s="71"/>
      <c r="AH83" s="71"/>
      <c r="AI83" s="71" t="str">
        <f>TEXT(L83,"#,##0.#######")</f>
        <v>3,600.</v>
      </c>
      <c r="AJ83" s="71"/>
      <c r="AK83" s="71"/>
      <c r="AL83" s="71"/>
      <c r="AM83" s="71"/>
      <c r="AN83" s="71" t="s">
        <v>542</v>
      </c>
      <c r="AO83" s="71"/>
      <c r="AP83" s="71" t="str">
        <f>TEXT(K79,"#,##0.#######")</f>
        <v>0.2</v>
      </c>
      <c r="AQ83" s="71"/>
      <c r="AR83" s="71"/>
      <c r="AS83" s="71" t="s">
        <v>542</v>
      </c>
      <c r="AT83" s="71"/>
      <c r="AU83" s="71" t="str">
        <f>TEXT(BC79,"#,##0.#######")</f>
        <v>1.1</v>
      </c>
      <c r="AV83" s="71"/>
      <c r="AW83" s="71"/>
      <c r="AX83" s="71" t="s">
        <v>542</v>
      </c>
      <c r="AY83" s="71"/>
      <c r="AZ83" s="71" t="str">
        <f>TEXT(AN79,"#,##0.#######")</f>
        <v>0.79</v>
      </c>
      <c r="BA83" s="71"/>
      <c r="BB83" s="71"/>
      <c r="BC83" s="71"/>
      <c r="BD83" s="71" t="s">
        <v>542</v>
      </c>
      <c r="BE83" s="71"/>
      <c r="BF83" s="71" t="str">
        <f>TEXT(AA81,"#,##0.#######")</f>
        <v>0.7</v>
      </c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9"/>
      <c r="EM83" s="79"/>
      <c r="EN83" s="79"/>
      <c r="EO83" s="80"/>
      <c r="EP83" s="78"/>
    </row>
    <row r="84" spans="2:146" ht="11.25" customHeight="1" x14ac:dyDescent="0.2">
      <c r="B84" s="70"/>
      <c r="C84" s="71"/>
      <c r="D84" s="71"/>
      <c r="E84" s="71"/>
      <c r="F84" s="71"/>
      <c r="G84" s="71" t="s">
        <v>40</v>
      </c>
      <c r="H84" s="71"/>
      <c r="I84" s="71" t="s">
        <v>254</v>
      </c>
      <c r="J84" s="71"/>
      <c r="K84" s="71" t="s">
        <v>182</v>
      </c>
      <c r="L84" s="71"/>
      <c r="M84" s="71" t="s">
        <v>182</v>
      </c>
      <c r="N84" s="71"/>
      <c r="O84" s="71" t="s">
        <v>182</v>
      </c>
      <c r="P84" s="71"/>
      <c r="Q84" s="71" t="s">
        <v>182</v>
      </c>
      <c r="R84" s="71"/>
      <c r="S84" s="71" t="s">
        <v>182</v>
      </c>
      <c r="T84" s="71"/>
      <c r="U84" s="71" t="s">
        <v>182</v>
      </c>
      <c r="V84" s="71"/>
      <c r="W84" s="71" t="s">
        <v>182</v>
      </c>
      <c r="X84" s="71"/>
      <c r="Y84" s="71" t="s">
        <v>182</v>
      </c>
      <c r="Z84" s="71"/>
      <c r="AA84" s="71" t="s">
        <v>182</v>
      </c>
      <c r="AB84" s="71"/>
      <c r="AC84" s="71" t="s">
        <v>182</v>
      </c>
      <c r="AD84" s="71"/>
      <c r="AE84" s="71"/>
      <c r="AF84" s="71" t="s">
        <v>254</v>
      </c>
      <c r="AG84" s="71"/>
      <c r="AH84" s="71" t="s">
        <v>182</v>
      </c>
      <c r="AI84" s="71"/>
      <c r="AJ84" s="71" t="s">
        <v>182</v>
      </c>
      <c r="AK84" s="71"/>
      <c r="AL84" s="71" t="s">
        <v>182</v>
      </c>
      <c r="AM84" s="71"/>
      <c r="AN84" s="71" t="s">
        <v>182</v>
      </c>
      <c r="AO84" s="71"/>
      <c r="AP84" s="71" t="s">
        <v>182</v>
      </c>
      <c r="AQ84" s="71"/>
      <c r="AR84" s="71" t="s">
        <v>182</v>
      </c>
      <c r="AS84" s="71"/>
      <c r="AT84" s="71" t="s">
        <v>182</v>
      </c>
      <c r="AU84" s="71"/>
      <c r="AV84" s="71" t="s">
        <v>182</v>
      </c>
      <c r="AW84" s="71"/>
      <c r="AX84" s="71" t="s">
        <v>182</v>
      </c>
      <c r="AY84" s="71"/>
      <c r="AZ84" s="71" t="s">
        <v>182</v>
      </c>
      <c r="BA84" s="71"/>
      <c r="BB84" s="71" t="s">
        <v>182</v>
      </c>
      <c r="BC84" s="71"/>
      <c r="BD84" s="71" t="s">
        <v>182</v>
      </c>
      <c r="BE84" s="71"/>
      <c r="BF84" s="71" t="s">
        <v>182</v>
      </c>
      <c r="BG84" s="71"/>
      <c r="BH84" s="71" t="s">
        <v>182</v>
      </c>
      <c r="BI84" s="71"/>
      <c r="BJ84" s="71" t="s">
        <v>254</v>
      </c>
      <c r="BK84" s="71"/>
      <c r="BL84" s="71" t="str">
        <f>TEXT(ROUND((3600*K79*BC79*AN79*AA81)/(AP81),2),"#,##0.#######")</f>
        <v>24.33</v>
      </c>
      <c r="BM84" s="71"/>
      <c r="BN84" s="71"/>
      <c r="BO84" s="71"/>
      <c r="BP84" s="71"/>
      <c r="BQ84" s="71"/>
      <c r="BR84" s="71"/>
      <c r="BS84" s="71"/>
      <c r="BT84" s="71" t="s">
        <v>452</v>
      </c>
      <c r="BU84" s="71"/>
      <c r="BV84" s="71" t="s">
        <v>112</v>
      </c>
      <c r="BW84" s="71" t="s">
        <v>467</v>
      </c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9"/>
      <c r="EM84" s="79"/>
      <c r="EN84" s="79"/>
      <c r="EO84" s="80"/>
      <c r="EP84" s="78"/>
    </row>
    <row r="85" spans="2:146" ht="11.25" customHeight="1" x14ac:dyDescent="0.2">
      <c r="B85" s="70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 t="s">
        <v>91</v>
      </c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 t="str">
        <f>TEXT(AP81,"#,##0.#######")</f>
        <v>18.</v>
      </c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9"/>
      <c r="EM85" s="79"/>
      <c r="EN85" s="79"/>
      <c r="EO85" s="80"/>
      <c r="EP85" s="78"/>
    </row>
    <row r="86" spans="2:146" ht="11.25" customHeight="1" x14ac:dyDescent="0.2">
      <c r="B86" s="70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9"/>
      <c r="EM86" s="79"/>
      <c r="EN86" s="79"/>
      <c r="EO86" s="80"/>
      <c r="EP86" s="78"/>
    </row>
    <row r="87" spans="2:146" ht="11.25" customHeight="1" x14ac:dyDescent="0.2">
      <c r="B87" s="70"/>
      <c r="C87" s="71"/>
      <c r="D87" s="71"/>
      <c r="E87" s="71"/>
      <c r="F87" s="71"/>
      <c r="G87" s="71" t="s">
        <v>543</v>
      </c>
      <c r="H87" s="71"/>
      <c r="I87" s="71"/>
      <c r="J87" s="71"/>
      <c r="K87" s="71"/>
      <c r="L87" s="71"/>
      <c r="M87" s="71"/>
      <c r="N87" s="71" t="s">
        <v>469</v>
      </c>
      <c r="O87" s="71"/>
      <c r="P87" s="71" t="str">
        <f>TEXT(기계경비총괄표!H4,"#,##0")</f>
        <v>59,020</v>
      </c>
      <c r="Q87" s="71"/>
      <c r="R87" s="71"/>
      <c r="S87" s="71"/>
      <c r="T87" s="71"/>
      <c r="U87" s="71"/>
      <c r="V87" s="71"/>
      <c r="W87" s="71"/>
      <c r="X87" s="71"/>
      <c r="Y87" s="71" t="s">
        <v>309</v>
      </c>
      <c r="Z87" s="71"/>
      <c r="AA87" s="71"/>
      <c r="AB87" s="71" t="str">
        <f>TEXT(BL84,"#,##0.#######")</f>
        <v>24.33</v>
      </c>
      <c r="AC87" s="71"/>
      <c r="AD87" s="71"/>
      <c r="AE87" s="71"/>
      <c r="AF87" s="71"/>
      <c r="AG87" s="71"/>
      <c r="AH87" s="71"/>
      <c r="AI87" s="71"/>
      <c r="AJ87" s="71" t="s">
        <v>254</v>
      </c>
      <c r="AK87" s="71"/>
      <c r="AL87" s="71" t="str">
        <f>TEXT(TRUNC(P87/BL84,1),"#,##0.#")</f>
        <v>2,425.8</v>
      </c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9"/>
      <c r="EM87" s="79"/>
      <c r="EN87" s="79"/>
      <c r="EO87" s="80"/>
      <c r="EP87" s="78"/>
    </row>
    <row r="88" spans="2:146" ht="11.25" customHeight="1" x14ac:dyDescent="0.2">
      <c r="B88" s="70"/>
      <c r="C88" s="71"/>
      <c r="D88" s="71"/>
      <c r="E88" s="71"/>
      <c r="F88" s="71"/>
      <c r="G88" s="71" t="s">
        <v>400</v>
      </c>
      <c r="H88" s="71"/>
      <c r="I88" s="71"/>
      <c r="J88" s="71"/>
      <c r="K88" s="71"/>
      <c r="L88" s="71"/>
      <c r="M88" s="71"/>
      <c r="N88" s="71" t="s">
        <v>469</v>
      </c>
      <c r="O88" s="71"/>
      <c r="P88" s="71" t="str">
        <f>TEXT(기계경비총괄표!G4,"#,##0")</f>
        <v>11,017</v>
      </c>
      <c r="Q88" s="71"/>
      <c r="R88" s="71"/>
      <c r="S88" s="71"/>
      <c r="T88" s="71"/>
      <c r="U88" s="71"/>
      <c r="V88" s="71"/>
      <c r="W88" s="71"/>
      <c r="X88" s="71"/>
      <c r="Y88" s="71" t="s">
        <v>309</v>
      </c>
      <c r="Z88" s="71"/>
      <c r="AA88" s="71"/>
      <c r="AB88" s="71" t="str">
        <f>TEXT(BL84,"#,##0.#######")</f>
        <v>24.33</v>
      </c>
      <c r="AC88" s="71"/>
      <c r="AD88" s="71"/>
      <c r="AE88" s="71"/>
      <c r="AF88" s="71"/>
      <c r="AG88" s="71"/>
      <c r="AH88" s="71"/>
      <c r="AI88" s="71"/>
      <c r="AJ88" s="71" t="s">
        <v>254</v>
      </c>
      <c r="AK88" s="71"/>
      <c r="AL88" s="71" t="str">
        <f>TEXT(TRUNC(P88/BL84,1),"#,##0.#")</f>
        <v>452.8</v>
      </c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9"/>
      <c r="EM88" s="79"/>
      <c r="EN88" s="79"/>
      <c r="EO88" s="80"/>
      <c r="EP88" s="78"/>
    </row>
    <row r="89" spans="2:146" ht="11.25" customHeight="1" x14ac:dyDescent="0.2">
      <c r="B89" s="70"/>
      <c r="C89" s="71"/>
      <c r="D89" s="71"/>
      <c r="E89" s="71"/>
      <c r="F89" s="71"/>
      <c r="G89" s="71" t="s">
        <v>147</v>
      </c>
      <c r="H89" s="71"/>
      <c r="I89" s="71"/>
      <c r="J89" s="71"/>
      <c r="K89" s="71" t="s">
        <v>342</v>
      </c>
      <c r="L89" s="71"/>
      <c r="M89" s="71"/>
      <c r="N89" s="71" t="s">
        <v>469</v>
      </c>
      <c r="O89" s="71"/>
      <c r="P89" s="71" t="str">
        <f>TEXT(기계경비총괄표!I4,"#,##0")</f>
        <v>13,873</v>
      </c>
      <c r="Q89" s="71"/>
      <c r="R89" s="71"/>
      <c r="S89" s="71"/>
      <c r="T89" s="71"/>
      <c r="U89" s="71"/>
      <c r="V89" s="71"/>
      <c r="W89" s="71"/>
      <c r="X89" s="71"/>
      <c r="Y89" s="71" t="s">
        <v>309</v>
      </c>
      <c r="Z89" s="71"/>
      <c r="AA89" s="71"/>
      <c r="AB89" s="71" t="str">
        <f>TEXT(BL84,"#,##0.#######")</f>
        <v>24.33</v>
      </c>
      <c r="AC89" s="71"/>
      <c r="AD89" s="71"/>
      <c r="AE89" s="71"/>
      <c r="AF89" s="71"/>
      <c r="AG89" s="71"/>
      <c r="AH89" s="71"/>
      <c r="AI89" s="71"/>
      <c r="AJ89" s="71" t="s">
        <v>254</v>
      </c>
      <c r="AK89" s="71"/>
      <c r="AL89" s="71" t="str">
        <f>TEXT(TRUNC(P89/BL84,1),"#,##0.#")</f>
        <v>570.2</v>
      </c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9"/>
      <c r="EM89" s="79"/>
      <c r="EN89" s="79"/>
      <c r="EO89" s="80"/>
      <c r="EP89" s="78"/>
    </row>
    <row r="90" spans="2:146" ht="11.25" customHeight="1" x14ac:dyDescent="0.2">
      <c r="B90" s="70"/>
      <c r="C90" s="71"/>
      <c r="D90" s="71"/>
      <c r="E90" s="71"/>
      <c r="F90" s="71"/>
      <c r="G90" s="71" t="s">
        <v>252</v>
      </c>
      <c r="H90" s="71"/>
      <c r="I90" s="71"/>
      <c r="J90" s="71"/>
      <c r="K90" s="71" t="s">
        <v>341</v>
      </c>
      <c r="L90" s="71"/>
      <c r="M90" s="71"/>
      <c r="N90" s="71" t="s">
        <v>469</v>
      </c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 t="str">
        <f>TEXT(AL87+AL88+AL89,"#,##0.#######")</f>
        <v>3,448.8</v>
      </c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9">
        <f>EN90+EM90+EO90</f>
        <v>3448.8</v>
      </c>
      <c r="EM90" s="79" t="str">
        <f>TEXT(AL88,"#,###.0")</f>
        <v>452.8</v>
      </c>
      <c r="EN90" s="79" t="str">
        <f>TEXT(AL87,"#,###.0")</f>
        <v>2,425.8</v>
      </c>
      <c r="EO90" s="80" t="str">
        <f>TEXT(AL89,"#,###.0")</f>
        <v>570.2</v>
      </c>
      <c r="EP90" s="78"/>
    </row>
    <row r="91" spans="2:146" ht="11.25" customHeight="1" x14ac:dyDescent="0.2">
      <c r="B91" s="70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9"/>
      <c r="EM91" s="79"/>
      <c r="EN91" s="79"/>
      <c r="EO91" s="80"/>
      <c r="EP91" s="78"/>
    </row>
    <row r="92" spans="2:146" ht="11.25" customHeight="1" x14ac:dyDescent="0.2">
      <c r="B92" s="70"/>
      <c r="C92" s="71"/>
      <c r="D92" s="71" t="s">
        <v>463</v>
      </c>
      <c r="E92" s="71"/>
      <c r="F92" s="71"/>
      <c r="G92" s="71" t="s">
        <v>437</v>
      </c>
      <c r="H92" s="71"/>
      <c r="I92" s="71"/>
      <c r="J92" s="71"/>
      <c r="K92" s="71" t="s">
        <v>341</v>
      </c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9"/>
      <c r="EM92" s="79"/>
      <c r="EN92" s="79"/>
      <c r="EO92" s="80"/>
      <c r="EP92" s="78"/>
    </row>
    <row r="93" spans="2:146" ht="11.25" customHeight="1" x14ac:dyDescent="0.2">
      <c r="B93" s="70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9"/>
      <c r="EM93" s="79"/>
      <c r="EN93" s="79"/>
      <c r="EO93" s="80"/>
      <c r="EP93" s="78"/>
    </row>
    <row r="94" spans="2:146" ht="11.25" customHeight="1" x14ac:dyDescent="0.2">
      <c r="B94" s="70"/>
      <c r="C94" s="71"/>
      <c r="D94" s="71"/>
      <c r="E94" s="71"/>
      <c r="F94" s="71"/>
      <c r="G94" s="71"/>
      <c r="H94" s="71" t="s">
        <v>543</v>
      </c>
      <c r="I94" s="71"/>
      <c r="J94" s="71"/>
      <c r="K94" s="71"/>
      <c r="L94" s="71"/>
      <c r="M94" s="71"/>
      <c r="N94" s="71"/>
      <c r="O94" s="71" t="s">
        <v>469</v>
      </c>
      <c r="P94" s="71"/>
      <c r="Q94" s="71" t="str">
        <f>TEXT(TRUNC(EN90,0),"#,##0")</f>
        <v>2,425</v>
      </c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9"/>
      <c r="EM94" s="79"/>
      <c r="EN94" s="79"/>
      <c r="EO94" s="80"/>
      <c r="EP94" s="78"/>
    </row>
    <row r="95" spans="2:146" ht="11.25" customHeight="1" x14ac:dyDescent="0.2">
      <c r="B95" s="70"/>
      <c r="C95" s="71"/>
      <c r="D95" s="71"/>
      <c r="E95" s="71"/>
      <c r="F95" s="71"/>
      <c r="G95" s="71"/>
      <c r="H95" s="71" t="s">
        <v>400</v>
      </c>
      <c r="I95" s="71"/>
      <c r="J95" s="71"/>
      <c r="K95" s="71"/>
      <c r="L95" s="71"/>
      <c r="M95" s="71"/>
      <c r="N95" s="71"/>
      <c r="O95" s="71" t="s">
        <v>469</v>
      </c>
      <c r="P95" s="71"/>
      <c r="Q95" s="71" t="str">
        <f>TEXT(TRUNC(EM90,0),"#,##0")</f>
        <v>452</v>
      </c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1"/>
      <c r="BJ95" s="71"/>
      <c r="BK95" s="71"/>
      <c r="BL95" s="71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9"/>
      <c r="EM95" s="79"/>
      <c r="EN95" s="79"/>
      <c r="EO95" s="80"/>
      <c r="EP95" s="78"/>
    </row>
    <row r="96" spans="2:146" ht="11.25" customHeight="1" x14ac:dyDescent="0.2">
      <c r="B96" s="70"/>
      <c r="C96" s="71"/>
      <c r="D96" s="71"/>
      <c r="E96" s="71"/>
      <c r="F96" s="71"/>
      <c r="G96" s="71"/>
      <c r="H96" s="71" t="s">
        <v>147</v>
      </c>
      <c r="I96" s="71"/>
      <c r="J96" s="71"/>
      <c r="K96" s="71"/>
      <c r="L96" s="71" t="s">
        <v>342</v>
      </c>
      <c r="M96" s="71"/>
      <c r="N96" s="71"/>
      <c r="O96" s="71" t="s">
        <v>469</v>
      </c>
      <c r="P96" s="71"/>
      <c r="Q96" s="71" t="str">
        <f>TEXT(TRUNC(EO90,0),"#,##0")</f>
        <v>570</v>
      </c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9"/>
      <c r="EM96" s="79"/>
      <c r="EN96" s="79"/>
      <c r="EO96" s="80"/>
      <c r="EP96" s="78"/>
    </row>
    <row r="97" spans="2:146" ht="11.25" customHeight="1" x14ac:dyDescent="0.2">
      <c r="B97" s="70"/>
      <c r="C97" s="71"/>
      <c r="D97" s="71"/>
      <c r="E97" s="71"/>
      <c r="F97" s="71"/>
      <c r="G97" s="71"/>
      <c r="H97" s="71"/>
      <c r="I97" s="71"/>
      <c r="J97" s="71" t="s">
        <v>341</v>
      </c>
      <c r="K97" s="71"/>
      <c r="L97" s="71"/>
      <c r="M97" s="71"/>
      <c r="N97" s="71"/>
      <c r="O97" s="71" t="s">
        <v>469</v>
      </c>
      <c r="P97" s="71"/>
      <c r="Q97" s="71"/>
      <c r="R97" s="71" t="str">
        <f>TEXT(Q94+Q95+Q96,"#,##0")</f>
        <v>3,447</v>
      </c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81">
        <f>EN97+EM97+EO97</f>
        <v>3447</v>
      </c>
      <c r="EM97" s="79" t="str">
        <f>TEXT(Q95,"#,##0")</f>
        <v>452</v>
      </c>
      <c r="EN97" s="79" t="str">
        <f>TEXT(Q94,"#,##0")</f>
        <v>2,425</v>
      </c>
      <c r="EO97" s="80" t="str">
        <f>TEXT(Q96,"#,##0")</f>
        <v>570</v>
      </c>
      <c r="EP97" s="78"/>
    </row>
    <row r="98" spans="2:146" ht="11.25" customHeight="1" x14ac:dyDescent="0.2">
      <c r="B98" s="70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9"/>
      <c r="EM98" s="79"/>
      <c r="EN98" s="79"/>
      <c r="EO98" s="80"/>
      <c r="EP98" s="78"/>
    </row>
    <row r="99" spans="2:146" ht="11.25" customHeight="1" x14ac:dyDescent="0.2">
      <c r="B99" s="75" t="s">
        <v>334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6">
        <f>EL121</f>
        <v>3424</v>
      </c>
      <c r="EM99" s="76" t="str">
        <f>EM121</f>
        <v>449</v>
      </c>
      <c r="EN99" s="76" t="str">
        <f>EN121</f>
        <v>2,409</v>
      </c>
      <c r="EO99" s="77" t="str">
        <f>EO121</f>
        <v>566</v>
      </c>
      <c r="EP99" s="78"/>
    </row>
    <row r="100" spans="2:146" ht="11.25" customHeight="1" x14ac:dyDescent="0.2">
      <c r="B100" s="70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9"/>
      <c r="EM100" s="79"/>
      <c r="EN100" s="79"/>
      <c r="EO100" s="80"/>
      <c r="EP100" s="78"/>
    </row>
    <row r="101" spans="2:146" ht="11.25" customHeight="1" x14ac:dyDescent="0.2">
      <c r="B101" s="70"/>
      <c r="C101" s="71"/>
      <c r="D101" s="71" t="s">
        <v>315</v>
      </c>
      <c r="E101" s="71"/>
      <c r="F101" s="71"/>
      <c r="G101" s="71" t="s">
        <v>541</v>
      </c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 t="s">
        <v>307</v>
      </c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9"/>
      <c r="EM101" s="79"/>
      <c r="EN101" s="79"/>
      <c r="EO101" s="80"/>
      <c r="EP101" s="78"/>
    </row>
    <row r="102" spans="2:146" ht="11.25" customHeight="1" x14ac:dyDescent="0.2">
      <c r="B102" s="70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9"/>
      <c r="EM102" s="79"/>
      <c r="EN102" s="79"/>
      <c r="EO102" s="80"/>
      <c r="EP102" s="78"/>
    </row>
    <row r="103" spans="2:146" ht="11.25" customHeight="1" x14ac:dyDescent="0.2">
      <c r="B103" s="70"/>
      <c r="C103" s="71"/>
      <c r="D103" s="71"/>
      <c r="E103" s="71"/>
      <c r="F103" s="71"/>
      <c r="G103" s="71" t="s">
        <v>540</v>
      </c>
      <c r="H103" s="71"/>
      <c r="I103" s="71" t="s">
        <v>254</v>
      </c>
      <c r="J103" s="71"/>
      <c r="K103" s="71" t="str">
        <f>TEXT(0.2,"#,##0.#######")</f>
        <v>0.2</v>
      </c>
      <c r="L103" s="71"/>
      <c r="M103" s="71"/>
      <c r="N103" s="71" t="s">
        <v>452</v>
      </c>
      <c r="O103" s="71"/>
      <c r="P103" s="71"/>
      <c r="Q103" s="71"/>
      <c r="R103" s="71"/>
      <c r="S103" s="71"/>
      <c r="T103" s="71"/>
      <c r="U103" s="71"/>
      <c r="V103" s="71" t="s">
        <v>84</v>
      </c>
      <c r="W103" s="71"/>
      <c r="X103" s="71" t="s">
        <v>254</v>
      </c>
      <c r="Y103" s="71"/>
      <c r="Z103" s="71" t="str">
        <f>TEXT(1,"#,##0.#######")</f>
        <v>1.</v>
      </c>
      <c r="AA103" s="71"/>
      <c r="AB103" s="71" t="s">
        <v>112</v>
      </c>
      <c r="AC103" s="71"/>
      <c r="AD103" s="71" t="str">
        <f>TEXT(1.24,"#,##0.#######")</f>
        <v>1.24</v>
      </c>
      <c r="AE103" s="71"/>
      <c r="AF103" s="71"/>
      <c r="AG103" s="71"/>
      <c r="AH103" s="71"/>
      <c r="AI103" s="71" t="s">
        <v>254</v>
      </c>
      <c r="AJ103" s="71"/>
      <c r="AK103" s="71" t="str">
        <f>TEXT(ROUND(Z103/AD103,2),"#,##0.#######")</f>
        <v>0.81</v>
      </c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 t="s">
        <v>273</v>
      </c>
      <c r="AW103" s="71"/>
      <c r="AX103" s="71" t="s">
        <v>254</v>
      </c>
      <c r="AY103" s="71"/>
      <c r="AZ103" s="71" t="str">
        <f>TEXT(0.9,"#,##0.#######")</f>
        <v>0.9</v>
      </c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9"/>
      <c r="EM103" s="79"/>
      <c r="EN103" s="79"/>
      <c r="EO103" s="80"/>
      <c r="EP103" s="78"/>
    </row>
    <row r="104" spans="2:146" ht="11.25" customHeight="1" x14ac:dyDescent="0.2">
      <c r="B104" s="70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9"/>
      <c r="EM104" s="79"/>
      <c r="EN104" s="79"/>
      <c r="EO104" s="80"/>
      <c r="EP104" s="78"/>
    </row>
    <row r="105" spans="2:146" ht="11.25" customHeight="1" x14ac:dyDescent="0.2">
      <c r="B105" s="70"/>
      <c r="C105" s="71"/>
      <c r="D105" s="71"/>
      <c r="E105" s="71"/>
      <c r="F105" s="71"/>
      <c r="G105" s="71" t="s">
        <v>282</v>
      </c>
      <c r="H105" s="71"/>
      <c r="I105" s="71" t="s">
        <v>254</v>
      </c>
      <c r="J105" s="71"/>
      <c r="K105" s="71" t="s">
        <v>336</v>
      </c>
      <c r="L105" s="71" t="str">
        <f>TEXT(0.75,"#,##0.#######")</f>
        <v>0.75</v>
      </c>
      <c r="M105" s="71"/>
      <c r="N105" s="71"/>
      <c r="O105" s="71"/>
      <c r="P105" s="71" t="s">
        <v>133</v>
      </c>
      <c r="Q105" s="71" t="str">
        <f>TEXT(0.65,"#,##0.#######")</f>
        <v>0.65</v>
      </c>
      <c r="R105" s="71"/>
      <c r="S105" s="71"/>
      <c r="T105" s="71"/>
      <c r="U105" s="71" t="s">
        <v>80</v>
      </c>
      <c r="V105" s="71" t="s">
        <v>112</v>
      </c>
      <c r="W105" s="71" t="str">
        <f>TEXT(2,"#,##0.#######")</f>
        <v>2.</v>
      </c>
      <c r="X105" s="71"/>
      <c r="Y105" s="71" t="s">
        <v>254</v>
      </c>
      <c r="Z105" s="71"/>
      <c r="AA105" s="71" t="str">
        <f>TEXT(ROUND((L105+Q105)/W105,2),"#,##0.#######")</f>
        <v>0.7</v>
      </c>
      <c r="AB105" s="71"/>
      <c r="AC105" s="71"/>
      <c r="AD105" s="71"/>
      <c r="AE105" s="71"/>
      <c r="AF105" s="71"/>
      <c r="AG105" s="71"/>
      <c r="AH105" s="71"/>
      <c r="AI105" s="71"/>
      <c r="AJ105" s="71"/>
      <c r="AK105" s="71" t="s">
        <v>91</v>
      </c>
      <c r="AL105" s="71"/>
      <c r="AM105" s="71"/>
      <c r="AN105" s="71" t="s">
        <v>254</v>
      </c>
      <c r="AO105" s="71"/>
      <c r="AP105" s="71" t="str">
        <f>TEXT(15,"#,##0.#######")</f>
        <v>15.</v>
      </c>
      <c r="AQ105" s="71"/>
      <c r="AR105" s="71" t="s">
        <v>573</v>
      </c>
      <c r="AS105" s="71"/>
      <c r="AT105" s="71"/>
      <c r="AU105" s="71"/>
      <c r="AV105" s="71" t="s">
        <v>336</v>
      </c>
      <c r="AW105" s="71" t="s">
        <v>59</v>
      </c>
      <c r="AX105" s="71"/>
      <c r="AY105" s="71" t="s">
        <v>448</v>
      </c>
      <c r="AZ105" s="71"/>
      <c r="BA105" s="71" t="s">
        <v>80</v>
      </c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9"/>
      <c r="EM105" s="79"/>
      <c r="EN105" s="79"/>
      <c r="EO105" s="80"/>
      <c r="EP105" s="78"/>
    </row>
    <row r="106" spans="2:146" ht="11.25" customHeight="1" x14ac:dyDescent="0.2"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9"/>
      <c r="EM106" s="79"/>
      <c r="EN106" s="79"/>
      <c r="EO106" s="80"/>
      <c r="EP106" s="78"/>
    </row>
    <row r="107" spans="2:146" ht="11.25" customHeight="1" x14ac:dyDescent="0.2"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71" t="str">
        <f>TEXT(3600,"#,##0.#######")</f>
        <v>3,600.</v>
      </c>
      <c r="M107" s="71"/>
      <c r="N107" s="71"/>
      <c r="O107" s="71"/>
      <c r="P107" s="71"/>
      <c r="Q107" s="71" t="s">
        <v>542</v>
      </c>
      <c r="R107" s="71"/>
      <c r="S107" s="71" t="s">
        <v>540</v>
      </c>
      <c r="T107" s="71" t="s">
        <v>542</v>
      </c>
      <c r="U107" s="71"/>
      <c r="V107" s="71" t="s">
        <v>273</v>
      </c>
      <c r="W107" s="71" t="s">
        <v>542</v>
      </c>
      <c r="X107" s="71"/>
      <c r="Y107" s="71" t="s">
        <v>84</v>
      </c>
      <c r="Z107" s="71" t="s">
        <v>542</v>
      </c>
      <c r="AA107" s="71"/>
      <c r="AB107" s="71" t="s">
        <v>282</v>
      </c>
      <c r="AC107" s="71"/>
      <c r="AD107" s="71"/>
      <c r="AE107" s="71"/>
      <c r="AF107" s="71"/>
      <c r="AG107" s="71"/>
      <c r="AH107" s="71"/>
      <c r="AI107" s="71" t="str">
        <f>TEXT(L107,"#,##0.#######")</f>
        <v>3,600.</v>
      </c>
      <c r="AJ107" s="71"/>
      <c r="AK107" s="71"/>
      <c r="AL107" s="71"/>
      <c r="AM107" s="71"/>
      <c r="AN107" s="71" t="s">
        <v>542</v>
      </c>
      <c r="AO107" s="71"/>
      <c r="AP107" s="71" t="str">
        <f>TEXT(K103,"#,##0.#######")</f>
        <v>0.2</v>
      </c>
      <c r="AQ107" s="71"/>
      <c r="AR107" s="71"/>
      <c r="AS107" s="71" t="s">
        <v>542</v>
      </c>
      <c r="AT107" s="71"/>
      <c r="AU107" s="71" t="str">
        <f>TEXT(AZ103,"#,##0.#######")</f>
        <v>0.9</v>
      </c>
      <c r="AV107" s="71"/>
      <c r="AW107" s="71"/>
      <c r="AX107" s="71" t="s">
        <v>542</v>
      </c>
      <c r="AY107" s="71"/>
      <c r="AZ107" s="71" t="str">
        <f>TEXT(AK103,"#,##0.#######")</f>
        <v>0.81</v>
      </c>
      <c r="BA107" s="71"/>
      <c r="BB107" s="71"/>
      <c r="BC107" s="71"/>
      <c r="BD107" s="71" t="s">
        <v>542</v>
      </c>
      <c r="BE107" s="71"/>
      <c r="BF107" s="71" t="str">
        <f>TEXT(AA105,"#,##0.#######")</f>
        <v>0.7</v>
      </c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9"/>
      <c r="EM107" s="79"/>
      <c r="EN107" s="79"/>
      <c r="EO107" s="80"/>
      <c r="EP107" s="78"/>
    </row>
    <row r="108" spans="2:146" ht="11.25" customHeight="1" x14ac:dyDescent="0.2">
      <c r="B108" s="70"/>
      <c r="C108" s="71"/>
      <c r="D108" s="71"/>
      <c r="E108" s="71"/>
      <c r="F108" s="71"/>
      <c r="G108" s="71" t="s">
        <v>40</v>
      </c>
      <c r="H108" s="71"/>
      <c r="I108" s="71" t="s">
        <v>254</v>
      </c>
      <c r="J108" s="71"/>
      <c r="K108" s="71" t="s">
        <v>182</v>
      </c>
      <c r="L108" s="71"/>
      <c r="M108" s="71" t="s">
        <v>182</v>
      </c>
      <c r="N108" s="71"/>
      <c r="O108" s="71" t="s">
        <v>182</v>
      </c>
      <c r="P108" s="71"/>
      <c r="Q108" s="71" t="s">
        <v>182</v>
      </c>
      <c r="R108" s="71"/>
      <c r="S108" s="71" t="s">
        <v>182</v>
      </c>
      <c r="T108" s="71"/>
      <c r="U108" s="71" t="s">
        <v>182</v>
      </c>
      <c r="V108" s="71"/>
      <c r="W108" s="71" t="s">
        <v>182</v>
      </c>
      <c r="X108" s="71"/>
      <c r="Y108" s="71" t="s">
        <v>182</v>
      </c>
      <c r="Z108" s="71"/>
      <c r="AA108" s="71" t="s">
        <v>182</v>
      </c>
      <c r="AB108" s="71"/>
      <c r="AC108" s="71" t="s">
        <v>182</v>
      </c>
      <c r="AD108" s="71"/>
      <c r="AE108" s="71"/>
      <c r="AF108" s="71" t="s">
        <v>254</v>
      </c>
      <c r="AG108" s="71"/>
      <c r="AH108" s="71" t="s">
        <v>182</v>
      </c>
      <c r="AI108" s="71"/>
      <c r="AJ108" s="71" t="s">
        <v>182</v>
      </c>
      <c r="AK108" s="71"/>
      <c r="AL108" s="71" t="s">
        <v>182</v>
      </c>
      <c r="AM108" s="71"/>
      <c r="AN108" s="71" t="s">
        <v>182</v>
      </c>
      <c r="AO108" s="71"/>
      <c r="AP108" s="71" t="s">
        <v>182</v>
      </c>
      <c r="AQ108" s="71"/>
      <c r="AR108" s="71" t="s">
        <v>182</v>
      </c>
      <c r="AS108" s="71"/>
      <c r="AT108" s="71" t="s">
        <v>182</v>
      </c>
      <c r="AU108" s="71"/>
      <c r="AV108" s="71" t="s">
        <v>182</v>
      </c>
      <c r="AW108" s="71"/>
      <c r="AX108" s="71" t="s">
        <v>182</v>
      </c>
      <c r="AY108" s="71"/>
      <c r="AZ108" s="71" t="s">
        <v>182</v>
      </c>
      <c r="BA108" s="71"/>
      <c r="BB108" s="71" t="s">
        <v>182</v>
      </c>
      <c r="BC108" s="71"/>
      <c r="BD108" s="71" t="s">
        <v>182</v>
      </c>
      <c r="BE108" s="71"/>
      <c r="BF108" s="71" t="s">
        <v>182</v>
      </c>
      <c r="BG108" s="71"/>
      <c r="BH108" s="71" t="s">
        <v>182</v>
      </c>
      <c r="BI108" s="71"/>
      <c r="BJ108" s="71" t="s">
        <v>254</v>
      </c>
      <c r="BK108" s="71"/>
      <c r="BL108" s="71" t="str">
        <f>TEXT(ROUND((3600*K103*AZ103*AK103*AA105)/(AP105),2),"#,##0.#######")</f>
        <v>24.49</v>
      </c>
      <c r="BM108" s="71"/>
      <c r="BN108" s="71"/>
      <c r="BO108" s="71"/>
      <c r="BP108" s="71"/>
      <c r="BQ108" s="71"/>
      <c r="BR108" s="71"/>
      <c r="BS108" s="71"/>
      <c r="BT108" s="71" t="s">
        <v>452</v>
      </c>
      <c r="BU108" s="71"/>
      <c r="BV108" s="71" t="s">
        <v>112</v>
      </c>
      <c r="BW108" s="71" t="s">
        <v>467</v>
      </c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9"/>
      <c r="EM108" s="79"/>
      <c r="EN108" s="79"/>
      <c r="EO108" s="80"/>
      <c r="EP108" s="78"/>
    </row>
    <row r="109" spans="2:146" ht="11.25" customHeight="1" x14ac:dyDescent="0.2">
      <c r="B109" s="70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 t="s">
        <v>91</v>
      </c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 t="str">
        <f>TEXT(AP105,"#,##0.#######")</f>
        <v>15.</v>
      </c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9"/>
      <c r="EM109" s="79"/>
      <c r="EN109" s="79"/>
      <c r="EO109" s="80"/>
      <c r="EP109" s="78"/>
    </row>
    <row r="110" spans="2:146" ht="11.25" customHeight="1" x14ac:dyDescent="0.2">
      <c r="B110" s="70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9"/>
      <c r="EM110" s="79"/>
      <c r="EN110" s="79"/>
      <c r="EO110" s="80"/>
      <c r="EP110" s="78"/>
    </row>
    <row r="111" spans="2:146" ht="11.25" customHeight="1" x14ac:dyDescent="0.2">
      <c r="B111" s="70"/>
      <c r="C111" s="71"/>
      <c r="D111" s="71"/>
      <c r="E111" s="71"/>
      <c r="F111" s="71"/>
      <c r="G111" s="71" t="s">
        <v>543</v>
      </c>
      <c r="H111" s="71"/>
      <c r="I111" s="71"/>
      <c r="J111" s="71"/>
      <c r="K111" s="71"/>
      <c r="L111" s="71"/>
      <c r="M111" s="71"/>
      <c r="N111" s="71" t="s">
        <v>469</v>
      </c>
      <c r="O111" s="71"/>
      <c r="P111" s="71" t="str">
        <f>TEXT(기계경비총괄표!H4,"#,##0")</f>
        <v>59,020</v>
      </c>
      <c r="Q111" s="71"/>
      <c r="R111" s="71"/>
      <c r="S111" s="71"/>
      <c r="T111" s="71"/>
      <c r="U111" s="71"/>
      <c r="V111" s="71"/>
      <c r="W111" s="71"/>
      <c r="X111" s="71"/>
      <c r="Y111" s="71" t="s">
        <v>309</v>
      </c>
      <c r="Z111" s="71"/>
      <c r="AA111" s="71"/>
      <c r="AB111" s="71" t="str">
        <f>TEXT(BL108,"#,##0.#######")</f>
        <v>24.49</v>
      </c>
      <c r="AC111" s="71"/>
      <c r="AD111" s="71"/>
      <c r="AE111" s="71"/>
      <c r="AF111" s="71"/>
      <c r="AG111" s="71"/>
      <c r="AH111" s="71"/>
      <c r="AI111" s="71"/>
      <c r="AJ111" s="71" t="s">
        <v>254</v>
      </c>
      <c r="AK111" s="71"/>
      <c r="AL111" s="71" t="str">
        <f>TEXT(TRUNC(P111/BL108,1),"#,##0.#")</f>
        <v>2,409.9</v>
      </c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9"/>
      <c r="EM111" s="79"/>
      <c r="EN111" s="79"/>
      <c r="EO111" s="80"/>
      <c r="EP111" s="78"/>
    </row>
    <row r="112" spans="2:146" ht="11.25" customHeight="1" x14ac:dyDescent="0.2">
      <c r="B112" s="70"/>
      <c r="C112" s="71"/>
      <c r="D112" s="71"/>
      <c r="E112" s="71"/>
      <c r="F112" s="71"/>
      <c r="G112" s="71" t="s">
        <v>400</v>
      </c>
      <c r="H112" s="71"/>
      <c r="I112" s="71"/>
      <c r="J112" s="71"/>
      <c r="K112" s="71"/>
      <c r="L112" s="71"/>
      <c r="M112" s="71"/>
      <c r="N112" s="71" t="s">
        <v>469</v>
      </c>
      <c r="O112" s="71"/>
      <c r="P112" s="71"/>
      <c r="Q112" s="71" t="str">
        <f>TEXT(기계경비총괄표!G4,"#,##0")</f>
        <v>11,017</v>
      </c>
      <c r="R112" s="71"/>
      <c r="S112" s="71"/>
      <c r="T112" s="71"/>
      <c r="U112" s="71"/>
      <c r="V112" s="71"/>
      <c r="W112" s="71"/>
      <c r="X112" s="71"/>
      <c r="Y112" s="71"/>
      <c r="Z112" s="71" t="s">
        <v>309</v>
      </c>
      <c r="AA112" s="71"/>
      <c r="AB112" s="71"/>
      <c r="AC112" s="71" t="str">
        <f>TEXT(BL108,"#,##0.#######")</f>
        <v>24.49</v>
      </c>
      <c r="AD112" s="71"/>
      <c r="AE112" s="71"/>
      <c r="AF112" s="71"/>
      <c r="AG112" s="71"/>
      <c r="AH112" s="71"/>
      <c r="AI112" s="71"/>
      <c r="AJ112" s="71"/>
      <c r="AK112" s="71" t="s">
        <v>254</v>
      </c>
      <c r="AL112" s="71"/>
      <c r="AM112" s="71"/>
      <c r="AN112" s="71"/>
      <c r="AO112" s="71" t="str">
        <f>TEXT(TRUNC(Q112/BL108,1),"#,##0.#")</f>
        <v>449.8</v>
      </c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9"/>
      <c r="EM112" s="79"/>
      <c r="EN112" s="79"/>
      <c r="EO112" s="80"/>
      <c r="EP112" s="78"/>
    </row>
    <row r="113" spans="2:146" ht="11.25" customHeight="1" x14ac:dyDescent="0.2">
      <c r="B113" s="70"/>
      <c r="C113" s="71"/>
      <c r="D113" s="71"/>
      <c r="E113" s="71"/>
      <c r="F113" s="71"/>
      <c r="G113" s="71" t="s">
        <v>147</v>
      </c>
      <c r="H113" s="71"/>
      <c r="I113" s="71"/>
      <c r="J113" s="71"/>
      <c r="K113" s="71" t="s">
        <v>342</v>
      </c>
      <c r="L113" s="71"/>
      <c r="M113" s="71"/>
      <c r="N113" s="71" t="s">
        <v>469</v>
      </c>
      <c r="O113" s="71"/>
      <c r="P113" s="71" t="str">
        <f>TEXT(기계경비총괄표!I4,"#,##0")</f>
        <v>13,873</v>
      </c>
      <c r="Q113" s="71"/>
      <c r="R113" s="71"/>
      <c r="S113" s="71"/>
      <c r="T113" s="71"/>
      <c r="U113" s="71"/>
      <c r="V113" s="71"/>
      <c r="W113" s="71"/>
      <c r="X113" s="71"/>
      <c r="Y113" s="71" t="s">
        <v>309</v>
      </c>
      <c r="Z113" s="71"/>
      <c r="AA113" s="71"/>
      <c r="AB113" s="71" t="str">
        <f>TEXT(BL108,"#,##0.#######")</f>
        <v>24.49</v>
      </c>
      <c r="AC113" s="71"/>
      <c r="AD113" s="71"/>
      <c r="AE113" s="71"/>
      <c r="AF113" s="71"/>
      <c r="AG113" s="71"/>
      <c r="AH113" s="71"/>
      <c r="AI113" s="71"/>
      <c r="AJ113" s="71" t="s">
        <v>254</v>
      </c>
      <c r="AK113" s="71"/>
      <c r="AL113" s="71"/>
      <c r="AM113" s="71"/>
      <c r="AN113" s="71" t="str">
        <f>TEXT(TRUNC(P113/BL108,1),"#,##0.#")</f>
        <v>566.4</v>
      </c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9"/>
      <c r="EM113" s="79"/>
      <c r="EN113" s="79"/>
      <c r="EO113" s="80"/>
      <c r="EP113" s="78"/>
    </row>
    <row r="114" spans="2:146" ht="11.25" customHeight="1" x14ac:dyDescent="0.2">
      <c r="B114" s="70"/>
      <c r="C114" s="71"/>
      <c r="D114" s="71"/>
      <c r="E114" s="71"/>
      <c r="F114" s="71"/>
      <c r="G114" s="71" t="s">
        <v>252</v>
      </c>
      <c r="H114" s="71"/>
      <c r="I114" s="71"/>
      <c r="J114" s="71"/>
      <c r="K114" s="71" t="s">
        <v>341</v>
      </c>
      <c r="L114" s="71"/>
      <c r="M114" s="71"/>
      <c r="N114" s="71" t="s">
        <v>469</v>
      </c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 t="str">
        <f>TEXT(AL111+AO112+AN113,"#,##0.#######")</f>
        <v>3,426.1</v>
      </c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9">
        <f>EN114+EM114+EO114</f>
        <v>3426.1000000000004</v>
      </c>
      <c r="EM114" s="79" t="str">
        <f>TEXT(AO112,"#,###.0")</f>
        <v>449.8</v>
      </c>
      <c r="EN114" s="79" t="str">
        <f>TEXT(AL111,"#,###.0")</f>
        <v>2,409.9</v>
      </c>
      <c r="EO114" s="80" t="str">
        <f>TEXT(AN113,"#,###.0")</f>
        <v>566.4</v>
      </c>
      <c r="EP114" s="78"/>
    </row>
    <row r="115" spans="2:146" ht="11.25" customHeight="1" x14ac:dyDescent="0.2">
      <c r="B115" s="70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9"/>
      <c r="EM115" s="79"/>
      <c r="EN115" s="79"/>
      <c r="EO115" s="80"/>
      <c r="EP115" s="78"/>
    </row>
    <row r="116" spans="2:146" ht="11.25" customHeight="1" x14ac:dyDescent="0.2">
      <c r="B116" s="70"/>
      <c r="C116" s="71"/>
      <c r="D116" s="71" t="s">
        <v>463</v>
      </c>
      <c r="E116" s="71"/>
      <c r="F116" s="71"/>
      <c r="G116" s="71" t="s">
        <v>437</v>
      </c>
      <c r="H116" s="71"/>
      <c r="I116" s="71"/>
      <c r="J116" s="71"/>
      <c r="K116" s="71" t="s">
        <v>341</v>
      </c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9"/>
      <c r="EM116" s="79"/>
      <c r="EN116" s="79"/>
      <c r="EO116" s="80"/>
      <c r="EP116" s="78"/>
    </row>
    <row r="117" spans="2:146" ht="11.25" customHeight="1" x14ac:dyDescent="0.2"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9"/>
      <c r="EM117" s="79"/>
      <c r="EN117" s="79"/>
      <c r="EO117" s="80"/>
      <c r="EP117" s="78"/>
    </row>
    <row r="118" spans="2:146" ht="11.25" customHeight="1" x14ac:dyDescent="0.2">
      <c r="B118" s="73"/>
      <c r="C118" s="64"/>
      <c r="D118" s="64"/>
      <c r="E118" s="64"/>
      <c r="F118" s="64"/>
      <c r="G118" s="64"/>
      <c r="H118" s="64" t="s">
        <v>543</v>
      </c>
      <c r="I118" s="64"/>
      <c r="J118" s="64"/>
      <c r="K118" s="64"/>
      <c r="L118" s="64"/>
      <c r="M118" s="64"/>
      <c r="N118" s="64"/>
      <c r="O118" s="64" t="s">
        <v>469</v>
      </c>
      <c r="P118" s="64"/>
      <c r="Q118" s="64" t="str">
        <f>TEXT(TRUNC(EN114,0),"#,##0")</f>
        <v>2,409</v>
      </c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  <c r="CK118" s="64"/>
      <c r="CL118" s="64"/>
      <c r="CM118" s="64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82"/>
      <c r="EM118" s="82"/>
      <c r="EN118" s="82"/>
      <c r="EO118" s="83"/>
      <c r="EP118" s="78"/>
    </row>
    <row r="119" spans="2:146" ht="11.25" customHeight="1" x14ac:dyDescent="0.2">
      <c r="B119" s="70"/>
      <c r="C119" s="71"/>
      <c r="D119" s="71"/>
      <c r="E119" s="71"/>
      <c r="F119" s="71"/>
      <c r="G119" s="71"/>
      <c r="H119" s="71" t="s">
        <v>400</v>
      </c>
      <c r="I119" s="71"/>
      <c r="J119" s="71"/>
      <c r="K119" s="71"/>
      <c r="L119" s="71"/>
      <c r="M119" s="71"/>
      <c r="N119" s="71"/>
      <c r="O119" s="71" t="s">
        <v>469</v>
      </c>
      <c r="P119" s="71"/>
      <c r="Q119" s="71" t="str">
        <f>TEXT(TRUNC(EM114,0),"#,##0")</f>
        <v>449</v>
      </c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72"/>
      <c r="EK119" s="72"/>
      <c r="EL119" s="79"/>
      <c r="EM119" s="79"/>
      <c r="EN119" s="79"/>
      <c r="EO119" s="80"/>
      <c r="EP119" s="78"/>
    </row>
    <row r="120" spans="2:146" ht="11.25" customHeight="1" x14ac:dyDescent="0.2">
      <c r="B120" s="70"/>
      <c r="C120" s="71"/>
      <c r="D120" s="71"/>
      <c r="E120" s="71"/>
      <c r="F120" s="71"/>
      <c r="G120" s="71"/>
      <c r="H120" s="71" t="s">
        <v>147</v>
      </c>
      <c r="I120" s="71"/>
      <c r="J120" s="71"/>
      <c r="K120" s="71"/>
      <c r="L120" s="71" t="s">
        <v>342</v>
      </c>
      <c r="M120" s="71"/>
      <c r="N120" s="71"/>
      <c r="O120" s="71" t="s">
        <v>469</v>
      </c>
      <c r="P120" s="71"/>
      <c r="Q120" s="71" t="str">
        <f>TEXT(TRUNC(EO114,0),"#,##0")</f>
        <v>566</v>
      </c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72"/>
      <c r="EK120" s="72"/>
      <c r="EL120" s="79"/>
      <c r="EM120" s="79"/>
      <c r="EN120" s="79"/>
      <c r="EO120" s="80"/>
      <c r="EP120" s="78"/>
    </row>
    <row r="121" spans="2:146" ht="11.25" customHeight="1" x14ac:dyDescent="0.2">
      <c r="B121" s="70"/>
      <c r="C121" s="71"/>
      <c r="D121" s="71"/>
      <c r="E121" s="71"/>
      <c r="F121" s="71"/>
      <c r="G121" s="71"/>
      <c r="H121" s="71"/>
      <c r="I121" s="71"/>
      <c r="J121" s="71" t="s">
        <v>341</v>
      </c>
      <c r="K121" s="71"/>
      <c r="L121" s="71"/>
      <c r="M121" s="71"/>
      <c r="N121" s="71"/>
      <c r="O121" s="71" t="s">
        <v>469</v>
      </c>
      <c r="P121" s="71"/>
      <c r="Q121" s="71"/>
      <c r="R121" s="71" t="str">
        <f>TEXT(Q118+Q119+Q120,"#,##0")</f>
        <v>3,424</v>
      </c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72"/>
      <c r="EK121" s="72"/>
      <c r="EL121" s="81">
        <f>EN121+EM121+EO121</f>
        <v>3424</v>
      </c>
      <c r="EM121" s="79" t="str">
        <f>TEXT(Q119,"#,##0")</f>
        <v>449</v>
      </c>
      <c r="EN121" s="79" t="str">
        <f>TEXT(Q118,"#,##0")</f>
        <v>2,409</v>
      </c>
      <c r="EO121" s="80" t="str">
        <f>TEXT(Q120,"#,##0")</f>
        <v>566</v>
      </c>
      <c r="EP121" s="78"/>
    </row>
    <row r="122" spans="2:146" ht="11.25" customHeight="1" x14ac:dyDescent="0.2">
      <c r="B122" s="70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9"/>
      <c r="EM122" s="79"/>
      <c r="EN122" s="79"/>
      <c r="EO122" s="80"/>
      <c r="EP122" s="78"/>
    </row>
    <row r="123" spans="2:146" ht="11.25" customHeight="1" x14ac:dyDescent="0.2">
      <c r="B123" s="75" t="s">
        <v>491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72"/>
      <c r="EK123" s="72"/>
      <c r="EL123" s="76">
        <f>EL155</f>
        <v>30337</v>
      </c>
      <c r="EM123" s="76" t="str">
        <f>EM155</f>
        <v>3,641</v>
      </c>
      <c r="EN123" s="76" t="str">
        <f>EN155</f>
        <v>23,252</v>
      </c>
      <c r="EO123" s="77" t="str">
        <f>EO155</f>
        <v>3,444</v>
      </c>
      <c r="EP123" s="78"/>
    </row>
    <row r="124" spans="2:146" ht="11.25" customHeight="1" x14ac:dyDescent="0.2">
      <c r="B124" s="70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  <c r="EJ124" s="72"/>
      <c r="EK124" s="72"/>
      <c r="EL124" s="79"/>
      <c r="EM124" s="79"/>
      <c r="EN124" s="79"/>
      <c r="EO124" s="80"/>
      <c r="EP124" s="78"/>
    </row>
    <row r="125" spans="2:146" ht="11.25" customHeight="1" x14ac:dyDescent="0.2">
      <c r="B125" s="70"/>
      <c r="C125" s="71"/>
      <c r="D125" s="71" t="s">
        <v>612</v>
      </c>
      <c r="E125" s="71"/>
      <c r="F125" s="71"/>
      <c r="G125" s="71" t="s">
        <v>516</v>
      </c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 t="s">
        <v>53</v>
      </c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 t="s">
        <v>366</v>
      </c>
      <c r="AF125" s="71"/>
      <c r="AG125" s="71"/>
      <c r="AH125" s="71"/>
      <c r="AI125" s="71"/>
      <c r="AJ125" s="71"/>
      <c r="AK125" s="71"/>
      <c r="AL125" s="71"/>
      <c r="AM125" s="71"/>
      <c r="AN125" s="71" t="s">
        <v>188</v>
      </c>
      <c r="AO125" s="71"/>
      <c r="AP125" s="71"/>
      <c r="AQ125" s="71"/>
      <c r="AR125" s="71"/>
      <c r="AS125" s="71"/>
      <c r="AT125" s="71"/>
      <c r="AU125" s="71"/>
      <c r="AV125" s="71"/>
      <c r="AW125" s="71" t="s">
        <v>527</v>
      </c>
      <c r="AX125" s="71"/>
      <c r="AY125" s="71"/>
      <c r="AZ125" s="71"/>
      <c r="BA125" s="71"/>
      <c r="BB125" s="71"/>
      <c r="BC125" s="71"/>
      <c r="BD125" s="71" t="s">
        <v>302</v>
      </c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  <c r="EJ125" s="72"/>
      <c r="EK125" s="72"/>
      <c r="EL125" s="79"/>
      <c r="EM125" s="79"/>
      <c r="EN125" s="79"/>
      <c r="EO125" s="80"/>
      <c r="EP125" s="78"/>
    </row>
    <row r="126" spans="2:146" ht="11.25" customHeight="1" x14ac:dyDescent="0.2">
      <c r="B126" s="70"/>
      <c r="C126" s="71"/>
      <c r="D126" s="71"/>
      <c r="E126" s="71"/>
      <c r="F126" s="71"/>
      <c r="G126" s="71" t="s">
        <v>554</v>
      </c>
      <c r="H126" s="71"/>
      <c r="I126" s="71"/>
      <c r="J126" s="71"/>
      <c r="K126" s="71"/>
      <c r="L126" s="71" t="s">
        <v>291</v>
      </c>
      <c r="M126" s="71"/>
      <c r="N126" s="71"/>
      <c r="O126" s="71"/>
      <c r="P126" s="71"/>
      <c r="Q126" s="71"/>
      <c r="R126" s="71"/>
      <c r="S126" s="71"/>
      <c r="T126" s="71"/>
      <c r="U126" s="71" t="s">
        <v>142</v>
      </c>
      <c r="V126" s="71"/>
      <c r="W126" s="71"/>
      <c r="X126" s="71"/>
      <c r="Y126" s="71"/>
      <c r="Z126" s="71"/>
      <c r="AA126" s="71"/>
      <c r="AB126" s="71"/>
      <c r="AC126" s="71" t="s">
        <v>459</v>
      </c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  <c r="EJ126" s="72"/>
      <c r="EK126" s="72"/>
      <c r="EL126" s="79"/>
      <c r="EM126" s="79"/>
      <c r="EN126" s="79"/>
      <c r="EO126" s="80"/>
      <c r="EP126" s="78"/>
    </row>
    <row r="127" spans="2:146" ht="11.25" customHeight="1" x14ac:dyDescent="0.2">
      <c r="B127" s="70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  <c r="EJ127" s="72"/>
      <c r="EK127" s="72"/>
      <c r="EL127" s="79"/>
      <c r="EM127" s="79"/>
      <c r="EN127" s="79"/>
      <c r="EO127" s="80"/>
      <c r="EP127" s="78"/>
    </row>
    <row r="128" spans="2:146" ht="11.25" customHeight="1" x14ac:dyDescent="0.2">
      <c r="B128" s="70"/>
      <c r="C128" s="71"/>
      <c r="D128" s="71" t="s">
        <v>315</v>
      </c>
      <c r="E128" s="71"/>
      <c r="F128" s="71"/>
      <c r="G128" s="71" t="s">
        <v>86</v>
      </c>
      <c r="H128" s="71"/>
      <c r="I128" s="71"/>
      <c r="J128" s="71"/>
      <c r="K128" s="71"/>
      <c r="L128" s="71"/>
      <c r="M128" s="71"/>
      <c r="N128" s="71" t="s">
        <v>469</v>
      </c>
      <c r="O128" s="71"/>
      <c r="P128" s="71" t="s">
        <v>12</v>
      </c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  <c r="EJ128" s="72"/>
      <c r="EK128" s="72"/>
      <c r="EL128" s="79"/>
      <c r="EM128" s="79"/>
      <c r="EN128" s="79"/>
      <c r="EO128" s="80"/>
      <c r="EP128" s="78"/>
    </row>
    <row r="129" spans="2:146" ht="11.25" customHeight="1" x14ac:dyDescent="0.2">
      <c r="B129" s="70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  <c r="EJ129" s="72"/>
      <c r="EK129" s="72"/>
      <c r="EL129" s="79"/>
      <c r="EM129" s="79"/>
      <c r="EN129" s="79"/>
      <c r="EO129" s="80"/>
      <c r="EP129" s="78"/>
    </row>
    <row r="130" spans="2:146" ht="11.25" customHeight="1" x14ac:dyDescent="0.2">
      <c r="B130" s="70"/>
      <c r="C130" s="71"/>
      <c r="D130" s="71" t="s">
        <v>463</v>
      </c>
      <c r="E130" s="71"/>
      <c r="F130" s="71"/>
      <c r="G130" s="71" t="s">
        <v>320</v>
      </c>
      <c r="H130" s="71"/>
      <c r="I130" s="71"/>
      <c r="J130" s="71"/>
      <c r="K130" s="71"/>
      <c r="L130" s="71"/>
      <c r="M130" s="71" t="s">
        <v>336</v>
      </c>
      <c r="N130" s="71" t="s">
        <v>480</v>
      </c>
      <c r="O130" s="71"/>
      <c r="P130" s="71" t="s">
        <v>74</v>
      </c>
      <c r="Q130" s="71"/>
      <c r="R130" s="71"/>
      <c r="S130" s="71" t="s">
        <v>611</v>
      </c>
      <c r="T130" s="71"/>
      <c r="U130" s="71"/>
      <c r="V130" s="71"/>
      <c r="W130" s="71"/>
      <c r="X130" s="71" t="s">
        <v>223</v>
      </c>
      <c r="Y130" s="71"/>
      <c r="Z130" s="71"/>
      <c r="AA130" s="71"/>
      <c r="AB130" s="71" t="s">
        <v>80</v>
      </c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72"/>
      <c r="EK130" s="72"/>
      <c r="EL130" s="79"/>
      <c r="EM130" s="79"/>
      <c r="EN130" s="79"/>
      <c r="EO130" s="80"/>
      <c r="EP130" s="78"/>
    </row>
    <row r="131" spans="2:146" ht="11.25" customHeight="1" x14ac:dyDescent="0.2">
      <c r="B131" s="70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72"/>
      <c r="EK131" s="72"/>
      <c r="EL131" s="79"/>
      <c r="EM131" s="79"/>
      <c r="EN131" s="79"/>
      <c r="EO131" s="80"/>
      <c r="EP131" s="78"/>
    </row>
    <row r="132" spans="2:146" ht="11.25" customHeight="1" x14ac:dyDescent="0.2">
      <c r="B132" s="70"/>
      <c r="C132" s="71"/>
      <c r="D132" s="71"/>
      <c r="E132" s="71"/>
      <c r="F132" s="71"/>
      <c r="G132" s="71" t="s">
        <v>647</v>
      </c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 t="s">
        <v>469</v>
      </c>
      <c r="U132" s="71"/>
      <c r="V132" s="71" t="str">
        <f>TEXT(노임단가!F6,"#,##0")</f>
        <v>273,540</v>
      </c>
      <c r="W132" s="71"/>
      <c r="X132" s="71"/>
      <c r="Y132" s="71"/>
      <c r="Z132" s="71"/>
      <c r="AA132" s="71"/>
      <c r="AB132" s="71"/>
      <c r="AC132" s="71"/>
      <c r="AD132" s="71"/>
      <c r="AE132" s="71"/>
      <c r="AF132" s="71" t="s">
        <v>542</v>
      </c>
      <c r="AG132" s="71"/>
      <c r="AH132" s="71"/>
      <c r="AI132" s="71" t="str">
        <f>TEXT(3,"#,##0.#######")</f>
        <v>3.</v>
      </c>
      <c r="AJ132" s="71" t="s">
        <v>602</v>
      </c>
      <c r="AK132" s="71"/>
      <c r="AL132" s="71"/>
      <c r="AM132" s="71" t="s">
        <v>112</v>
      </c>
      <c r="AN132" s="71"/>
      <c r="AO132" s="71" t="str">
        <f>TEXT(63,"#,##0.#######")</f>
        <v>63.</v>
      </c>
      <c r="AP132" s="71"/>
      <c r="AQ132" s="71" t="s">
        <v>452</v>
      </c>
      <c r="AR132" s="71"/>
      <c r="AS132" s="71"/>
      <c r="AT132" s="71" t="s">
        <v>254</v>
      </c>
      <c r="AU132" s="71"/>
      <c r="AV132" s="71" t="str">
        <f>TEXT(TRUNC(V132*AI132/AO132,1),"#,##0.#######")</f>
        <v>13,025.7</v>
      </c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72"/>
      <c r="EK132" s="72"/>
      <c r="EL132" s="79"/>
      <c r="EM132" s="79"/>
      <c r="EN132" s="79"/>
      <c r="EO132" s="80"/>
      <c r="EP132" s="78"/>
    </row>
    <row r="133" spans="2:146" ht="11.25" customHeight="1" x14ac:dyDescent="0.2">
      <c r="B133" s="70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72"/>
      <c r="EK133" s="72"/>
      <c r="EL133" s="79"/>
      <c r="EM133" s="79"/>
      <c r="EN133" s="79"/>
      <c r="EO133" s="80"/>
      <c r="EP133" s="78"/>
    </row>
    <row r="134" spans="2:146" ht="11.25" customHeight="1" x14ac:dyDescent="0.2">
      <c r="B134" s="70"/>
      <c r="C134" s="71"/>
      <c r="D134" s="71"/>
      <c r="E134" s="71"/>
      <c r="F134" s="71"/>
      <c r="G134" s="71" t="s">
        <v>43</v>
      </c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 t="s">
        <v>469</v>
      </c>
      <c r="U134" s="71"/>
      <c r="V134" s="71" t="str">
        <f>TEXT(노임단가!F4,"#,##0")</f>
        <v>172,068</v>
      </c>
      <c r="W134" s="71"/>
      <c r="X134" s="71"/>
      <c r="Y134" s="71"/>
      <c r="Z134" s="71"/>
      <c r="AA134" s="71"/>
      <c r="AB134" s="71"/>
      <c r="AC134" s="71"/>
      <c r="AD134" s="71"/>
      <c r="AE134" s="71"/>
      <c r="AF134" s="71" t="s">
        <v>542</v>
      </c>
      <c r="AG134" s="71"/>
      <c r="AH134" s="71"/>
      <c r="AI134" s="71" t="str">
        <f>TEXT(1,"#,##0.#######")</f>
        <v>1.</v>
      </c>
      <c r="AJ134" s="71" t="s">
        <v>602</v>
      </c>
      <c r="AK134" s="71"/>
      <c r="AL134" s="71"/>
      <c r="AM134" s="71" t="s">
        <v>112</v>
      </c>
      <c r="AN134" s="71"/>
      <c r="AO134" s="71" t="str">
        <f>TEXT(63,"#,##0.#######")</f>
        <v>63.</v>
      </c>
      <c r="AP134" s="71"/>
      <c r="AQ134" s="71" t="s">
        <v>452</v>
      </c>
      <c r="AR134" s="71"/>
      <c r="AS134" s="71"/>
      <c r="AT134" s="71" t="s">
        <v>254</v>
      </c>
      <c r="AU134" s="71"/>
      <c r="AV134" s="71" t="str">
        <f>TEXT(TRUNC(V134*AI134/AO134,1),"#,##0.#######")</f>
        <v>2,731.2</v>
      </c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  <c r="EJ134" s="72"/>
      <c r="EK134" s="72"/>
      <c r="EL134" s="79"/>
      <c r="EM134" s="79"/>
      <c r="EN134" s="79"/>
      <c r="EO134" s="80"/>
      <c r="EP134" s="78"/>
    </row>
    <row r="135" spans="2:146" ht="11.25" customHeight="1" x14ac:dyDescent="0.2">
      <c r="B135" s="70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9"/>
      <c r="EM135" s="79"/>
      <c r="EN135" s="79"/>
      <c r="EO135" s="80"/>
      <c r="EP135" s="78"/>
    </row>
    <row r="136" spans="2:146" ht="11.25" customHeight="1" x14ac:dyDescent="0.2">
      <c r="B136" s="70"/>
      <c r="C136" s="71"/>
      <c r="D136" s="71"/>
      <c r="E136" s="71"/>
      <c r="F136" s="71"/>
      <c r="G136" s="71" t="s">
        <v>440</v>
      </c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 t="s">
        <v>469</v>
      </c>
      <c r="S136" s="71"/>
      <c r="T136" s="71" t="str">
        <f>TEXT(TRUNC(AV132+AV134,1),"#,##0.#######")</f>
        <v>15,756.9</v>
      </c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  <c r="EJ136" s="72"/>
      <c r="EK136" s="72"/>
      <c r="EL136" s="79"/>
      <c r="EM136" s="79"/>
      <c r="EN136" s="79" t="str">
        <f>T136</f>
        <v>15,756.9</v>
      </c>
      <c r="EO136" s="80"/>
      <c r="EP136" s="78"/>
    </row>
    <row r="137" spans="2:146" ht="11.25" customHeight="1" x14ac:dyDescent="0.2">
      <c r="B137" s="70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9"/>
      <c r="EM137" s="79"/>
      <c r="EN137" s="79"/>
      <c r="EO137" s="80"/>
      <c r="EP137" s="78"/>
    </row>
    <row r="138" spans="2:146" ht="11.25" customHeight="1" x14ac:dyDescent="0.2">
      <c r="B138" s="70"/>
      <c r="C138" s="71"/>
      <c r="D138" s="71"/>
      <c r="E138" s="71"/>
      <c r="F138" s="71"/>
      <c r="G138" s="71" t="s">
        <v>346</v>
      </c>
      <c r="H138" s="71"/>
      <c r="I138" s="71"/>
      <c r="J138" s="71"/>
      <c r="K138" s="71"/>
      <c r="L138" s="71"/>
      <c r="M138" s="71"/>
      <c r="N138" s="71"/>
      <c r="O138" s="71"/>
      <c r="P138" s="71" t="s">
        <v>268</v>
      </c>
      <c r="Q138" s="71"/>
      <c r="R138" s="71"/>
      <c r="S138" s="71" t="s">
        <v>63</v>
      </c>
      <c r="T138" s="71"/>
      <c r="U138" s="71"/>
      <c r="V138" s="71"/>
      <c r="W138" s="71"/>
      <c r="X138" s="71"/>
      <c r="Y138" s="71" t="s">
        <v>336</v>
      </c>
      <c r="Z138" s="71" t="s">
        <v>370</v>
      </c>
      <c r="AA138" s="71"/>
      <c r="AB138" s="71"/>
      <c r="AC138" s="71"/>
      <c r="AD138" s="71"/>
      <c r="AE138" s="71"/>
      <c r="AF138" s="71"/>
      <c r="AG138" s="71"/>
      <c r="AH138" s="71"/>
      <c r="AI138" s="71" t="s">
        <v>326</v>
      </c>
      <c r="AJ138" s="71"/>
      <c r="AK138" s="71"/>
      <c r="AL138" s="71"/>
      <c r="AM138" s="71"/>
      <c r="AN138" s="71"/>
      <c r="AO138" s="71"/>
      <c r="AP138" s="71"/>
      <c r="AQ138" s="71" t="s">
        <v>80</v>
      </c>
      <c r="AR138" s="71" t="s">
        <v>205</v>
      </c>
      <c r="AS138" s="71"/>
      <c r="AT138" s="71"/>
      <c r="AU138" s="71" t="s">
        <v>94</v>
      </c>
      <c r="AV138" s="71"/>
      <c r="AW138" s="71"/>
      <c r="AX138" s="71"/>
      <c r="AY138" s="71"/>
      <c r="AZ138" s="71"/>
      <c r="BA138" s="71"/>
      <c r="BB138" s="71"/>
      <c r="BC138" s="71" t="s">
        <v>336</v>
      </c>
      <c r="BD138" s="71" t="s">
        <v>99</v>
      </c>
      <c r="BE138" s="71"/>
      <c r="BF138" s="71"/>
      <c r="BG138" s="71"/>
      <c r="BH138" s="71"/>
      <c r="BI138" s="71"/>
      <c r="BJ138" s="71"/>
      <c r="BK138" s="71"/>
      <c r="BL138" s="71"/>
      <c r="BM138" s="71" t="s">
        <v>617</v>
      </c>
      <c r="BN138" s="71" t="s">
        <v>144</v>
      </c>
      <c r="BO138" s="71" t="s">
        <v>80</v>
      </c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9"/>
      <c r="EM138" s="79"/>
      <c r="EN138" s="79"/>
      <c r="EO138" s="80"/>
      <c r="EP138" s="78"/>
    </row>
    <row r="139" spans="2:146" ht="11.25" customHeight="1" x14ac:dyDescent="0.2">
      <c r="B139" s="70"/>
      <c r="C139" s="71"/>
      <c r="D139" s="71"/>
      <c r="E139" s="71"/>
      <c r="F139" s="71"/>
      <c r="G139" s="71" t="str">
        <f>T136</f>
        <v>15,756.9</v>
      </c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 t="s">
        <v>542</v>
      </c>
      <c r="S139" s="71"/>
      <c r="T139" s="71"/>
      <c r="U139" s="71" t="str">
        <f>TEXT(2,"#,##0.#######")</f>
        <v>2.</v>
      </c>
      <c r="V139" s="71" t="s">
        <v>144</v>
      </c>
      <c r="W139" s="71"/>
      <c r="X139" s="71" t="s">
        <v>254</v>
      </c>
      <c r="Y139" s="71"/>
      <c r="Z139" s="71" t="str">
        <f>TEXT(TRUNC(T136*(U139*(1/100)),1),"#,##0.#")</f>
        <v>315.1</v>
      </c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9">
        <f>EN139+EM139+EO139</f>
        <v>315.10000000000002</v>
      </c>
      <c r="EM139" s="79" t="str">
        <f>Z139</f>
        <v>315.1</v>
      </c>
      <c r="EN139" s="79"/>
      <c r="EO139" s="80"/>
      <c r="EP139" s="78"/>
    </row>
    <row r="140" spans="2:146" ht="11.25" customHeight="1" x14ac:dyDescent="0.2">
      <c r="B140" s="70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9"/>
      <c r="EM140" s="79"/>
      <c r="EN140" s="79"/>
      <c r="EO140" s="80"/>
      <c r="EP140" s="78"/>
    </row>
    <row r="141" spans="2:146" ht="11.25" customHeight="1" x14ac:dyDescent="0.2">
      <c r="B141" s="70"/>
      <c r="C141" s="71"/>
      <c r="D141" s="71" t="s">
        <v>655</v>
      </c>
      <c r="E141" s="71"/>
      <c r="F141" s="71"/>
      <c r="G141" s="71" t="s">
        <v>261</v>
      </c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 t="s">
        <v>287</v>
      </c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9"/>
      <c r="EM141" s="79"/>
      <c r="EN141" s="79"/>
      <c r="EO141" s="80"/>
      <c r="EP141" s="78"/>
    </row>
    <row r="142" spans="2:146" ht="11.25" customHeight="1" x14ac:dyDescent="0.2">
      <c r="B142" s="70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9"/>
      <c r="EM142" s="79"/>
      <c r="EN142" s="79"/>
      <c r="EO142" s="80"/>
      <c r="EP142" s="78"/>
    </row>
    <row r="143" spans="2:146" ht="11.25" customHeight="1" x14ac:dyDescent="0.2">
      <c r="B143" s="70"/>
      <c r="C143" s="71"/>
      <c r="D143" s="71"/>
      <c r="E143" s="71"/>
      <c r="F143" s="71"/>
      <c r="G143" s="71" t="s">
        <v>40</v>
      </c>
      <c r="H143" s="71"/>
      <c r="I143" s="71" t="s">
        <v>254</v>
      </c>
      <c r="J143" s="71"/>
      <c r="K143" s="71" t="str">
        <f>TEXT(8,"#,##0.#######")</f>
        <v>8.</v>
      </c>
      <c r="L143" s="71" t="s">
        <v>467</v>
      </c>
      <c r="M143" s="71"/>
      <c r="N143" s="71"/>
      <c r="O143" s="71" t="s">
        <v>112</v>
      </c>
      <c r="P143" s="71"/>
      <c r="Q143" s="71" t="str">
        <f>TEXT(63,"#,##0.#######")</f>
        <v>63.</v>
      </c>
      <c r="R143" s="71"/>
      <c r="S143" s="71" t="s">
        <v>452</v>
      </c>
      <c r="T143" s="71"/>
      <c r="U143" s="71"/>
      <c r="V143" s="71" t="s">
        <v>254</v>
      </c>
      <c r="W143" s="71"/>
      <c r="X143" s="71" t="str">
        <f>TEXT(ROUND(K143/Q143,3),"#,##0.#######")</f>
        <v>0.127</v>
      </c>
      <c r="Y143" s="71"/>
      <c r="Z143" s="71"/>
      <c r="AA143" s="71"/>
      <c r="AB143" s="71"/>
      <c r="AC143" s="71"/>
      <c r="AD143" s="71"/>
      <c r="AE143" s="71" t="s">
        <v>467</v>
      </c>
      <c r="AF143" s="71"/>
      <c r="AG143" s="71" t="s">
        <v>112</v>
      </c>
      <c r="AH143" s="71" t="s">
        <v>452</v>
      </c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9"/>
      <c r="EM143" s="79"/>
      <c r="EN143" s="79"/>
      <c r="EO143" s="80"/>
      <c r="EP143" s="78"/>
    </row>
    <row r="144" spans="2:146" ht="11.25" customHeight="1" x14ac:dyDescent="0.2">
      <c r="B144" s="70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9"/>
      <c r="EM144" s="79"/>
      <c r="EN144" s="79"/>
      <c r="EO144" s="80"/>
      <c r="EP144" s="78"/>
    </row>
    <row r="145" spans="2:146" ht="11.25" customHeight="1" x14ac:dyDescent="0.2">
      <c r="B145" s="70"/>
      <c r="C145" s="71"/>
      <c r="D145" s="71"/>
      <c r="E145" s="71"/>
      <c r="F145" s="71"/>
      <c r="G145" s="71" t="s">
        <v>543</v>
      </c>
      <c r="H145" s="71"/>
      <c r="I145" s="71"/>
      <c r="J145" s="71"/>
      <c r="K145" s="71"/>
      <c r="L145" s="71"/>
      <c r="M145" s="71"/>
      <c r="N145" s="71" t="s">
        <v>469</v>
      </c>
      <c r="O145" s="71"/>
      <c r="P145" s="71" t="str">
        <f>TEXT(기계경비총괄표!H6,"#,##0")</f>
        <v>59,020</v>
      </c>
      <c r="Q145" s="71"/>
      <c r="R145" s="71"/>
      <c r="S145" s="71"/>
      <c r="T145" s="71"/>
      <c r="U145" s="71"/>
      <c r="V145" s="71"/>
      <c r="W145" s="71"/>
      <c r="X145" s="71"/>
      <c r="Y145" s="71" t="s">
        <v>542</v>
      </c>
      <c r="Z145" s="71"/>
      <c r="AA145" s="71"/>
      <c r="AB145" s="71" t="str">
        <f>TEXT(X143,"#,##0.#######")</f>
        <v>0.127</v>
      </c>
      <c r="AC145" s="71"/>
      <c r="AD145" s="71"/>
      <c r="AE145" s="71"/>
      <c r="AF145" s="71"/>
      <c r="AG145" s="71"/>
      <c r="AH145" s="71"/>
      <c r="AI145" s="71"/>
      <c r="AJ145" s="71" t="s">
        <v>254</v>
      </c>
      <c r="AK145" s="71"/>
      <c r="AL145" s="71" t="str">
        <f>TEXT(TRUNC(P145*X143,1),"#,##0.#")</f>
        <v>7,495.5</v>
      </c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72"/>
      <c r="EK145" s="72"/>
      <c r="EL145" s="79"/>
      <c r="EM145" s="79"/>
      <c r="EN145" s="79"/>
      <c r="EO145" s="80"/>
      <c r="EP145" s="78"/>
    </row>
    <row r="146" spans="2:146" ht="11.25" customHeight="1" x14ac:dyDescent="0.2">
      <c r="B146" s="70"/>
      <c r="C146" s="71"/>
      <c r="D146" s="71"/>
      <c r="E146" s="71"/>
      <c r="F146" s="71"/>
      <c r="G146" s="71" t="s">
        <v>400</v>
      </c>
      <c r="H146" s="71"/>
      <c r="I146" s="71"/>
      <c r="J146" s="71"/>
      <c r="K146" s="71"/>
      <c r="L146" s="71"/>
      <c r="M146" s="71"/>
      <c r="N146" s="71" t="s">
        <v>469</v>
      </c>
      <c r="O146" s="71"/>
      <c r="P146" s="71" t="str">
        <f>TEXT(기계경비총괄표!G6,"#,##0")</f>
        <v>26,193</v>
      </c>
      <c r="Q146" s="71"/>
      <c r="R146" s="71"/>
      <c r="S146" s="71"/>
      <c r="T146" s="71"/>
      <c r="U146" s="71"/>
      <c r="V146" s="71"/>
      <c r="W146" s="71"/>
      <c r="X146" s="71"/>
      <c r="Y146" s="71" t="s">
        <v>542</v>
      </c>
      <c r="Z146" s="71"/>
      <c r="AA146" s="71"/>
      <c r="AB146" s="71" t="str">
        <f>TEXT(X143,"#,##0.#######")</f>
        <v>0.127</v>
      </c>
      <c r="AC146" s="71"/>
      <c r="AD146" s="71"/>
      <c r="AE146" s="71"/>
      <c r="AF146" s="71"/>
      <c r="AG146" s="71"/>
      <c r="AH146" s="71"/>
      <c r="AI146" s="71"/>
      <c r="AJ146" s="71" t="s">
        <v>254</v>
      </c>
      <c r="AK146" s="71"/>
      <c r="AL146" s="71" t="str">
        <f>TEXT(TRUNC(P146*X143,1),"#,##0.#")</f>
        <v>3,326.5</v>
      </c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9"/>
      <c r="EM146" s="79"/>
      <c r="EN146" s="79"/>
      <c r="EO146" s="80"/>
      <c r="EP146" s="78"/>
    </row>
    <row r="147" spans="2:146" ht="11.25" customHeight="1" x14ac:dyDescent="0.2">
      <c r="B147" s="70"/>
      <c r="C147" s="71"/>
      <c r="D147" s="71"/>
      <c r="E147" s="71"/>
      <c r="F147" s="71"/>
      <c r="G147" s="71" t="s">
        <v>147</v>
      </c>
      <c r="H147" s="71"/>
      <c r="I147" s="71"/>
      <c r="J147" s="71"/>
      <c r="K147" s="71" t="s">
        <v>342</v>
      </c>
      <c r="L147" s="71"/>
      <c r="M147" s="71"/>
      <c r="N147" s="71" t="s">
        <v>469</v>
      </c>
      <c r="O147" s="71"/>
      <c r="P147" s="71" t="str">
        <f>TEXT(기계경비총괄표!I6,"#,##0")</f>
        <v>27,120</v>
      </c>
      <c r="Q147" s="71"/>
      <c r="R147" s="71"/>
      <c r="S147" s="71"/>
      <c r="T147" s="71"/>
      <c r="U147" s="71"/>
      <c r="V147" s="71"/>
      <c r="W147" s="71"/>
      <c r="X147" s="71"/>
      <c r="Y147" s="71" t="s">
        <v>542</v>
      </c>
      <c r="Z147" s="71"/>
      <c r="AA147" s="71"/>
      <c r="AB147" s="71" t="str">
        <f>TEXT(X143,"#,##0.#######")</f>
        <v>0.127</v>
      </c>
      <c r="AC147" s="71"/>
      <c r="AD147" s="71"/>
      <c r="AE147" s="71"/>
      <c r="AF147" s="71"/>
      <c r="AG147" s="71"/>
      <c r="AH147" s="71"/>
      <c r="AI147" s="71"/>
      <c r="AJ147" s="71" t="s">
        <v>254</v>
      </c>
      <c r="AK147" s="71"/>
      <c r="AL147" s="71" t="str">
        <f>TEXT(TRUNC(P147*X143,1),"#,##0.#")</f>
        <v>3,444.2</v>
      </c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  <c r="EJ147" s="72"/>
      <c r="EK147" s="72"/>
      <c r="EL147" s="79"/>
      <c r="EM147" s="79"/>
      <c r="EN147" s="79"/>
      <c r="EO147" s="80"/>
      <c r="EP147" s="78"/>
    </row>
    <row r="148" spans="2:146" ht="11.25" customHeight="1" x14ac:dyDescent="0.2">
      <c r="B148" s="70"/>
      <c r="C148" s="71"/>
      <c r="D148" s="71"/>
      <c r="E148" s="71"/>
      <c r="F148" s="71"/>
      <c r="G148" s="71" t="s">
        <v>252</v>
      </c>
      <c r="H148" s="71"/>
      <c r="I148" s="71"/>
      <c r="J148" s="71"/>
      <c r="K148" s="71" t="s">
        <v>341</v>
      </c>
      <c r="L148" s="71"/>
      <c r="M148" s="71"/>
      <c r="N148" s="71" t="s">
        <v>469</v>
      </c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 t="str">
        <f>TEXT(AL145+AL146+AL147,"#,##0.#######")</f>
        <v>14,266.2</v>
      </c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  <c r="EJ148" s="72"/>
      <c r="EK148" s="72"/>
      <c r="EL148" s="79">
        <f>EN148+EM148+EO148</f>
        <v>14266.2</v>
      </c>
      <c r="EM148" s="79" t="str">
        <f>TEXT(AL146,"#,###.0")</f>
        <v>3,326.5</v>
      </c>
      <c r="EN148" s="79" t="str">
        <f>TEXT(AL145,"#,###.0")</f>
        <v>7,495.5</v>
      </c>
      <c r="EO148" s="80" t="str">
        <f>TEXT(AL147,"#,###.0")</f>
        <v>3,444.2</v>
      </c>
      <c r="EP148" s="78"/>
    </row>
    <row r="149" spans="2:146" ht="11.25" customHeight="1" x14ac:dyDescent="0.2">
      <c r="B149" s="70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  <c r="EJ149" s="72"/>
      <c r="EK149" s="72"/>
      <c r="EL149" s="79"/>
      <c r="EM149" s="79"/>
      <c r="EN149" s="79"/>
      <c r="EO149" s="80"/>
      <c r="EP149" s="78"/>
    </row>
    <row r="150" spans="2:146" ht="11.25" customHeight="1" x14ac:dyDescent="0.2">
      <c r="B150" s="70"/>
      <c r="C150" s="71"/>
      <c r="D150" s="71" t="s">
        <v>150</v>
      </c>
      <c r="E150" s="71"/>
      <c r="F150" s="71"/>
      <c r="G150" s="71" t="s">
        <v>437</v>
      </c>
      <c r="H150" s="71"/>
      <c r="I150" s="71"/>
      <c r="J150" s="71"/>
      <c r="K150" s="71" t="s">
        <v>341</v>
      </c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  <c r="EJ150" s="72"/>
      <c r="EK150" s="72"/>
      <c r="EL150" s="79"/>
      <c r="EM150" s="79"/>
      <c r="EN150" s="79"/>
      <c r="EO150" s="80"/>
      <c r="EP150" s="78"/>
    </row>
    <row r="151" spans="2:146" ht="11.25" customHeight="1" x14ac:dyDescent="0.2">
      <c r="B151" s="70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  <c r="BA151" s="71"/>
      <c r="BB151" s="71"/>
      <c r="BC151" s="71"/>
      <c r="BD151" s="71"/>
      <c r="BE151" s="71"/>
      <c r="BF151" s="71"/>
      <c r="BG151" s="71"/>
      <c r="BH151" s="71"/>
      <c r="BI151" s="71"/>
      <c r="BJ151" s="71"/>
      <c r="BK151" s="71"/>
      <c r="BL151" s="71"/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  <c r="EJ151" s="72"/>
      <c r="EK151" s="72"/>
      <c r="EL151" s="79"/>
      <c r="EM151" s="79"/>
      <c r="EN151" s="79"/>
      <c r="EO151" s="80"/>
      <c r="EP151" s="78"/>
    </row>
    <row r="152" spans="2:146" ht="11.25" customHeight="1" x14ac:dyDescent="0.2">
      <c r="B152" s="70"/>
      <c r="C152" s="71"/>
      <c r="D152" s="71"/>
      <c r="E152" s="71"/>
      <c r="F152" s="71"/>
      <c r="G152" s="71"/>
      <c r="H152" s="71" t="s">
        <v>543</v>
      </c>
      <c r="I152" s="71"/>
      <c r="J152" s="71"/>
      <c r="K152" s="71"/>
      <c r="L152" s="71"/>
      <c r="M152" s="71"/>
      <c r="N152" s="71"/>
      <c r="O152" s="71" t="s">
        <v>469</v>
      </c>
      <c r="P152" s="71"/>
      <c r="Q152" s="71" t="str">
        <f>TEXT(EN136,"#,###.##")</f>
        <v>15,756.9</v>
      </c>
      <c r="R152" s="71"/>
      <c r="S152" s="71"/>
      <c r="T152" s="71"/>
      <c r="U152" s="71"/>
      <c r="V152" s="71"/>
      <c r="W152" s="71"/>
      <c r="X152" s="71"/>
      <c r="Y152" s="71"/>
      <c r="Z152" s="71" t="s">
        <v>133</v>
      </c>
      <c r="AA152" s="71"/>
      <c r="AB152" s="71" t="str">
        <f>TEXT(EN148,"#,###.##")</f>
        <v>7,495.5</v>
      </c>
      <c r="AC152" s="71"/>
      <c r="AD152" s="71"/>
      <c r="AE152" s="71"/>
      <c r="AF152" s="71"/>
      <c r="AG152" s="71"/>
      <c r="AH152" s="71"/>
      <c r="AI152" s="71"/>
      <c r="AJ152" s="71" t="s">
        <v>254</v>
      </c>
      <c r="AK152" s="71"/>
      <c r="AL152" s="71"/>
      <c r="AM152" s="71" t="str">
        <f>TEXT(TRUNC(EN136+EN148,0),"#,##0")</f>
        <v>23,252</v>
      </c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  <c r="AZ152" s="71"/>
      <c r="BA152" s="71"/>
      <c r="BB152" s="71"/>
      <c r="BC152" s="71"/>
      <c r="BD152" s="71"/>
      <c r="BE152" s="71"/>
      <c r="BF152" s="71"/>
      <c r="BG152" s="7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71"/>
      <c r="BS152" s="71"/>
      <c r="BT152" s="71"/>
      <c r="BU152" s="71"/>
      <c r="BV152" s="71"/>
      <c r="BW152" s="71"/>
      <c r="BX152" s="71"/>
      <c r="BY152" s="71"/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  <c r="EJ152" s="72"/>
      <c r="EK152" s="72"/>
      <c r="EL152" s="79"/>
      <c r="EM152" s="79"/>
      <c r="EN152" s="79"/>
      <c r="EO152" s="80"/>
      <c r="EP152" s="78"/>
    </row>
    <row r="153" spans="2:146" ht="11.25" customHeight="1" x14ac:dyDescent="0.2">
      <c r="B153" s="70"/>
      <c r="C153" s="71"/>
      <c r="D153" s="71"/>
      <c r="E153" s="71"/>
      <c r="F153" s="71"/>
      <c r="G153" s="71"/>
      <c r="H153" s="71" t="s">
        <v>400</v>
      </c>
      <c r="I153" s="71"/>
      <c r="J153" s="71"/>
      <c r="K153" s="71"/>
      <c r="L153" s="71"/>
      <c r="M153" s="71"/>
      <c r="N153" s="71"/>
      <c r="O153" s="71" t="s">
        <v>469</v>
      </c>
      <c r="P153" s="71"/>
      <c r="Q153" s="71" t="str">
        <f>TEXT(EM139,"#,###.##")</f>
        <v>315.1</v>
      </c>
      <c r="R153" s="71"/>
      <c r="S153" s="71"/>
      <c r="T153" s="71"/>
      <c r="U153" s="71"/>
      <c r="V153" s="71"/>
      <c r="W153" s="71" t="s">
        <v>133</v>
      </c>
      <c r="X153" s="71"/>
      <c r="Y153" s="71" t="str">
        <f>TEXT(EM148,"#,###.##")</f>
        <v>3,326.5</v>
      </c>
      <c r="Z153" s="71"/>
      <c r="AA153" s="71"/>
      <c r="AB153" s="71"/>
      <c r="AC153" s="71"/>
      <c r="AD153" s="71"/>
      <c r="AE153" s="71"/>
      <c r="AF153" s="71"/>
      <c r="AG153" s="71" t="s">
        <v>254</v>
      </c>
      <c r="AH153" s="71"/>
      <c r="AI153" s="71"/>
      <c r="AJ153" s="71" t="str">
        <f>TEXT(TRUNC(EM139+EM148,0),"#,##0")</f>
        <v>3,641</v>
      </c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  <c r="EJ153" s="72"/>
      <c r="EK153" s="72"/>
      <c r="EL153" s="79"/>
      <c r="EM153" s="79"/>
      <c r="EN153" s="79"/>
      <c r="EO153" s="80"/>
      <c r="EP153" s="78"/>
    </row>
    <row r="154" spans="2:146" ht="11.25" customHeight="1" x14ac:dyDescent="0.2">
      <c r="B154" s="70"/>
      <c r="C154" s="71"/>
      <c r="D154" s="71"/>
      <c r="E154" s="71"/>
      <c r="F154" s="71"/>
      <c r="G154" s="71"/>
      <c r="H154" s="71" t="s">
        <v>147</v>
      </c>
      <c r="I154" s="71"/>
      <c r="J154" s="71"/>
      <c r="K154" s="71"/>
      <c r="L154" s="71" t="s">
        <v>342</v>
      </c>
      <c r="M154" s="71"/>
      <c r="N154" s="71"/>
      <c r="O154" s="71" t="s">
        <v>469</v>
      </c>
      <c r="P154" s="71"/>
      <c r="Q154" s="71" t="str">
        <f>TEXT(TRUNC(EO148,0),"#,##0")</f>
        <v>3,444</v>
      </c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9"/>
      <c r="EM154" s="79"/>
      <c r="EN154" s="79"/>
      <c r="EO154" s="80"/>
      <c r="EP154" s="78"/>
    </row>
    <row r="155" spans="2:146" ht="11.25" customHeight="1" x14ac:dyDescent="0.2">
      <c r="B155" s="70"/>
      <c r="C155" s="71"/>
      <c r="D155" s="71"/>
      <c r="E155" s="71"/>
      <c r="F155" s="71"/>
      <c r="G155" s="71"/>
      <c r="H155" s="71"/>
      <c r="I155" s="71"/>
      <c r="J155" s="71" t="s">
        <v>341</v>
      </c>
      <c r="K155" s="71"/>
      <c r="L155" s="71"/>
      <c r="M155" s="71"/>
      <c r="N155" s="71"/>
      <c r="O155" s="71" t="s">
        <v>469</v>
      </c>
      <c r="P155" s="71"/>
      <c r="Q155" s="71"/>
      <c r="R155" s="71" t="str">
        <f>TEXT(AM152+AJ153+Q154,"#,##0")</f>
        <v>30,337</v>
      </c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  <c r="EJ155" s="72"/>
      <c r="EK155" s="72"/>
      <c r="EL155" s="81">
        <f>EN155+EM155+EO155</f>
        <v>30337</v>
      </c>
      <c r="EM155" s="79" t="str">
        <f>TEXT(AJ153,"#,##0")</f>
        <v>3,641</v>
      </c>
      <c r="EN155" s="79" t="str">
        <f>TEXT(AM152,"#,##0")</f>
        <v>23,252</v>
      </c>
      <c r="EO155" s="80" t="str">
        <f>TEXT(Q154,"#,##0")</f>
        <v>3,444</v>
      </c>
      <c r="EP155" s="78"/>
    </row>
    <row r="156" spans="2:146" ht="11.25" customHeight="1" x14ac:dyDescent="0.2">
      <c r="B156" s="70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72"/>
      <c r="EK156" s="72"/>
      <c r="EL156" s="79"/>
      <c r="EM156" s="79"/>
      <c r="EN156" s="79"/>
      <c r="EO156" s="80"/>
      <c r="EP156" s="78"/>
    </row>
    <row r="157" spans="2:146" ht="11.25" customHeight="1" x14ac:dyDescent="0.2">
      <c r="B157" s="75" t="s">
        <v>607</v>
      </c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72"/>
      <c r="EK157" s="72"/>
      <c r="EL157" s="76">
        <f>EL185</f>
        <v>36083</v>
      </c>
      <c r="EM157" s="76" t="str">
        <f>EM185</f>
        <v>4,203</v>
      </c>
      <c r="EN157" s="76" t="str">
        <f>EN185</f>
        <v>31,880</v>
      </c>
      <c r="EO157" s="80">
        <f>EO185</f>
        <v>0</v>
      </c>
      <c r="EP157" s="78"/>
    </row>
    <row r="158" spans="2:146" ht="11.25" customHeight="1" x14ac:dyDescent="0.2">
      <c r="B158" s="70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9"/>
      <c r="EM158" s="79"/>
      <c r="EN158" s="79"/>
      <c r="EO158" s="80"/>
      <c r="EP158" s="78"/>
    </row>
    <row r="159" spans="2:146" ht="11.25" customHeight="1" x14ac:dyDescent="0.2">
      <c r="B159" s="70"/>
      <c r="C159" s="71"/>
      <c r="D159" s="71" t="s">
        <v>646</v>
      </c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  <c r="EJ159" s="72"/>
      <c r="EK159" s="72"/>
      <c r="EL159" s="79"/>
      <c r="EM159" s="79"/>
      <c r="EN159" s="79"/>
      <c r="EO159" s="80"/>
      <c r="EP159" s="78"/>
    </row>
    <row r="160" spans="2:146" ht="11.25" customHeight="1" x14ac:dyDescent="0.2">
      <c r="B160" s="70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72"/>
      <c r="EK160" s="72"/>
      <c r="EL160" s="79"/>
      <c r="EM160" s="79"/>
      <c r="EN160" s="79"/>
      <c r="EO160" s="80"/>
      <c r="EP160" s="78"/>
    </row>
    <row r="161" spans="2:146" ht="11.25" customHeight="1" x14ac:dyDescent="0.2">
      <c r="B161" s="70"/>
      <c r="C161" s="71"/>
      <c r="D161" s="71" t="s">
        <v>315</v>
      </c>
      <c r="E161" s="71"/>
      <c r="F161" s="71"/>
      <c r="G161" s="71" t="s">
        <v>400</v>
      </c>
      <c r="H161" s="71"/>
      <c r="I161" s="71"/>
      <c r="J161" s="71"/>
      <c r="K161" s="71"/>
      <c r="L161" s="71"/>
      <c r="M161" s="71" t="s">
        <v>336</v>
      </c>
      <c r="N161" s="71" t="s">
        <v>586</v>
      </c>
      <c r="O161" s="71"/>
      <c r="P161" s="71" t="s">
        <v>74</v>
      </c>
      <c r="Q161" s="71"/>
      <c r="R161" s="71"/>
      <c r="S161" s="71" t="s">
        <v>611</v>
      </c>
      <c r="T161" s="71"/>
      <c r="U161" s="71"/>
      <c r="V161" s="71"/>
      <c r="W161" s="71"/>
      <c r="X161" s="71" t="s">
        <v>223</v>
      </c>
      <c r="Y161" s="71"/>
      <c r="Z161" s="71"/>
      <c r="AA161" s="71"/>
      <c r="AB161" s="71" t="s">
        <v>80</v>
      </c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  <c r="EJ161" s="72"/>
      <c r="EK161" s="72"/>
      <c r="EL161" s="79"/>
      <c r="EM161" s="79"/>
      <c r="EN161" s="79"/>
      <c r="EO161" s="80"/>
      <c r="EP161" s="78"/>
    </row>
    <row r="162" spans="2:146" ht="11.25" customHeight="1" x14ac:dyDescent="0.2">
      <c r="B162" s="70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  <c r="EJ162" s="72"/>
      <c r="EK162" s="72"/>
      <c r="EL162" s="79"/>
      <c r="EM162" s="79"/>
      <c r="EN162" s="79"/>
      <c r="EO162" s="80"/>
      <c r="EP162" s="78"/>
    </row>
    <row r="163" spans="2:146" ht="11.25" customHeight="1" x14ac:dyDescent="0.2">
      <c r="B163" s="70"/>
      <c r="C163" s="71"/>
      <c r="D163" s="71"/>
      <c r="E163" s="71"/>
      <c r="F163" s="71"/>
      <c r="G163" s="71" t="s">
        <v>354</v>
      </c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 t="s">
        <v>526</v>
      </c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 t="str">
        <f>TEXT(자재단가!R6,"#,##0.#######")</f>
        <v>26,500.</v>
      </c>
      <c r="AK163" s="71"/>
      <c r="AL163" s="71"/>
      <c r="AM163" s="71"/>
      <c r="AN163" s="71"/>
      <c r="AO163" s="71"/>
      <c r="AP163" s="71"/>
      <c r="AQ163" s="71"/>
      <c r="AR163" s="71"/>
      <c r="AS163" s="71" t="s">
        <v>542</v>
      </c>
      <c r="AT163" s="71"/>
      <c r="AU163" s="71"/>
      <c r="AV163" s="71" t="str">
        <f>TEXT(0.095,"#,##0.#######")</f>
        <v>0.095</v>
      </c>
      <c r="AW163" s="71"/>
      <c r="AX163" s="71"/>
      <c r="AY163" s="71"/>
      <c r="AZ163" s="71"/>
      <c r="BA163" s="71" t="s">
        <v>471</v>
      </c>
      <c r="BB163" s="71"/>
      <c r="BC163" s="71"/>
      <c r="BD163" s="71" t="s">
        <v>254</v>
      </c>
      <c r="BE163" s="71"/>
      <c r="BF163" s="71" t="str">
        <f>TEXT(TRUNC(AJ163*AV163,1),"#,##0.#")</f>
        <v>2,517.5</v>
      </c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72"/>
      <c r="EK163" s="72"/>
      <c r="EL163" s="79">
        <f>EN163+EM163+EO163</f>
        <v>2517.5</v>
      </c>
      <c r="EM163" s="79" t="str">
        <f>BF163</f>
        <v>2,517.5</v>
      </c>
      <c r="EN163" s="79"/>
      <c r="EO163" s="80"/>
      <c r="EP163" s="78"/>
    </row>
    <row r="164" spans="2:146" ht="11.25" customHeight="1" x14ac:dyDescent="0.2">
      <c r="B164" s="70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72"/>
      <c r="EK164" s="72"/>
      <c r="EL164" s="79"/>
      <c r="EM164" s="79"/>
      <c r="EN164" s="79"/>
      <c r="EO164" s="80"/>
      <c r="EP164" s="78"/>
    </row>
    <row r="165" spans="2:146" ht="11.25" customHeight="1" x14ac:dyDescent="0.2">
      <c r="B165" s="70"/>
      <c r="C165" s="71"/>
      <c r="D165" s="71"/>
      <c r="E165" s="71"/>
      <c r="F165" s="71"/>
      <c r="G165" s="71" t="s">
        <v>578</v>
      </c>
      <c r="H165" s="71"/>
      <c r="I165" s="71"/>
      <c r="J165" s="71"/>
      <c r="K165" s="71"/>
      <c r="L165" s="71"/>
      <c r="M165" s="71"/>
      <c r="N165" s="71"/>
      <c r="O165" s="71" t="s">
        <v>259</v>
      </c>
      <c r="P165" s="71"/>
      <c r="Q165" s="71"/>
      <c r="R165" s="71"/>
      <c r="S165" s="71"/>
      <c r="T165" s="71"/>
      <c r="U165" s="71"/>
      <c r="V165" s="71" t="s">
        <v>552</v>
      </c>
      <c r="W165" s="71"/>
      <c r="X165" s="71"/>
      <c r="Y165" s="71"/>
      <c r="Z165" s="71"/>
      <c r="AA165" s="71"/>
      <c r="AB165" s="71"/>
      <c r="AC165" s="71"/>
      <c r="AD165" s="71"/>
      <c r="AE165" s="71" t="s">
        <v>336</v>
      </c>
      <c r="AF165" s="71" t="s">
        <v>246</v>
      </c>
      <c r="AG165" s="71"/>
      <c r="AH165" s="71"/>
      <c r="AI165" s="71"/>
      <c r="AJ165" s="71"/>
      <c r="AK165" s="71"/>
      <c r="AL165" s="71" t="s">
        <v>331</v>
      </c>
      <c r="AM165" s="71"/>
      <c r="AN165" s="71"/>
      <c r="AO165" s="71"/>
      <c r="AP165" s="71"/>
      <c r="AQ165" s="71"/>
      <c r="AR165" s="71"/>
      <c r="AS165" s="71"/>
      <c r="AT165" s="71"/>
      <c r="AU165" s="71" t="s">
        <v>426</v>
      </c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 t="s">
        <v>458</v>
      </c>
      <c r="BG165" s="71"/>
      <c r="BH165" s="71"/>
      <c r="BI165" s="71"/>
      <c r="BJ165" s="71"/>
      <c r="BK165" s="71" t="s">
        <v>204</v>
      </c>
      <c r="BL165" s="71"/>
      <c r="BM165" s="71"/>
      <c r="BN165" s="71"/>
      <c r="BO165" s="71"/>
      <c r="BP165" s="71"/>
      <c r="BQ165" s="71"/>
      <c r="BR165" s="71" t="s">
        <v>80</v>
      </c>
      <c r="BS165" s="71" t="s">
        <v>336</v>
      </c>
      <c r="BT165" s="71" t="s">
        <v>468</v>
      </c>
      <c r="BU165" s="71"/>
      <c r="BV165" s="71"/>
      <c r="BW165" s="71"/>
      <c r="BX165" s="71"/>
      <c r="BY165" s="71"/>
      <c r="BZ165" s="71"/>
      <c r="CA165" s="71"/>
      <c r="CB165" s="71"/>
      <c r="CC165" s="71" t="s">
        <v>306</v>
      </c>
      <c r="CD165" s="71"/>
      <c r="CE165" s="71" t="s">
        <v>144</v>
      </c>
      <c r="CF165" s="71" t="s">
        <v>80</v>
      </c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  <c r="EJ165" s="72"/>
      <c r="EK165" s="72"/>
      <c r="EL165" s="79"/>
      <c r="EM165" s="79"/>
      <c r="EN165" s="79"/>
      <c r="EO165" s="80"/>
      <c r="EP165" s="78"/>
    </row>
    <row r="166" spans="2:146" ht="11.25" customHeight="1" x14ac:dyDescent="0.2">
      <c r="B166" s="70"/>
      <c r="C166" s="71"/>
      <c r="D166" s="71"/>
      <c r="E166" s="71"/>
      <c r="F166" s="71"/>
      <c r="G166" s="71" t="str">
        <f>BF163</f>
        <v>2,517.5</v>
      </c>
      <c r="H166" s="71"/>
      <c r="I166" s="71"/>
      <c r="J166" s="71"/>
      <c r="K166" s="71"/>
      <c r="L166" s="71"/>
      <c r="M166" s="71"/>
      <c r="N166" s="71"/>
      <c r="O166" s="71"/>
      <c r="P166" s="71"/>
      <c r="Q166" s="71" t="s">
        <v>542</v>
      </c>
      <c r="R166" s="71"/>
      <c r="S166" s="71"/>
      <c r="T166" s="71" t="str">
        <f>TEXT(29,"#,##0.#######")</f>
        <v>29.</v>
      </c>
      <c r="U166" s="71"/>
      <c r="V166" s="71" t="s">
        <v>144</v>
      </c>
      <c r="W166" s="71"/>
      <c r="X166" s="71" t="s">
        <v>254</v>
      </c>
      <c r="Y166" s="71"/>
      <c r="Z166" s="71" t="str">
        <f>TEXT(TRUNC(BF163*(T166*(1/100)),1),"#,##0.#")</f>
        <v>730.</v>
      </c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  <c r="ED166" s="72"/>
      <c r="EE166" s="72"/>
      <c r="EF166" s="72"/>
      <c r="EG166" s="72"/>
      <c r="EH166" s="72"/>
      <c r="EI166" s="72"/>
      <c r="EJ166" s="72"/>
      <c r="EK166" s="72"/>
      <c r="EL166" s="79">
        <f>EN166+EM166+EO166</f>
        <v>730</v>
      </c>
      <c r="EM166" s="79" t="str">
        <f>Z166</f>
        <v>730.</v>
      </c>
      <c r="EN166" s="79"/>
      <c r="EO166" s="80"/>
      <c r="EP166" s="78"/>
    </row>
    <row r="167" spans="2:146" ht="11.25" customHeight="1" x14ac:dyDescent="0.2">
      <c r="B167" s="70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9"/>
      <c r="EM167" s="79"/>
      <c r="EN167" s="79"/>
      <c r="EO167" s="80"/>
      <c r="EP167" s="78"/>
    </row>
    <row r="168" spans="2:146" ht="11.25" customHeight="1" x14ac:dyDescent="0.2">
      <c r="B168" s="70"/>
      <c r="C168" s="71"/>
      <c r="D168" s="71" t="s">
        <v>463</v>
      </c>
      <c r="E168" s="71"/>
      <c r="F168" s="71"/>
      <c r="G168" s="71" t="s">
        <v>320</v>
      </c>
      <c r="H168" s="71"/>
      <c r="I168" s="71"/>
      <c r="J168" s="71"/>
      <c r="K168" s="71"/>
      <c r="L168" s="71"/>
      <c r="M168" s="71"/>
      <c r="N168" s="71" t="s">
        <v>336</v>
      </c>
      <c r="O168" s="71" t="s">
        <v>480</v>
      </c>
      <c r="P168" s="71"/>
      <c r="Q168" s="71" t="s">
        <v>74</v>
      </c>
      <c r="R168" s="71"/>
      <c r="S168" s="71"/>
      <c r="T168" s="71" t="s">
        <v>611</v>
      </c>
      <c r="U168" s="71"/>
      <c r="V168" s="71"/>
      <c r="W168" s="71"/>
      <c r="X168" s="71"/>
      <c r="Y168" s="71" t="s">
        <v>223</v>
      </c>
      <c r="Z168" s="71"/>
      <c r="AA168" s="71"/>
      <c r="AB168" s="71"/>
      <c r="AC168" s="71" t="s">
        <v>80</v>
      </c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9"/>
      <c r="EM168" s="79"/>
      <c r="EN168" s="79"/>
      <c r="EO168" s="80"/>
      <c r="EP168" s="78"/>
    </row>
    <row r="169" spans="2:146" ht="11.25" customHeight="1" x14ac:dyDescent="0.2">
      <c r="B169" s="70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9"/>
      <c r="EM169" s="79"/>
      <c r="EN169" s="79"/>
      <c r="EO169" s="80"/>
      <c r="EP169" s="78"/>
    </row>
    <row r="170" spans="2:146" ht="11.25" customHeight="1" x14ac:dyDescent="0.2">
      <c r="B170" s="70"/>
      <c r="C170" s="71"/>
      <c r="D170" s="71"/>
      <c r="E170" s="71"/>
      <c r="F170" s="71"/>
      <c r="G170" s="71" t="s">
        <v>231</v>
      </c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 t="s">
        <v>469</v>
      </c>
      <c r="S170" s="71"/>
      <c r="T170" s="71" t="str">
        <f>TEXT(노임단가!F7,"#,##0")</f>
        <v>275,790</v>
      </c>
      <c r="U170" s="71"/>
      <c r="V170" s="71"/>
      <c r="W170" s="71"/>
      <c r="X170" s="71"/>
      <c r="Y170" s="71"/>
      <c r="Z170" s="71"/>
      <c r="AA170" s="71"/>
      <c r="AB170" s="71"/>
      <c r="AC170" s="71"/>
      <c r="AD170" s="71" t="s">
        <v>542</v>
      </c>
      <c r="AE170" s="71"/>
      <c r="AF170" s="71"/>
      <c r="AG170" s="71" t="str">
        <f>TEXT(4,"#,##0.#######")</f>
        <v>4.</v>
      </c>
      <c r="AH170" s="71" t="s">
        <v>602</v>
      </c>
      <c r="AI170" s="71"/>
      <c r="AJ170" s="71"/>
      <c r="AK170" s="71" t="s">
        <v>112</v>
      </c>
      <c r="AL170" s="71"/>
      <c r="AM170" s="71" t="str">
        <f>TEXT(40,"#,##0.#######")</f>
        <v>40.</v>
      </c>
      <c r="AN170" s="71"/>
      <c r="AO170" s="71" t="s">
        <v>464</v>
      </c>
      <c r="AP170" s="71"/>
      <c r="AQ170" s="71"/>
      <c r="AR170" s="71" t="s">
        <v>254</v>
      </c>
      <c r="AS170" s="71"/>
      <c r="AT170" s="71" t="str">
        <f>TEXT(TRUNC(T170*AG170/AM170,1),"#,##0.#######")</f>
        <v>27,579.</v>
      </c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9"/>
      <c r="EM170" s="79"/>
      <c r="EN170" s="79"/>
      <c r="EO170" s="80"/>
      <c r="EP170" s="78"/>
    </row>
    <row r="171" spans="2:146" ht="11.25" customHeight="1" x14ac:dyDescent="0.2">
      <c r="B171" s="70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9"/>
      <c r="EM171" s="79"/>
      <c r="EN171" s="79"/>
      <c r="EO171" s="80"/>
      <c r="EP171" s="78"/>
    </row>
    <row r="172" spans="2:146" ht="11.25" customHeight="1" x14ac:dyDescent="0.2">
      <c r="B172" s="70"/>
      <c r="C172" s="71"/>
      <c r="D172" s="71"/>
      <c r="E172" s="71"/>
      <c r="F172" s="71"/>
      <c r="G172" s="71" t="s">
        <v>43</v>
      </c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 t="s">
        <v>469</v>
      </c>
      <c r="S172" s="71"/>
      <c r="T172" s="71" t="str">
        <f>TEXT(노임단가!F4,"#,##0")</f>
        <v>172,068</v>
      </c>
      <c r="U172" s="71"/>
      <c r="V172" s="71"/>
      <c r="W172" s="71"/>
      <c r="X172" s="71"/>
      <c r="Y172" s="71"/>
      <c r="Z172" s="71"/>
      <c r="AA172" s="71"/>
      <c r="AB172" s="71"/>
      <c r="AC172" s="71"/>
      <c r="AD172" s="71" t="s">
        <v>542</v>
      </c>
      <c r="AE172" s="71"/>
      <c r="AF172" s="71"/>
      <c r="AG172" s="71" t="str">
        <f>TEXT(1,"#,##0.#######")</f>
        <v>1.</v>
      </c>
      <c r="AH172" s="71" t="s">
        <v>602</v>
      </c>
      <c r="AI172" s="71"/>
      <c r="AJ172" s="71"/>
      <c r="AK172" s="71" t="s">
        <v>112</v>
      </c>
      <c r="AL172" s="71"/>
      <c r="AM172" s="71" t="str">
        <f>TEXT(40,"#,##0.#######")</f>
        <v>40.</v>
      </c>
      <c r="AN172" s="71"/>
      <c r="AO172" s="71" t="s">
        <v>464</v>
      </c>
      <c r="AP172" s="71"/>
      <c r="AQ172" s="71"/>
      <c r="AR172" s="71" t="s">
        <v>254</v>
      </c>
      <c r="AS172" s="71"/>
      <c r="AT172" s="71"/>
      <c r="AU172" s="71" t="str">
        <f>TEXT(TRUNC(T172*AG172/AM172,1),"#,##0.#######")</f>
        <v>4,301.7</v>
      </c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72"/>
      <c r="EK172" s="72"/>
      <c r="EL172" s="79"/>
      <c r="EM172" s="79"/>
      <c r="EN172" s="79"/>
      <c r="EO172" s="80"/>
      <c r="EP172" s="78"/>
    </row>
    <row r="173" spans="2:146" ht="11.25" customHeight="1" x14ac:dyDescent="0.2">
      <c r="B173" s="70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  <c r="EJ173" s="72"/>
      <c r="EK173" s="72"/>
      <c r="EL173" s="79"/>
      <c r="EM173" s="79"/>
      <c r="EN173" s="79"/>
      <c r="EO173" s="80"/>
      <c r="EP173" s="78"/>
    </row>
    <row r="174" spans="2:146" ht="11.25" customHeight="1" x14ac:dyDescent="0.2">
      <c r="B174" s="70"/>
      <c r="C174" s="71"/>
      <c r="D174" s="71"/>
      <c r="E174" s="71"/>
      <c r="F174" s="71"/>
      <c r="G174" s="71" t="s">
        <v>440</v>
      </c>
      <c r="H174" s="71"/>
      <c r="I174" s="71"/>
      <c r="J174" s="71"/>
      <c r="K174" s="71"/>
      <c r="L174" s="71"/>
      <c r="M174" s="71"/>
      <c r="N174" s="71"/>
      <c r="O174" s="71"/>
      <c r="P174" s="71" t="s">
        <v>469</v>
      </c>
      <c r="Q174" s="71"/>
      <c r="R174" s="71" t="str">
        <f>TEXT(TRUNC(AT170+AU172,1),"#,##0.#######")</f>
        <v>31,880.7</v>
      </c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  <c r="EJ174" s="72"/>
      <c r="EK174" s="72"/>
      <c r="EL174" s="79"/>
      <c r="EM174" s="79"/>
      <c r="EN174" s="79" t="str">
        <f>R174</f>
        <v>31,880.7</v>
      </c>
      <c r="EO174" s="80"/>
      <c r="EP174" s="78"/>
    </row>
    <row r="175" spans="2:146" ht="11.25" customHeight="1" x14ac:dyDescent="0.2">
      <c r="B175" s="73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/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4"/>
      <c r="CB175" s="64"/>
      <c r="CC175" s="64"/>
      <c r="CD175" s="64"/>
      <c r="CE175" s="64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64"/>
      <c r="CW175" s="64"/>
      <c r="CX175" s="64"/>
      <c r="CY175" s="74"/>
      <c r="CZ175" s="74"/>
      <c r="DA175" s="74"/>
      <c r="DB175" s="74"/>
      <c r="DC175" s="74"/>
      <c r="DD175" s="74"/>
      <c r="DE175" s="74"/>
      <c r="DF175" s="74"/>
      <c r="DG175" s="74"/>
      <c r="DH175" s="74"/>
      <c r="DI175" s="74"/>
      <c r="DJ175" s="74"/>
      <c r="DK175" s="74"/>
      <c r="DL175" s="74"/>
      <c r="DM175" s="74"/>
      <c r="DN175" s="74"/>
      <c r="DO175" s="74"/>
      <c r="DP175" s="74"/>
      <c r="DQ175" s="74"/>
      <c r="DR175" s="74"/>
      <c r="DS175" s="74"/>
      <c r="DT175" s="74"/>
      <c r="DU175" s="74"/>
      <c r="DV175" s="74"/>
      <c r="DW175" s="74"/>
      <c r="DX175" s="74"/>
      <c r="DY175" s="74"/>
      <c r="DZ175" s="74"/>
      <c r="EA175" s="74"/>
      <c r="EB175" s="74"/>
      <c r="EC175" s="74"/>
      <c r="ED175" s="74"/>
      <c r="EE175" s="74"/>
      <c r="EF175" s="74"/>
      <c r="EG175" s="74"/>
      <c r="EH175" s="74"/>
      <c r="EI175" s="74"/>
      <c r="EJ175" s="74"/>
      <c r="EK175" s="74"/>
      <c r="EL175" s="82"/>
      <c r="EM175" s="82"/>
      <c r="EN175" s="82"/>
      <c r="EO175" s="83"/>
      <c r="EP175" s="78"/>
    </row>
    <row r="176" spans="2:146" ht="11.25" customHeight="1" x14ac:dyDescent="0.2">
      <c r="B176" s="70"/>
      <c r="C176" s="71"/>
      <c r="D176" s="71" t="s">
        <v>655</v>
      </c>
      <c r="E176" s="71"/>
      <c r="F176" s="71"/>
      <c r="G176" s="71" t="s">
        <v>346</v>
      </c>
      <c r="H176" s="71"/>
      <c r="I176" s="71"/>
      <c r="J176" s="71"/>
      <c r="K176" s="71"/>
      <c r="L176" s="71"/>
      <c r="M176" s="71"/>
      <c r="N176" s="71"/>
      <c r="O176" s="71"/>
      <c r="P176" s="71" t="s">
        <v>268</v>
      </c>
      <c r="Q176" s="71"/>
      <c r="R176" s="71"/>
      <c r="S176" s="71" t="s">
        <v>63</v>
      </c>
      <c r="T176" s="71"/>
      <c r="U176" s="71"/>
      <c r="V176" s="71"/>
      <c r="W176" s="71"/>
      <c r="X176" s="71"/>
      <c r="Y176" s="71"/>
      <c r="Z176" s="71" t="s">
        <v>94</v>
      </c>
      <c r="AA176" s="71"/>
      <c r="AB176" s="71"/>
      <c r="AC176" s="71"/>
      <c r="AD176" s="71"/>
      <c r="AE176" s="71"/>
      <c r="AF176" s="71"/>
      <c r="AG176" s="71"/>
      <c r="AH176" s="71"/>
      <c r="AI176" s="71" t="s">
        <v>336</v>
      </c>
      <c r="AJ176" s="71" t="s">
        <v>360</v>
      </c>
      <c r="AK176" s="71"/>
      <c r="AL176" s="71"/>
      <c r="AM176" s="71"/>
      <c r="AN176" s="71"/>
      <c r="AO176" s="71"/>
      <c r="AP176" s="71"/>
      <c r="AQ176" s="71"/>
      <c r="AR176" s="71"/>
      <c r="AS176" s="71" t="s">
        <v>258</v>
      </c>
      <c r="AT176" s="71" t="s">
        <v>144</v>
      </c>
      <c r="AU176" s="71" t="s">
        <v>80</v>
      </c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  <c r="EJ176" s="72"/>
      <c r="EK176" s="72"/>
      <c r="EL176" s="79"/>
      <c r="EM176" s="79"/>
      <c r="EN176" s="79"/>
      <c r="EO176" s="80"/>
      <c r="EP176" s="78"/>
    </row>
    <row r="177" spans="2:146" ht="11.25" customHeight="1" x14ac:dyDescent="0.2">
      <c r="B177" s="70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  <c r="EJ177" s="72"/>
      <c r="EK177" s="72"/>
      <c r="EL177" s="79"/>
      <c r="EM177" s="79"/>
      <c r="EN177" s="79"/>
      <c r="EO177" s="80"/>
      <c r="EP177" s="78"/>
    </row>
    <row r="178" spans="2:146" ht="11.25" customHeight="1" x14ac:dyDescent="0.2">
      <c r="B178" s="70"/>
      <c r="C178" s="71"/>
      <c r="D178" s="71"/>
      <c r="E178" s="71"/>
      <c r="F178" s="71"/>
      <c r="G178" s="71" t="str">
        <f>R174</f>
        <v>31,880.7</v>
      </c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 t="s">
        <v>542</v>
      </c>
      <c r="S178" s="71"/>
      <c r="T178" s="71"/>
      <c r="U178" s="71" t="str">
        <f>TEXT(3,"#,##0.#######")</f>
        <v>3.</v>
      </c>
      <c r="V178" s="71" t="s">
        <v>144</v>
      </c>
      <c r="W178" s="71"/>
      <c r="X178" s="71" t="s">
        <v>254</v>
      </c>
      <c r="Y178" s="71"/>
      <c r="Z178" s="71" t="str">
        <f>TEXT(TRUNC(R174*(U178*(1/100)),1),"#,##0.#")</f>
        <v>956.4</v>
      </c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  <c r="ED178" s="72"/>
      <c r="EE178" s="72"/>
      <c r="EF178" s="72"/>
      <c r="EG178" s="72"/>
      <c r="EH178" s="72"/>
      <c r="EI178" s="72"/>
      <c r="EJ178" s="72"/>
      <c r="EK178" s="72"/>
      <c r="EL178" s="79">
        <f>EN178+EM178+EO178</f>
        <v>956.4</v>
      </c>
      <c r="EM178" s="79" t="str">
        <f>Z178</f>
        <v>956.4</v>
      </c>
      <c r="EN178" s="79"/>
      <c r="EO178" s="80"/>
      <c r="EP178" s="78"/>
    </row>
    <row r="179" spans="2:146" ht="11.25" customHeight="1" x14ac:dyDescent="0.2">
      <c r="B179" s="70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  <c r="EJ179" s="72"/>
      <c r="EK179" s="72"/>
      <c r="EL179" s="79"/>
      <c r="EM179" s="79"/>
      <c r="EN179" s="79"/>
      <c r="EO179" s="80"/>
      <c r="EP179" s="78"/>
    </row>
    <row r="180" spans="2:146" ht="11.25" customHeight="1" x14ac:dyDescent="0.2">
      <c r="B180" s="70"/>
      <c r="C180" s="71"/>
      <c r="D180" s="71" t="s">
        <v>150</v>
      </c>
      <c r="E180" s="71"/>
      <c r="F180" s="71"/>
      <c r="G180" s="71" t="s">
        <v>437</v>
      </c>
      <c r="H180" s="71"/>
      <c r="I180" s="71"/>
      <c r="J180" s="71"/>
      <c r="K180" s="71" t="s">
        <v>341</v>
      </c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  <c r="ED180" s="72"/>
      <c r="EE180" s="72"/>
      <c r="EF180" s="72"/>
      <c r="EG180" s="72"/>
      <c r="EH180" s="72"/>
      <c r="EI180" s="72"/>
      <c r="EJ180" s="72"/>
      <c r="EK180" s="72"/>
      <c r="EL180" s="79"/>
      <c r="EM180" s="79"/>
      <c r="EN180" s="79"/>
      <c r="EO180" s="80"/>
      <c r="EP180" s="78"/>
    </row>
    <row r="181" spans="2:146" ht="11.25" customHeight="1" x14ac:dyDescent="0.2">
      <c r="B181" s="70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  <c r="EJ181" s="72"/>
      <c r="EK181" s="72"/>
      <c r="EL181" s="79"/>
      <c r="EM181" s="79"/>
      <c r="EN181" s="79"/>
      <c r="EO181" s="80"/>
      <c r="EP181" s="78"/>
    </row>
    <row r="182" spans="2:146" ht="11.25" customHeight="1" x14ac:dyDescent="0.2">
      <c r="B182" s="70"/>
      <c r="C182" s="71"/>
      <c r="D182" s="71"/>
      <c r="E182" s="71"/>
      <c r="F182" s="71"/>
      <c r="G182" s="71"/>
      <c r="H182" s="71" t="s">
        <v>543</v>
      </c>
      <c r="I182" s="71"/>
      <c r="J182" s="71"/>
      <c r="K182" s="71"/>
      <c r="L182" s="71"/>
      <c r="M182" s="71"/>
      <c r="N182" s="71"/>
      <c r="O182" s="71" t="s">
        <v>469</v>
      </c>
      <c r="P182" s="71"/>
      <c r="Q182" s="71" t="str">
        <f>TEXT(TRUNC(EN174,0),"#,##0")</f>
        <v>31,880</v>
      </c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72"/>
      <c r="EI182" s="72"/>
      <c r="EJ182" s="72"/>
      <c r="EK182" s="72"/>
      <c r="EL182" s="79"/>
      <c r="EM182" s="79"/>
      <c r="EN182" s="79"/>
      <c r="EO182" s="80"/>
      <c r="EP182" s="78"/>
    </row>
    <row r="183" spans="2:146" ht="11.25" customHeight="1" x14ac:dyDescent="0.2">
      <c r="B183" s="70"/>
      <c r="C183" s="71"/>
      <c r="D183" s="71"/>
      <c r="E183" s="71"/>
      <c r="F183" s="71"/>
      <c r="G183" s="71"/>
      <c r="H183" s="71" t="s">
        <v>400</v>
      </c>
      <c r="I183" s="71"/>
      <c r="J183" s="71"/>
      <c r="K183" s="71"/>
      <c r="L183" s="71"/>
      <c r="M183" s="71"/>
      <c r="N183" s="71"/>
      <c r="O183" s="71" t="s">
        <v>469</v>
      </c>
      <c r="P183" s="71"/>
      <c r="Q183" s="71" t="str">
        <f>TEXT(EM163,"#,###.##")</f>
        <v>2,517.5</v>
      </c>
      <c r="R183" s="71"/>
      <c r="S183" s="71"/>
      <c r="T183" s="71"/>
      <c r="U183" s="71"/>
      <c r="V183" s="71"/>
      <c r="W183" s="71"/>
      <c r="X183" s="71"/>
      <c r="Y183" s="71" t="s">
        <v>133</v>
      </c>
      <c r="Z183" s="71"/>
      <c r="AA183" s="71" t="str">
        <f>TEXT(EM166,"#,###.##")</f>
        <v>730.</v>
      </c>
      <c r="AB183" s="71"/>
      <c r="AC183" s="71"/>
      <c r="AD183" s="71"/>
      <c r="AE183" s="71" t="s">
        <v>133</v>
      </c>
      <c r="AF183" s="71"/>
      <c r="AG183" s="71" t="str">
        <f>TEXT(EM178,"#,###.##")</f>
        <v>956.4</v>
      </c>
      <c r="AH183" s="71"/>
      <c r="AI183" s="71"/>
      <c r="AJ183" s="71"/>
      <c r="AK183" s="71"/>
      <c r="AL183" s="71"/>
      <c r="AM183" s="71" t="s">
        <v>254</v>
      </c>
      <c r="AN183" s="71"/>
      <c r="AO183" s="71"/>
      <c r="AP183" s="71" t="str">
        <f>TEXT(TRUNC(EM163+EM166+EM178,0),"#,##0")</f>
        <v>4,203</v>
      </c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2"/>
      <c r="CZ183" s="72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  <c r="ED183" s="72"/>
      <c r="EE183" s="72"/>
      <c r="EF183" s="72"/>
      <c r="EG183" s="72"/>
      <c r="EH183" s="72"/>
      <c r="EI183" s="72"/>
      <c r="EJ183" s="72"/>
      <c r="EK183" s="72"/>
      <c r="EL183" s="79"/>
      <c r="EM183" s="79"/>
      <c r="EN183" s="79"/>
      <c r="EO183" s="80"/>
      <c r="EP183" s="78"/>
    </row>
    <row r="184" spans="2:146" ht="11.25" customHeight="1" x14ac:dyDescent="0.2">
      <c r="B184" s="70"/>
      <c r="C184" s="71"/>
      <c r="D184" s="71"/>
      <c r="E184" s="71"/>
      <c r="F184" s="71"/>
      <c r="G184" s="71"/>
      <c r="H184" s="71" t="s">
        <v>147</v>
      </c>
      <c r="I184" s="71"/>
      <c r="J184" s="71"/>
      <c r="K184" s="71"/>
      <c r="L184" s="71" t="s">
        <v>342</v>
      </c>
      <c r="M184" s="71"/>
      <c r="N184" s="71"/>
      <c r="O184" s="71" t="s">
        <v>469</v>
      </c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  <c r="EJ184" s="72"/>
      <c r="EK184" s="72"/>
      <c r="EL184" s="79"/>
      <c r="EM184" s="79"/>
      <c r="EN184" s="79"/>
      <c r="EO184" s="80"/>
      <c r="EP184" s="78"/>
    </row>
    <row r="185" spans="2:146" ht="11.25" customHeight="1" x14ac:dyDescent="0.2">
      <c r="B185" s="70"/>
      <c r="C185" s="71"/>
      <c r="D185" s="71"/>
      <c r="E185" s="71"/>
      <c r="F185" s="71"/>
      <c r="G185" s="71"/>
      <c r="H185" s="71"/>
      <c r="I185" s="71"/>
      <c r="J185" s="71" t="s">
        <v>341</v>
      </c>
      <c r="K185" s="71"/>
      <c r="L185" s="71"/>
      <c r="M185" s="71"/>
      <c r="N185" s="71"/>
      <c r="O185" s="71" t="s">
        <v>469</v>
      </c>
      <c r="P185" s="71"/>
      <c r="Q185" s="71"/>
      <c r="R185" s="71" t="str">
        <f>TEXT(Q182+AP183,"#,##0")</f>
        <v>36,083</v>
      </c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  <c r="ED185" s="72"/>
      <c r="EE185" s="72"/>
      <c r="EF185" s="72"/>
      <c r="EG185" s="72"/>
      <c r="EH185" s="72"/>
      <c r="EI185" s="72"/>
      <c r="EJ185" s="72"/>
      <c r="EK185" s="72"/>
      <c r="EL185" s="81">
        <f>EN185+EM185+EO185</f>
        <v>36083</v>
      </c>
      <c r="EM185" s="79" t="str">
        <f>TEXT(AP183,"#,##0")</f>
        <v>4,203</v>
      </c>
      <c r="EN185" s="79" t="str">
        <f>TEXT(Q182,"#,##0")</f>
        <v>31,880</v>
      </c>
      <c r="EO185" s="80"/>
      <c r="EP185" s="78"/>
    </row>
    <row r="186" spans="2:146" ht="11.25" customHeight="1" x14ac:dyDescent="0.2">
      <c r="B186" s="70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  <c r="ED186" s="72"/>
      <c r="EE186" s="72"/>
      <c r="EF186" s="72"/>
      <c r="EG186" s="72"/>
      <c r="EH186" s="72"/>
      <c r="EI186" s="72"/>
      <c r="EJ186" s="72"/>
      <c r="EK186" s="72"/>
      <c r="EL186" s="79"/>
      <c r="EM186" s="79"/>
      <c r="EN186" s="79"/>
      <c r="EO186" s="80"/>
      <c r="EP186" s="78"/>
    </row>
    <row r="187" spans="2:146" ht="11.25" customHeight="1" x14ac:dyDescent="0.2">
      <c r="B187" s="75" t="s">
        <v>478</v>
      </c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  <c r="ED187" s="72"/>
      <c r="EE187" s="72"/>
      <c r="EF187" s="72"/>
      <c r="EG187" s="72"/>
      <c r="EH187" s="72"/>
      <c r="EI187" s="72"/>
      <c r="EJ187" s="72"/>
      <c r="EK187" s="72"/>
      <c r="EL187" s="76">
        <f>EL209</f>
        <v>28408</v>
      </c>
      <c r="EM187" s="76" t="str">
        <f>EM209</f>
        <v>3,941</v>
      </c>
      <c r="EN187" s="76" t="str">
        <f>EN209</f>
        <v>24,467</v>
      </c>
      <c r="EO187" s="80">
        <f>EO209</f>
        <v>0</v>
      </c>
      <c r="EP187" s="78"/>
    </row>
    <row r="188" spans="2:146" ht="11.25" customHeight="1" x14ac:dyDescent="0.2">
      <c r="B188" s="70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  <c r="ED188" s="72"/>
      <c r="EE188" s="72"/>
      <c r="EF188" s="72"/>
      <c r="EG188" s="72"/>
      <c r="EH188" s="72"/>
      <c r="EI188" s="72"/>
      <c r="EJ188" s="72"/>
      <c r="EK188" s="72"/>
      <c r="EL188" s="79"/>
      <c r="EM188" s="79"/>
      <c r="EN188" s="79"/>
      <c r="EO188" s="80"/>
      <c r="EP188" s="78"/>
    </row>
    <row r="189" spans="2:146" ht="11.25" customHeight="1" x14ac:dyDescent="0.2">
      <c r="B189" s="70"/>
      <c r="C189" s="71"/>
      <c r="D189" s="71" t="s">
        <v>315</v>
      </c>
      <c r="E189" s="71"/>
      <c r="F189" s="71"/>
      <c r="G189" s="71" t="s">
        <v>400</v>
      </c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  <c r="ED189" s="72"/>
      <c r="EE189" s="72"/>
      <c r="EF189" s="72"/>
      <c r="EG189" s="72"/>
      <c r="EH189" s="72"/>
      <c r="EI189" s="72"/>
      <c r="EJ189" s="72"/>
      <c r="EK189" s="72"/>
      <c r="EL189" s="79"/>
      <c r="EM189" s="79"/>
      <c r="EN189" s="79"/>
      <c r="EO189" s="80"/>
      <c r="EP189" s="78"/>
    </row>
    <row r="190" spans="2:146" ht="11.25" customHeight="1" x14ac:dyDescent="0.2">
      <c r="B190" s="70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  <c r="EJ190" s="72"/>
      <c r="EK190" s="72"/>
      <c r="EL190" s="79"/>
      <c r="EM190" s="79"/>
      <c r="EN190" s="79"/>
      <c r="EO190" s="80"/>
      <c r="EP190" s="78"/>
    </row>
    <row r="191" spans="2:146" ht="11.25" customHeight="1" x14ac:dyDescent="0.2">
      <c r="B191" s="70"/>
      <c r="C191" s="71"/>
      <c r="D191" s="71"/>
      <c r="E191" s="71"/>
      <c r="F191" s="71"/>
      <c r="G191" s="71" t="s">
        <v>73</v>
      </c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 t="s">
        <v>208</v>
      </c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 t="str">
        <f>TEXT(자재단가!R7,"#,##0.#######")</f>
        <v>3,864.</v>
      </c>
      <c r="AZ191" s="71"/>
      <c r="BA191" s="71"/>
      <c r="BB191" s="71"/>
      <c r="BC191" s="71"/>
      <c r="BD191" s="71"/>
      <c r="BE191" s="71"/>
      <c r="BF191" s="71"/>
      <c r="BG191" s="71" t="s">
        <v>542</v>
      </c>
      <c r="BH191" s="71"/>
      <c r="BI191" s="71"/>
      <c r="BJ191" s="71" t="str">
        <f>TEXT(1,"#,##0.#######")</f>
        <v>1.</v>
      </c>
      <c r="BK191" s="71" t="s">
        <v>464</v>
      </c>
      <c r="BL191" s="71"/>
      <c r="BM191" s="71"/>
      <c r="BN191" s="71" t="s">
        <v>254</v>
      </c>
      <c r="BO191" s="71"/>
      <c r="BP191" s="71" t="str">
        <f>TEXT(TRUNC(AY191*BJ191,1),"#,##0.#")</f>
        <v>3,864.</v>
      </c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  <c r="EJ191" s="72"/>
      <c r="EK191" s="72"/>
      <c r="EL191" s="79">
        <f>EN191+EM191+EO191</f>
        <v>3864</v>
      </c>
      <c r="EM191" s="79" t="str">
        <f>BP191</f>
        <v>3,864.</v>
      </c>
      <c r="EN191" s="79"/>
      <c r="EO191" s="80"/>
      <c r="EP191" s="78"/>
    </row>
    <row r="192" spans="2:146" ht="11.25" customHeight="1" x14ac:dyDescent="0.2">
      <c r="B192" s="70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  <c r="EJ192" s="72"/>
      <c r="EK192" s="72"/>
      <c r="EL192" s="79"/>
      <c r="EM192" s="79"/>
      <c r="EN192" s="79"/>
      <c r="EO192" s="80"/>
      <c r="EP192" s="78"/>
    </row>
    <row r="193" spans="2:146" ht="11.25" customHeight="1" x14ac:dyDescent="0.2">
      <c r="B193" s="70"/>
      <c r="C193" s="71"/>
      <c r="D193" s="71"/>
      <c r="E193" s="71"/>
      <c r="F193" s="71"/>
      <c r="G193" s="71" t="s">
        <v>170</v>
      </c>
      <c r="H193" s="71"/>
      <c r="I193" s="71"/>
      <c r="J193" s="71"/>
      <c r="K193" s="71"/>
      <c r="L193" s="71"/>
      <c r="M193" s="71"/>
      <c r="N193" s="71"/>
      <c r="O193" s="71" t="s">
        <v>336</v>
      </c>
      <c r="P193" s="71" t="s">
        <v>297</v>
      </c>
      <c r="Q193" s="71"/>
      <c r="R193" s="71"/>
      <c r="S193" s="71"/>
      <c r="T193" s="71"/>
      <c r="U193" s="71"/>
      <c r="V193" s="71"/>
      <c r="W193" s="71"/>
      <c r="X193" s="71"/>
      <c r="Y193" s="71" t="s">
        <v>617</v>
      </c>
      <c r="Z193" s="71" t="s">
        <v>144</v>
      </c>
      <c r="AA193" s="71" t="s">
        <v>80</v>
      </c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  <c r="ED193" s="72"/>
      <c r="EE193" s="72"/>
      <c r="EF193" s="72"/>
      <c r="EG193" s="72"/>
      <c r="EH193" s="72"/>
      <c r="EI193" s="72"/>
      <c r="EJ193" s="72"/>
      <c r="EK193" s="72"/>
      <c r="EL193" s="79"/>
      <c r="EM193" s="79"/>
      <c r="EN193" s="79"/>
      <c r="EO193" s="80"/>
      <c r="EP193" s="78"/>
    </row>
    <row r="194" spans="2:146" ht="11.25" customHeight="1" x14ac:dyDescent="0.2">
      <c r="B194" s="70"/>
      <c r="C194" s="71"/>
      <c r="D194" s="71"/>
      <c r="E194" s="71"/>
      <c r="F194" s="71"/>
      <c r="G194" s="71" t="str">
        <f>BP191</f>
        <v>3,864.</v>
      </c>
      <c r="H194" s="71"/>
      <c r="I194" s="71"/>
      <c r="J194" s="71"/>
      <c r="K194" s="71"/>
      <c r="L194" s="71"/>
      <c r="M194" s="71"/>
      <c r="N194" s="71"/>
      <c r="O194" s="71" t="s">
        <v>542</v>
      </c>
      <c r="P194" s="71"/>
      <c r="Q194" s="71"/>
      <c r="R194" s="71" t="str">
        <f>TEXT(2,"#,##0.#######")</f>
        <v>2.</v>
      </c>
      <c r="S194" s="71" t="s">
        <v>144</v>
      </c>
      <c r="T194" s="71"/>
      <c r="U194" s="71" t="s">
        <v>254</v>
      </c>
      <c r="V194" s="71"/>
      <c r="W194" s="71" t="str">
        <f>TEXT(TRUNC(BP191*(R194*(1/100)),1),"#,##0.#")</f>
        <v>77.2</v>
      </c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  <c r="EJ194" s="72"/>
      <c r="EK194" s="72"/>
      <c r="EL194" s="79">
        <f>EN194+EM194+EO194</f>
        <v>77.2</v>
      </c>
      <c r="EM194" s="79" t="str">
        <f>W194</f>
        <v>77.2</v>
      </c>
      <c r="EN194" s="79"/>
      <c r="EO194" s="80"/>
      <c r="EP194" s="78"/>
    </row>
    <row r="195" spans="2:146" ht="11.25" customHeight="1" x14ac:dyDescent="0.2">
      <c r="B195" s="70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  <c r="ED195" s="72"/>
      <c r="EE195" s="72"/>
      <c r="EF195" s="72"/>
      <c r="EG195" s="72"/>
      <c r="EH195" s="72"/>
      <c r="EI195" s="72"/>
      <c r="EJ195" s="72"/>
      <c r="EK195" s="72"/>
      <c r="EL195" s="79"/>
      <c r="EM195" s="79"/>
      <c r="EN195" s="79"/>
      <c r="EO195" s="80"/>
      <c r="EP195" s="78"/>
    </row>
    <row r="196" spans="2:146" ht="11.25" customHeight="1" x14ac:dyDescent="0.2">
      <c r="B196" s="70"/>
      <c r="C196" s="71"/>
      <c r="D196" s="71" t="s">
        <v>463</v>
      </c>
      <c r="E196" s="71"/>
      <c r="F196" s="71"/>
      <c r="G196" s="71" t="s">
        <v>415</v>
      </c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 t="s">
        <v>268</v>
      </c>
      <c r="W196" s="71"/>
      <c r="X196" s="71"/>
      <c r="Y196" s="71" t="s">
        <v>529</v>
      </c>
      <c r="Z196" s="71"/>
      <c r="AA196" s="71"/>
      <c r="AB196" s="71"/>
      <c r="AC196" s="71"/>
      <c r="AD196" s="71" t="s">
        <v>600</v>
      </c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9"/>
      <c r="EM196" s="79"/>
      <c r="EN196" s="79"/>
      <c r="EO196" s="80"/>
      <c r="EP196" s="78"/>
    </row>
    <row r="197" spans="2:146" ht="11.25" customHeight="1" x14ac:dyDescent="0.2">
      <c r="B197" s="70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9"/>
      <c r="EM197" s="79"/>
      <c r="EN197" s="79"/>
      <c r="EO197" s="80"/>
      <c r="EP197" s="78"/>
    </row>
    <row r="198" spans="2:146" ht="11.25" customHeight="1" x14ac:dyDescent="0.2">
      <c r="B198" s="70"/>
      <c r="C198" s="71"/>
      <c r="D198" s="71"/>
      <c r="E198" s="71"/>
      <c r="F198" s="71"/>
      <c r="G198" s="71" t="s">
        <v>231</v>
      </c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 t="s">
        <v>469</v>
      </c>
      <c r="S198" s="71"/>
      <c r="T198" s="71" t="str">
        <f>TEXT(노임단가!F7,"#,##0")</f>
        <v>275,790</v>
      </c>
      <c r="U198" s="71"/>
      <c r="V198" s="71"/>
      <c r="W198" s="71"/>
      <c r="X198" s="71"/>
      <c r="Y198" s="71"/>
      <c r="Z198" s="71"/>
      <c r="AA198" s="71"/>
      <c r="AB198" s="71"/>
      <c r="AC198" s="71"/>
      <c r="AD198" s="71" t="s">
        <v>542</v>
      </c>
      <c r="AE198" s="71"/>
      <c r="AF198" s="71" t="str">
        <f>TEXT(0.07,"#,##0.#######")</f>
        <v>0.07</v>
      </c>
      <c r="AG198" s="71"/>
      <c r="AH198" s="71"/>
      <c r="AI198" s="71"/>
      <c r="AJ198" s="71" t="s">
        <v>602</v>
      </c>
      <c r="AK198" s="71"/>
      <c r="AL198" s="71"/>
      <c r="AM198" s="71" t="s">
        <v>254</v>
      </c>
      <c r="AN198" s="71"/>
      <c r="AO198" s="71" t="str">
        <f>TEXT(TRUNC(T198*AF198,1),"#,##0.#######")</f>
        <v>19,305.3</v>
      </c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9"/>
      <c r="EM198" s="79"/>
      <c r="EN198" s="79"/>
      <c r="EO198" s="80"/>
      <c r="EP198" s="78"/>
    </row>
    <row r="199" spans="2:146" ht="11.25" customHeight="1" x14ac:dyDescent="0.2">
      <c r="B199" s="70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9"/>
      <c r="EM199" s="79"/>
      <c r="EN199" s="79"/>
      <c r="EO199" s="80"/>
      <c r="EP199" s="78"/>
    </row>
    <row r="200" spans="2:146" ht="11.25" customHeight="1" x14ac:dyDescent="0.2">
      <c r="B200" s="70"/>
      <c r="C200" s="71"/>
      <c r="D200" s="71"/>
      <c r="E200" s="71"/>
      <c r="F200" s="71"/>
      <c r="G200" s="71" t="s">
        <v>43</v>
      </c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 t="s">
        <v>469</v>
      </c>
      <c r="S200" s="71"/>
      <c r="T200" s="71"/>
      <c r="U200" s="71" t="str">
        <f>TEXT(노임단가!F4,"#,##0")</f>
        <v>172,068</v>
      </c>
      <c r="V200" s="71"/>
      <c r="W200" s="71"/>
      <c r="X200" s="71"/>
      <c r="Y200" s="71"/>
      <c r="Z200" s="71"/>
      <c r="AA200" s="71"/>
      <c r="AB200" s="71"/>
      <c r="AC200" s="71"/>
      <c r="AD200" s="71"/>
      <c r="AE200" s="71" t="s">
        <v>542</v>
      </c>
      <c r="AF200" s="71"/>
      <c r="AG200" s="71" t="str">
        <f>TEXT(0.03,"#,##0.#######")</f>
        <v>0.03</v>
      </c>
      <c r="AH200" s="71"/>
      <c r="AI200" s="71"/>
      <c r="AJ200" s="71"/>
      <c r="AK200" s="71" t="s">
        <v>602</v>
      </c>
      <c r="AL200" s="71"/>
      <c r="AM200" s="71"/>
      <c r="AN200" s="71" t="s">
        <v>254</v>
      </c>
      <c r="AO200" s="71"/>
      <c r="AP200" s="71" t="str">
        <f>TEXT(TRUNC(U200*AG200,1),"#,##0.#######")</f>
        <v>5,162.</v>
      </c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9"/>
      <c r="EM200" s="79"/>
      <c r="EN200" s="79"/>
      <c r="EO200" s="80"/>
      <c r="EP200" s="78"/>
    </row>
    <row r="201" spans="2:146" ht="11.25" customHeight="1" x14ac:dyDescent="0.2">
      <c r="B201" s="70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72"/>
      <c r="EK201" s="72"/>
      <c r="EL201" s="79"/>
      <c r="EM201" s="79"/>
      <c r="EN201" s="79"/>
      <c r="EO201" s="80"/>
      <c r="EP201" s="78"/>
    </row>
    <row r="202" spans="2:146" ht="11.25" customHeight="1" x14ac:dyDescent="0.2">
      <c r="B202" s="70"/>
      <c r="C202" s="71"/>
      <c r="D202" s="71"/>
      <c r="E202" s="71"/>
      <c r="F202" s="71"/>
      <c r="G202" s="71" t="s">
        <v>440</v>
      </c>
      <c r="H202" s="71"/>
      <c r="I202" s="71"/>
      <c r="J202" s="71"/>
      <c r="K202" s="71"/>
      <c r="L202" s="71"/>
      <c r="M202" s="71"/>
      <c r="N202" s="71"/>
      <c r="O202" s="71"/>
      <c r="P202" s="71" t="s">
        <v>469</v>
      </c>
      <c r="Q202" s="71"/>
      <c r="R202" s="71" t="str">
        <f>TEXT(TRUNC(AO198+AP200,1),"#,##0.#######")</f>
        <v>24,467.3</v>
      </c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9"/>
      <c r="EM202" s="79"/>
      <c r="EN202" s="79" t="str">
        <f>R202</f>
        <v>24,467.3</v>
      </c>
      <c r="EO202" s="80"/>
      <c r="EP202" s="78"/>
    </row>
    <row r="203" spans="2:146" ht="11.25" customHeight="1" x14ac:dyDescent="0.2">
      <c r="B203" s="70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  <c r="EJ203" s="72"/>
      <c r="EK203" s="72"/>
      <c r="EL203" s="79"/>
      <c r="EM203" s="79"/>
      <c r="EN203" s="79"/>
      <c r="EO203" s="80"/>
      <c r="EP203" s="78"/>
    </row>
    <row r="204" spans="2:146" ht="11.25" customHeight="1" x14ac:dyDescent="0.2">
      <c r="B204" s="70"/>
      <c r="C204" s="71"/>
      <c r="D204" s="71" t="s">
        <v>655</v>
      </c>
      <c r="E204" s="71"/>
      <c r="F204" s="71"/>
      <c r="G204" s="71" t="s">
        <v>437</v>
      </c>
      <c r="H204" s="71"/>
      <c r="I204" s="71"/>
      <c r="J204" s="71"/>
      <c r="K204" s="71" t="s">
        <v>341</v>
      </c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  <c r="EJ204" s="72"/>
      <c r="EK204" s="72"/>
      <c r="EL204" s="79"/>
      <c r="EM204" s="79"/>
      <c r="EN204" s="79"/>
      <c r="EO204" s="80"/>
      <c r="EP204" s="78"/>
    </row>
    <row r="205" spans="2:146" ht="11.25" customHeight="1" x14ac:dyDescent="0.2">
      <c r="B205" s="70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  <c r="EE205" s="72"/>
      <c r="EF205" s="72"/>
      <c r="EG205" s="72"/>
      <c r="EH205" s="72"/>
      <c r="EI205" s="72"/>
      <c r="EJ205" s="72"/>
      <c r="EK205" s="72"/>
      <c r="EL205" s="79"/>
      <c r="EM205" s="79"/>
      <c r="EN205" s="79"/>
      <c r="EO205" s="80"/>
      <c r="EP205" s="78"/>
    </row>
    <row r="206" spans="2:146" ht="11.25" customHeight="1" x14ac:dyDescent="0.2">
      <c r="B206" s="70"/>
      <c r="C206" s="71"/>
      <c r="D206" s="71"/>
      <c r="E206" s="71"/>
      <c r="F206" s="71"/>
      <c r="G206" s="71"/>
      <c r="H206" s="71" t="s">
        <v>543</v>
      </c>
      <c r="I206" s="71"/>
      <c r="J206" s="71"/>
      <c r="K206" s="71"/>
      <c r="L206" s="71"/>
      <c r="M206" s="71"/>
      <c r="N206" s="71"/>
      <c r="O206" s="71" t="s">
        <v>469</v>
      </c>
      <c r="P206" s="71"/>
      <c r="Q206" s="71" t="str">
        <f>TEXT(TRUNC(EN202,0),"#,##0")</f>
        <v>24,467</v>
      </c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  <c r="EJ206" s="72"/>
      <c r="EK206" s="72"/>
      <c r="EL206" s="79"/>
      <c r="EM206" s="79"/>
      <c r="EN206" s="79"/>
      <c r="EO206" s="80"/>
      <c r="EP206" s="78"/>
    </row>
    <row r="207" spans="2:146" ht="11.25" customHeight="1" x14ac:dyDescent="0.2">
      <c r="B207" s="70"/>
      <c r="C207" s="71"/>
      <c r="D207" s="71"/>
      <c r="E207" s="71"/>
      <c r="F207" s="71"/>
      <c r="G207" s="71"/>
      <c r="H207" s="71" t="s">
        <v>400</v>
      </c>
      <c r="I207" s="71"/>
      <c r="J207" s="71"/>
      <c r="K207" s="71"/>
      <c r="L207" s="71"/>
      <c r="M207" s="71"/>
      <c r="N207" s="71"/>
      <c r="O207" s="71" t="s">
        <v>469</v>
      </c>
      <c r="P207" s="71"/>
      <c r="Q207" s="71" t="str">
        <f>TEXT(EM191,"#,###.##")</f>
        <v>3,864.</v>
      </c>
      <c r="R207" s="71"/>
      <c r="S207" s="71"/>
      <c r="T207" s="71"/>
      <c r="U207" s="71"/>
      <c r="V207" s="71"/>
      <c r="W207" s="71" t="s">
        <v>133</v>
      </c>
      <c r="X207" s="71"/>
      <c r="Y207" s="71" t="str">
        <f>TEXT(EM194,"#,###.##")</f>
        <v>77.2</v>
      </c>
      <c r="Z207" s="71"/>
      <c r="AA207" s="71"/>
      <c r="AB207" s="71"/>
      <c r="AC207" s="71"/>
      <c r="AD207" s="71" t="s">
        <v>254</v>
      </c>
      <c r="AE207" s="71"/>
      <c r="AF207" s="71"/>
      <c r="AG207" s="71" t="str">
        <f>TEXT(TRUNC(EM191+EM194,0),"#,##0")</f>
        <v>3,941</v>
      </c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2"/>
      <c r="CZ207" s="72"/>
      <c r="DA207" s="72"/>
      <c r="DB207" s="72"/>
      <c r="DC207" s="72"/>
      <c r="DD207" s="72"/>
      <c r="DE207" s="72"/>
      <c r="DF207" s="72"/>
      <c r="DG207" s="72"/>
      <c r="DH207" s="72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2"/>
      <c r="EG207" s="72"/>
      <c r="EH207" s="72"/>
      <c r="EI207" s="72"/>
      <c r="EJ207" s="72"/>
      <c r="EK207" s="72"/>
      <c r="EL207" s="79"/>
      <c r="EM207" s="79"/>
      <c r="EN207" s="79"/>
      <c r="EO207" s="80"/>
      <c r="EP207" s="78"/>
    </row>
    <row r="208" spans="2:146" ht="11.25" customHeight="1" x14ac:dyDescent="0.2">
      <c r="B208" s="70"/>
      <c r="C208" s="71"/>
      <c r="D208" s="71"/>
      <c r="E208" s="71"/>
      <c r="F208" s="71"/>
      <c r="G208" s="71"/>
      <c r="H208" s="71" t="s">
        <v>147</v>
      </c>
      <c r="I208" s="71"/>
      <c r="J208" s="71"/>
      <c r="K208" s="71"/>
      <c r="L208" s="71" t="s">
        <v>342</v>
      </c>
      <c r="M208" s="71"/>
      <c r="N208" s="71"/>
      <c r="O208" s="71" t="s">
        <v>469</v>
      </c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  <c r="EJ208" s="72"/>
      <c r="EK208" s="72"/>
      <c r="EL208" s="79"/>
      <c r="EM208" s="79"/>
      <c r="EN208" s="79"/>
      <c r="EO208" s="80"/>
      <c r="EP208" s="78"/>
    </row>
    <row r="209" spans="2:146" ht="11.25" customHeight="1" x14ac:dyDescent="0.2">
      <c r="B209" s="70"/>
      <c r="C209" s="71"/>
      <c r="D209" s="71"/>
      <c r="E209" s="71"/>
      <c r="F209" s="71"/>
      <c r="G209" s="71"/>
      <c r="H209" s="71"/>
      <c r="I209" s="71"/>
      <c r="J209" s="71" t="s">
        <v>341</v>
      </c>
      <c r="K209" s="71"/>
      <c r="L209" s="71"/>
      <c r="M209" s="71"/>
      <c r="N209" s="71"/>
      <c r="O209" s="71" t="s">
        <v>469</v>
      </c>
      <c r="P209" s="71"/>
      <c r="Q209" s="71"/>
      <c r="R209" s="71" t="str">
        <f>TEXT(Q206+AG207,"#,##0")</f>
        <v>28,408</v>
      </c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81">
        <f>EN209+EM209+EO209</f>
        <v>28408</v>
      </c>
      <c r="EM209" s="79" t="str">
        <f>TEXT(AG207,"#,##0")</f>
        <v>3,941</v>
      </c>
      <c r="EN209" s="79" t="str">
        <f>TEXT(Q206,"#,##0")</f>
        <v>24,467</v>
      </c>
      <c r="EO209" s="80"/>
      <c r="EP209" s="78"/>
    </row>
    <row r="210" spans="2:146" ht="11.25" customHeight="1" x14ac:dyDescent="0.2">
      <c r="B210" s="70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2"/>
      <c r="CZ210" s="72"/>
      <c r="DA210" s="72"/>
      <c r="DB210" s="72"/>
      <c r="DC210" s="72"/>
      <c r="DD210" s="72"/>
      <c r="DE210" s="72"/>
      <c r="DF210" s="72"/>
      <c r="DG210" s="72"/>
      <c r="DH210" s="72"/>
      <c r="DI210" s="72"/>
      <c r="DJ210" s="72"/>
      <c r="DK210" s="72"/>
      <c r="DL210" s="72"/>
      <c r="DM210" s="72"/>
      <c r="DN210" s="72"/>
      <c r="DO210" s="72"/>
      <c r="DP210" s="72"/>
      <c r="DQ210" s="72"/>
      <c r="DR210" s="72"/>
      <c r="DS210" s="72"/>
      <c r="DT210" s="72"/>
      <c r="DU210" s="72"/>
      <c r="DV210" s="72"/>
      <c r="DW210" s="72"/>
      <c r="DX210" s="72"/>
      <c r="DY210" s="72"/>
      <c r="DZ210" s="72"/>
      <c r="EA210" s="72"/>
      <c r="EB210" s="72"/>
      <c r="EC210" s="72"/>
      <c r="ED210" s="72"/>
      <c r="EE210" s="72"/>
      <c r="EF210" s="72"/>
      <c r="EG210" s="72"/>
      <c r="EH210" s="72"/>
      <c r="EI210" s="72"/>
      <c r="EJ210" s="72"/>
      <c r="EK210" s="72"/>
      <c r="EL210" s="79"/>
      <c r="EM210" s="79"/>
      <c r="EN210" s="79"/>
      <c r="EO210" s="80"/>
      <c r="EP210" s="78"/>
    </row>
    <row r="211" spans="2:146" ht="11.25" customHeight="1" x14ac:dyDescent="0.2">
      <c r="B211" s="75" t="s">
        <v>164</v>
      </c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2"/>
      <c r="CZ211" s="72"/>
      <c r="DA211" s="72"/>
      <c r="DB211" s="72"/>
      <c r="DC211" s="72"/>
      <c r="DD211" s="72"/>
      <c r="DE211" s="72"/>
      <c r="DF211" s="72"/>
      <c r="DG211" s="72"/>
      <c r="DH211" s="72"/>
      <c r="DI211" s="72"/>
      <c r="DJ211" s="72"/>
      <c r="DK211" s="72"/>
      <c r="DL211" s="72"/>
      <c r="DM211" s="72"/>
      <c r="DN211" s="72"/>
      <c r="DO211" s="72"/>
      <c r="DP211" s="72"/>
      <c r="DQ211" s="72"/>
      <c r="DR211" s="72"/>
      <c r="DS211" s="72"/>
      <c r="DT211" s="72"/>
      <c r="DU211" s="72"/>
      <c r="DV211" s="72"/>
      <c r="DW211" s="72"/>
      <c r="DX211" s="72"/>
      <c r="DY211" s="72"/>
      <c r="DZ211" s="72"/>
      <c r="EA211" s="72"/>
      <c r="EB211" s="72"/>
      <c r="EC211" s="72"/>
      <c r="ED211" s="72"/>
      <c r="EE211" s="72"/>
      <c r="EF211" s="72"/>
      <c r="EG211" s="72"/>
      <c r="EH211" s="72"/>
      <c r="EI211" s="72"/>
      <c r="EJ211" s="72"/>
      <c r="EK211" s="72"/>
      <c r="EL211" s="76">
        <f>EL252</f>
        <v>236560</v>
      </c>
      <c r="EM211" s="76" t="str">
        <f>EM252</f>
        <v>19,532</v>
      </c>
      <c r="EN211" s="76" t="str">
        <f>EN252</f>
        <v>217,028</v>
      </c>
      <c r="EO211" s="80">
        <f>EO252</f>
        <v>0</v>
      </c>
      <c r="EP211" s="78"/>
    </row>
    <row r="212" spans="2:146" ht="11.25" customHeight="1" x14ac:dyDescent="0.2">
      <c r="B212" s="70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2"/>
      <c r="CZ212" s="72"/>
      <c r="DA212" s="72"/>
      <c r="DB212" s="72"/>
      <c r="DC212" s="72"/>
      <c r="DD212" s="72"/>
      <c r="DE212" s="72"/>
      <c r="DF212" s="72"/>
      <c r="DG212" s="72"/>
      <c r="DH212" s="72"/>
      <c r="DI212" s="72"/>
      <c r="DJ212" s="72"/>
      <c r="DK212" s="72"/>
      <c r="DL212" s="72"/>
      <c r="DM212" s="72"/>
      <c r="DN212" s="72"/>
      <c r="DO212" s="72"/>
      <c r="DP212" s="72"/>
      <c r="DQ212" s="72"/>
      <c r="DR212" s="72"/>
      <c r="DS212" s="72"/>
      <c r="DT212" s="72"/>
      <c r="DU212" s="72"/>
      <c r="DV212" s="72"/>
      <c r="DW212" s="72"/>
      <c r="DX212" s="72"/>
      <c r="DY212" s="72"/>
      <c r="DZ212" s="72"/>
      <c r="EA212" s="72"/>
      <c r="EB212" s="72"/>
      <c r="EC212" s="72"/>
      <c r="ED212" s="72"/>
      <c r="EE212" s="72"/>
      <c r="EF212" s="72"/>
      <c r="EG212" s="72"/>
      <c r="EH212" s="72"/>
      <c r="EI212" s="72"/>
      <c r="EJ212" s="72"/>
      <c r="EK212" s="72"/>
      <c r="EL212" s="79"/>
      <c r="EM212" s="79"/>
      <c r="EN212" s="79"/>
      <c r="EO212" s="80"/>
      <c r="EP212" s="78"/>
    </row>
    <row r="213" spans="2:146" ht="11.25" customHeight="1" x14ac:dyDescent="0.2">
      <c r="B213" s="70"/>
      <c r="C213" s="71"/>
      <c r="D213" s="71" t="s">
        <v>79</v>
      </c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2"/>
      <c r="CZ213" s="72"/>
      <c r="DA213" s="72"/>
      <c r="DB213" s="72"/>
      <c r="DC213" s="72"/>
      <c r="DD213" s="72"/>
      <c r="DE213" s="72"/>
      <c r="DF213" s="72"/>
      <c r="DG213" s="72"/>
      <c r="DH213" s="72"/>
      <c r="DI213" s="72"/>
      <c r="DJ213" s="72"/>
      <c r="DK213" s="72"/>
      <c r="DL213" s="72"/>
      <c r="DM213" s="72"/>
      <c r="DN213" s="72"/>
      <c r="DO213" s="72"/>
      <c r="DP213" s="72"/>
      <c r="DQ213" s="72"/>
      <c r="DR213" s="72"/>
      <c r="DS213" s="72"/>
      <c r="DT213" s="72"/>
      <c r="DU213" s="72"/>
      <c r="DV213" s="72"/>
      <c r="DW213" s="72"/>
      <c r="DX213" s="72"/>
      <c r="DY213" s="72"/>
      <c r="DZ213" s="72"/>
      <c r="EA213" s="72"/>
      <c r="EB213" s="72"/>
      <c r="EC213" s="72"/>
      <c r="ED213" s="72"/>
      <c r="EE213" s="72"/>
      <c r="EF213" s="72"/>
      <c r="EG213" s="72"/>
      <c r="EH213" s="72"/>
      <c r="EI213" s="72"/>
      <c r="EJ213" s="72"/>
      <c r="EK213" s="72"/>
      <c r="EL213" s="79"/>
      <c r="EM213" s="79"/>
      <c r="EN213" s="79"/>
      <c r="EO213" s="80"/>
      <c r="EP213" s="78"/>
    </row>
    <row r="214" spans="2:146" ht="11.25" customHeight="1" x14ac:dyDescent="0.2">
      <c r="B214" s="70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2"/>
      <c r="CZ214" s="72"/>
      <c r="DA214" s="72"/>
      <c r="DB214" s="72"/>
      <c r="DC214" s="72"/>
      <c r="DD214" s="72"/>
      <c r="DE214" s="72"/>
      <c r="DF214" s="72"/>
      <c r="DG214" s="72"/>
      <c r="DH214" s="72"/>
      <c r="DI214" s="72"/>
      <c r="DJ214" s="72"/>
      <c r="DK214" s="72"/>
      <c r="DL214" s="72"/>
      <c r="DM214" s="72"/>
      <c r="DN214" s="72"/>
      <c r="DO214" s="72"/>
      <c r="DP214" s="72"/>
      <c r="DQ214" s="72"/>
      <c r="DR214" s="72"/>
      <c r="DS214" s="72"/>
      <c r="DT214" s="72"/>
      <c r="DU214" s="72"/>
      <c r="DV214" s="72"/>
      <c r="DW214" s="72"/>
      <c r="DX214" s="72"/>
      <c r="DY214" s="72"/>
      <c r="DZ214" s="72"/>
      <c r="EA214" s="72"/>
      <c r="EB214" s="72"/>
      <c r="EC214" s="72"/>
      <c r="ED214" s="72"/>
      <c r="EE214" s="72"/>
      <c r="EF214" s="72"/>
      <c r="EG214" s="72"/>
      <c r="EH214" s="72"/>
      <c r="EI214" s="72"/>
      <c r="EJ214" s="72"/>
      <c r="EK214" s="72"/>
      <c r="EL214" s="79"/>
      <c r="EM214" s="79"/>
      <c r="EN214" s="79"/>
      <c r="EO214" s="80"/>
      <c r="EP214" s="78"/>
    </row>
    <row r="215" spans="2:146" ht="11.25" customHeight="1" x14ac:dyDescent="0.2">
      <c r="B215" s="70"/>
      <c r="C215" s="71"/>
      <c r="D215" s="71"/>
      <c r="E215" s="71" t="s">
        <v>22</v>
      </c>
      <c r="F215" s="71" t="s">
        <v>22</v>
      </c>
      <c r="G215" s="71" t="s">
        <v>22</v>
      </c>
      <c r="H215" s="71" t="s">
        <v>22</v>
      </c>
      <c r="I215" s="71" t="s">
        <v>22</v>
      </c>
      <c r="J215" s="71" t="s">
        <v>22</v>
      </c>
      <c r="K215" s="71" t="s">
        <v>22</v>
      </c>
      <c r="L215" s="71" t="s">
        <v>22</v>
      </c>
      <c r="M215" s="71" t="s">
        <v>22</v>
      </c>
      <c r="N215" s="71" t="s">
        <v>590</v>
      </c>
      <c r="O215" s="71"/>
      <c r="P215" s="71" t="s">
        <v>22</v>
      </c>
      <c r="Q215" s="71" t="s">
        <v>22</v>
      </c>
      <c r="R215" s="71" t="s">
        <v>22</v>
      </c>
      <c r="S215" s="71" t="s">
        <v>22</v>
      </c>
      <c r="T215" s="71" t="s">
        <v>22</v>
      </c>
      <c r="U215" s="71" t="s">
        <v>590</v>
      </c>
      <c r="V215" s="71"/>
      <c r="W215" s="71" t="s">
        <v>22</v>
      </c>
      <c r="X215" s="71" t="s">
        <v>22</v>
      </c>
      <c r="Y215" s="71" t="s">
        <v>22</v>
      </c>
      <c r="Z215" s="71" t="s">
        <v>22</v>
      </c>
      <c r="AA215" s="71" t="s">
        <v>22</v>
      </c>
      <c r="AB215" s="71" t="s">
        <v>22</v>
      </c>
      <c r="AC215" s="71" t="s">
        <v>22</v>
      </c>
      <c r="AD215" s="71" t="s">
        <v>22</v>
      </c>
      <c r="AE215" s="71" t="s">
        <v>22</v>
      </c>
      <c r="AF215" s="71" t="s">
        <v>22</v>
      </c>
      <c r="AG215" s="71" t="s">
        <v>22</v>
      </c>
      <c r="AH215" s="71" t="s">
        <v>22</v>
      </c>
      <c r="AI215" s="71" t="s">
        <v>22</v>
      </c>
      <c r="AJ215" s="71" t="s">
        <v>22</v>
      </c>
      <c r="AK215" s="71" t="s">
        <v>22</v>
      </c>
      <c r="AL215" s="71" t="s">
        <v>22</v>
      </c>
      <c r="AM215" s="71" t="s">
        <v>22</v>
      </c>
      <c r="AN215" s="71" t="s">
        <v>22</v>
      </c>
      <c r="AO215" s="71" t="s">
        <v>22</v>
      </c>
      <c r="AP215" s="71" t="s">
        <v>22</v>
      </c>
      <c r="AQ215" s="71" t="s">
        <v>22</v>
      </c>
      <c r="AR215" s="71" t="s">
        <v>22</v>
      </c>
      <c r="AS215" s="71" t="s">
        <v>22</v>
      </c>
      <c r="AT215" s="71" t="s">
        <v>22</v>
      </c>
      <c r="AU215" s="71" t="s">
        <v>22</v>
      </c>
      <c r="AV215" s="71" t="s">
        <v>22</v>
      </c>
      <c r="AW215" s="71" t="s">
        <v>22</v>
      </c>
      <c r="AX215" s="71" t="s">
        <v>22</v>
      </c>
      <c r="AY215" s="71" t="s">
        <v>22</v>
      </c>
      <c r="AZ215" s="71" t="s">
        <v>22</v>
      </c>
      <c r="BA215" s="71" t="s">
        <v>22</v>
      </c>
      <c r="BB215" s="71" t="s">
        <v>22</v>
      </c>
      <c r="BC215" s="71" t="s">
        <v>22</v>
      </c>
      <c r="BD215" s="71" t="s">
        <v>22</v>
      </c>
      <c r="BE215" s="71" t="s">
        <v>22</v>
      </c>
      <c r="BF215" s="71" t="s">
        <v>22</v>
      </c>
      <c r="BG215" s="71" t="s">
        <v>22</v>
      </c>
      <c r="BH215" s="71" t="s">
        <v>22</v>
      </c>
      <c r="BI215" s="71" t="s">
        <v>22</v>
      </c>
      <c r="BJ215" s="71" t="s">
        <v>22</v>
      </c>
      <c r="BK215" s="71" t="s">
        <v>22</v>
      </c>
      <c r="BL215" s="71" t="s">
        <v>22</v>
      </c>
      <c r="BM215" s="71" t="s">
        <v>22</v>
      </c>
      <c r="BN215" s="71" t="s">
        <v>22</v>
      </c>
      <c r="BO215" s="71" t="s">
        <v>22</v>
      </c>
      <c r="BP215" s="71" t="s">
        <v>22</v>
      </c>
      <c r="BQ215" s="71" t="s">
        <v>22</v>
      </c>
      <c r="BR215" s="71" t="s">
        <v>22</v>
      </c>
      <c r="BS215" s="71" t="s">
        <v>22</v>
      </c>
      <c r="BT215" s="71" t="s">
        <v>22</v>
      </c>
      <c r="BU215" s="71" t="s">
        <v>22</v>
      </c>
      <c r="BV215" s="71" t="s">
        <v>22</v>
      </c>
      <c r="BW215" s="71" t="s">
        <v>22</v>
      </c>
      <c r="BX215" s="71" t="s">
        <v>22</v>
      </c>
      <c r="BY215" s="71" t="s">
        <v>22</v>
      </c>
      <c r="BZ215" s="71" t="s">
        <v>22</v>
      </c>
      <c r="CA215" s="71" t="s">
        <v>22</v>
      </c>
      <c r="CB215" s="71" t="s">
        <v>22</v>
      </c>
      <c r="CC215" s="71" t="s">
        <v>22</v>
      </c>
      <c r="CD215" s="71" t="s">
        <v>22</v>
      </c>
      <c r="CE215" s="71" t="s">
        <v>22</v>
      </c>
      <c r="CF215" s="71" t="s">
        <v>22</v>
      </c>
      <c r="CG215" s="71" t="s">
        <v>22</v>
      </c>
      <c r="CH215" s="71" t="s">
        <v>22</v>
      </c>
      <c r="CI215" s="71" t="s">
        <v>22</v>
      </c>
      <c r="CJ215" s="71" t="s">
        <v>22</v>
      </c>
      <c r="CK215" s="71" t="s">
        <v>22</v>
      </c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2"/>
      <c r="CZ215" s="72"/>
      <c r="DA215" s="72"/>
      <c r="DB215" s="72"/>
      <c r="DC215" s="72"/>
      <c r="DD215" s="72"/>
      <c r="DE215" s="72"/>
      <c r="DF215" s="72"/>
      <c r="DG215" s="72"/>
      <c r="DH215" s="72"/>
      <c r="DI215" s="72"/>
      <c r="DJ215" s="72"/>
      <c r="DK215" s="72"/>
      <c r="DL215" s="72"/>
      <c r="DM215" s="72"/>
      <c r="DN215" s="72"/>
      <c r="DO215" s="72"/>
      <c r="DP215" s="72"/>
      <c r="DQ215" s="72"/>
      <c r="DR215" s="72"/>
      <c r="DS215" s="72"/>
      <c r="DT215" s="72"/>
      <c r="DU215" s="72"/>
      <c r="DV215" s="72"/>
      <c r="DW215" s="72"/>
      <c r="DX215" s="72"/>
      <c r="DY215" s="72"/>
      <c r="DZ215" s="72"/>
      <c r="EA215" s="72"/>
      <c r="EB215" s="72"/>
      <c r="EC215" s="72"/>
      <c r="ED215" s="72"/>
      <c r="EE215" s="72"/>
      <c r="EF215" s="72"/>
      <c r="EG215" s="72"/>
      <c r="EH215" s="72"/>
      <c r="EI215" s="72"/>
      <c r="EJ215" s="72"/>
      <c r="EK215" s="72"/>
      <c r="EL215" s="79"/>
      <c r="EM215" s="79"/>
      <c r="EN215" s="79"/>
      <c r="EO215" s="80"/>
      <c r="EP215" s="78"/>
    </row>
    <row r="216" spans="2:146" ht="11.25" customHeight="1" x14ac:dyDescent="0.2">
      <c r="B216" s="70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 t="s">
        <v>385</v>
      </c>
      <c r="O216" s="71"/>
      <c r="P216" s="71"/>
      <c r="Q216" s="71"/>
      <c r="R216" s="71"/>
      <c r="S216" s="71" t="str">
        <f>TEXT(-1,"#,##0.#######")</f>
        <v>-1.</v>
      </c>
      <c r="T216" s="71"/>
      <c r="U216" s="71" t="s">
        <v>483</v>
      </c>
      <c r="V216" s="71"/>
      <c r="W216" s="71" t="s">
        <v>22</v>
      </c>
      <c r="X216" s="71" t="s">
        <v>108</v>
      </c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 t="s">
        <v>39</v>
      </c>
      <c r="AN216" s="71"/>
      <c r="AO216" s="71"/>
      <c r="AP216" s="71"/>
      <c r="AQ216" s="71"/>
      <c r="AR216" s="71"/>
      <c r="AS216" s="71"/>
      <c r="AT216" s="71" t="s">
        <v>558</v>
      </c>
      <c r="AU216" s="71"/>
      <c r="AV216" s="71"/>
      <c r="AW216" s="71"/>
      <c r="AX216" s="71"/>
      <c r="AY216" s="71"/>
      <c r="AZ216" s="71"/>
      <c r="BA216" s="71"/>
      <c r="BB216" s="71"/>
      <c r="BC216" s="71" t="s">
        <v>634</v>
      </c>
      <c r="BD216" s="71"/>
      <c r="BE216" s="71"/>
      <c r="BF216" s="71"/>
      <c r="BG216" s="71"/>
      <c r="BH216" s="71"/>
      <c r="BI216" s="71"/>
      <c r="BJ216" s="71"/>
      <c r="BK216" s="71" t="s">
        <v>336</v>
      </c>
      <c r="BL216" s="71" t="s">
        <v>515</v>
      </c>
      <c r="BM216" s="71"/>
      <c r="BN216" s="71"/>
      <c r="BO216" s="71"/>
      <c r="BP216" s="71"/>
      <c r="BQ216" s="71"/>
      <c r="BR216" s="71"/>
      <c r="BS216" s="71"/>
      <c r="BT216" s="71"/>
      <c r="BU216" s="71"/>
      <c r="BV216" s="71" t="s">
        <v>359</v>
      </c>
      <c r="BW216" s="71" t="s">
        <v>504</v>
      </c>
      <c r="BX216" s="71" t="s">
        <v>20</v>
      </c>
      <c r="BY216" s="71"/>
      <c r="BZ216" s="71"/>
      <c r="CA216" s="71"/>
      <c r="CB216" s="71"/>
      <c r="CC216" s="71"/>
      <c r="CD216" s="71" t="s">
        <v>359</v>
      </c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2"/>
      <c r="CZ216" s="72"/>
      <c r="DA216" s="72"/>
      <c r="DB216" s="72"/>
      <c r="DC216" s="72"/>
      <c r="DD216" s="72"/>
      <c r="DE216" s="72"/>
      <c r="DF216" s="72"/>
      <c r="DG216" s="72"/>
      <c r="DH216" s="72"/>
      <c r="DI216" s="72"/>
      <c r="DJ216" s="72"/>
      <c r="DK216" s="72"/>
      <c r="DL216" s="72"/>
      <c r="DM216" s="72"/>
      <c r="DN216" s="72"/>
      <c r="DO216" s="72"/>
      <c r="DP216" s="72"/>
      <c r="DQ216" s="72"/>
      <c r="DR216" s="72"/>
      <c r="DS216" s="72"/>
      <c r="DT216" s="72"/>
      <c r="DU216" s="72"/>
      <c r="DV216" s="72"/>
      <c r="DW216" s="72"/>
      <c r="DX216" s="72"/>
      <c r="DY216" s="72"/>
      <c r="DZ216" s="72"/>
      <c r="EA216" s="72"/>
      <c r="EB216" s="72"/>
      <c r="EC216" s="72"/>
      <c r="ED216" s="72"/>
      <c r="EE216" s="72"/>
      <c r="EF216" s="72"/>
      <c r="EG216" s="72"/>
      <c r="EH216" s="72"/>
      <c r="EI216" s="72"/>
      <c r="EJ216" s="72"/>
      <c r="EK216" s="72"/>
      <c r="EL216" s="79"/>
      <c r="EM216" s="79"/>
      <c r="EN216" s="79"/>
      <c r="EO216" s="80"/>
      <c r="EP216" s="78"/>
    </row>
    <row r="217" spans="2:146" ht="11.25" customHeight="1" x14ac:dyDescent="0.2">
      <c r="B217" s="70"/>
      <c r="C217" s="71"/>
      <c r="D217" s="71"/>
      <c r="E217" s="71"/>
      <c r="F217" s="71"/>
      <c r="G217" s="71" t="s">
        <v>585</v>
      </c>
      <c r="H217" s="71"/>
      <c r="I217" s="71"/>
      <c r="J217" s="71"/>
      <c r="K217" s="71"/>
      <c r="L217" s="71" t="s">
        <v>615</v>
      </c>
      <c r="M217" s="71"/>
      <c r="N217" s="71"/>
      <c r="O217" s="71"/>
      <c r="P217" s="71"/>
      <c r="Q217" s="71"/>
      <c r="R217" s="71"/>
      <c r="S217" s="71"/>
      <c r="T217" s="71"/>
      <c r="U217" s="71" t="s">
        <v>483</v>
      </c>
      <c r="V217" s="71"/>
      <c r="W217" s="71"/>
      <c r="X217" s="71" t="s">
        <v>235</v>
      </c>
      <c r="Y217" s="71"/>
      <c r="Z217" s="71"/>
      <c r="AA217" s="71"/>
      <c r="AB217" s="71"/>
      <c r="AC217" s="71" t="s">
        <v>111</v>
      </c>
      <c r="AD217" s="71"/>
      <c r="AE217" s="71"/>
      <c r="AF217" s="71"/>
      <c r="AG217" s="71"/>
      <c r="AH217" s="71"/>
      <c r="AI217" s="71" t="s">
        <v>359</v>
      </c>
      <c r="AJ217" s="71"/>
      <c r="AK217" s="71" t="s">
        <v>358</v>
      </c>
      <c r="AL217" s="71"/>
      <c r="AM217" s="71"/>
      <c r="AN217" s="71"/>
      <c r="AO217" s="71"/>
      <c r="AP217" s="71"/>
      <c r="AQ217" s="71"/>
      <c r="AR217" s="71"/>
      <c r="AS217" s="71" t="s">
        <v>359</v>
      </c>
      <c r="AT217" s="71"/>
      <c r="AU217" s="71" t="s">
        <v>167</v>
      </c>
      <c r="AV217" s="71"/>
      <c r="AW217" s="71"/>
      <c r="AX217" s="71"/>
      <c r="AY217" s="71"/>
      <c r="AZ217" s="71" t="s">
        <v>269</v>
      </c>
      <c r="BA217" s="71"/>
      <c r="BB217" s="71" t="s">
        <v>80</v>
      </c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2"/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  <c r="EE217" s="72"/>
      <c r="EF217" s="72"/>
      <c r="EG217" s="72"/>
      <c r="EH217" s="72"/>
      <c r="EI217" s="72"/>
      <c r="EJ217" s="72"/>
      <c r="EK217" s="72"/>
      <c r="EL217" s="79"/>
      <c r="EM217" s="79"/>
      <c r="EN217" s="79"/>
      <c r="EO217" s="80"/>
      <c r="EP217" s="78"/>
    </row>
    <row r="218" spans="2:146" ht="11.25" customHeight="1" x14ac:dyDescent="0.2">
      <c r="B218" s="70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 t="s">
        <v>68</v>
      </c>
      <c r="O218" s="71"/>
      <c r="P218" s="71" t="s">
        <v>22</v>
      </c>
      <c r="Q218" s="71" t="s">
        <v>22</v>
      </c>
      <c r="R218" s="71" t="s">
        <v>22</v>
      </c>
      <c r="S218" s="71" t="s">
        <v>22</v>
      </c>
      <c r="T218" s="71" t="s">
        <v>22</v>
      </c>
      <c r="U218" s="71" t="s">
        <v>445</v>
      </c>
      <c r="V218" s="71"/>
      <c r="W218" s="71" t="s">
        <v>22</v>
      </c>
      <c r="X218" s="71" t="s">
        <v>22</v>
      </c>
      <c r="Y218" s="71" t="s">
        <v>22</v>
      </c>
      <c r="Z218" s="71" t="s">
        <v>22</v>
      </c>
      <c r="AA218" s="71" t="s">
        <v>22</v>
      </c>
      <c r="AB218" s="71" t="s">
        <v>22</v>
      </c>
      <c r="AC218" s="71" t="s">
        <v>22</v>
      </c>
      <c r="AD218" s="71" t="s">
        <v>22</v>
      </c>
      <c r="AE218" s="71" t="s">
        <v>22</v>
      </c>
      <c r="AF218" s="71" t="s">
        <v>22</v>
      </c>
      <c r="AG218" s="71" t="s">
        <v>22</v>
      </c>
      <c r="AH218" s="71" t="s">
        <v>22</v>
      </c>
      <c r="AI218" s="71" t="s">
        <v>22</v>
      </c>
      <c r="AJ218" s="71" t="s">
        <v>22</v>
      </c>
      <c r="AK218" s="71" t="s">
        <v>22</v>
      </c>
      <c r="AL218" s="71" t="s">
        <v>22</v>
      </c>
      <c r="AM218" s="71" t="s">
        <v>22</v>
      </c>
      <c r="AN218" s="71" t="s">
        <v>22</v>
      </c>
      <c r="AO218" s="71" t="s">
        <v>22</v>
      </c>
      <c r="AP218" s="71" t="s">
        <v>22</v>
      </c>
      <c r="AQ218" s="71" t="s">
        <v>22</v>
      </c>
      <c r="AR218" s="71" t="s">
        <v>22</v>
      </c>
      <c r="AS218" s="71" t="s">
        <v>22</v>
      </c>
      <c r="AT218" s="71" t="s">
        <v>22</v>
      </c>
      <c r="AU218" s="71" t="s">
        <v>22</v>
      </c>
      <c r="AV218" s="71" t="s">
        <v>22</v>
      </c>
      <c r="AW218" s="71" t="s">
        <v>22</v>
      </c>
      <c r="AX218" s="71" t="s">
        <v>22</v>
      </c>
      <c r="AY218" s="71" t="s">
        <v>22</v>
      </c>
      <c r="AZ218" s="71" t="s">
        <v>22</v>
      </c>
      <c r="BA218" s="71" t="s">
        <v>22</v>
      </c>
      <c r="BB218" s="71" t="s">
        <v>22</v>
      </c>
      <c r="BC218" s="71" t="s">
        <v>22</v>
      </c>
      <c r="BD218" s="71" t="s">
        <v>22</v>
      </c>
      <c r="BE218" s="71" t="s">
        <v>22</v>
      </c>
      <c r="BF218" s="71" t="s">
        <v>22</v>
      </c>
      <c r="BG218" s="71" t="s">
        <v>22</v>
      </c>
      <c r="BH218" s="71" t="s">
        <v>22</v>
      </c>
      <c r="BI218" s="71" t="s">
        <v>22</v>
      </c>
      <c r="BJ218" s="71" t="s">
        <v>22</v>
      </c>
      <c r="BK218" s="71" t="s">
        <v>22</v>
      </c>
      <c r="BL218" s="71" t="s">
        <v>22</v>
      </c>
      <c r="BM218" s="71" t="s">
        <v>22</v>
      </c>
      <c r="BN218" s="71" t="s">
        <v>22</v>
      </c>
      <c r="BO218" s="71" t="s">
        <v>22</v>
      </c>
      <c r="BP218" s="71" t="s">
        <v>22</v>
      </c>
      <c r="BQ218" s="71" t="s">
        <v>22</v>
      </c>
      <c r="BR218" s="71" t="s">
        <v>22</v>
      </c>
      <c r="BS218" s="71" t="s">
        <v>22</v>
      </c>
      <c r="BT218" s="71" t="s">
        <v>22</v>
      </c>
      <c r="BU218" s="71" t="s">
        <v>22</v>
      </c>
      <c r="BV218" s="71" t="s">
        <v>22</v>
      </c>
      <c r="BW218" s="71" t="s">
        <v>22</v>
      </c>
      <c r="BX218" s="71" t="s">
        <v>22</v>
      </c>
      <c r="BY218" s="71" t="s">
        <v>22</v>
      </c>
      <c r="BZ218" s="71" t="s">
        <v>22</v>
      </c>
      <c r="CA218" s="71" t="s">
        <v>22</v>
      </c>
      <c r="CB218" s="71" t="s">
        <v>22</v>
      </c>
      <c r="CC218" s="71" t="s">
        <v>22</v>
      </c>
      <c r="CD218" s="71" t="s">
        <v>22</v>
      </c>
      <c r="CE218" s="71" t="s">
        <v>22</v>
      </c>
      <c r="CF218" s="71" t="s">
        <v>22</v>
      </c>
      <c r="CG218" s="71" t="s">
        <v>22</v>
      </c>
      <c r="CH218" s="71" t="s">
        <v>22</v>
      </c>
      <c r="CI218" s="71" t="s">
        <v>22</v>
      </c>
      <c r="CJ218" s="71" t="s">
        <v>22</v>
      </c>
      <c r="CK218" s="71" t="s">
        <v>22</v>
      </c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2"/>
      <c r="DM218" s="72"/>
      <c r="DN218" s="72"/>
      <c r="DO218" s="72"/>
      <c r="DP218" s="72"/>
      <c r="DQ218" s="72"/>
      <c r="DR218" s="72"/>
      <c r="DS218" s="72"/>
      <c r="DT218" s="72"/>
      <c r="DU218" s="72"/>
      <c r="DV218" s="72"/>
      <c r="DW218" s="72"/>
      <c r="DX218" s="72"/>
      <c r="DY218" s="72"/>
      <c r="DZ218" s="72"/>
      <c r="EA218" s="72"/>
      <c r="EB218" s="72"/>
      <c r="EC218" s="72"/>
      <c r="ED218" s="72"/>
      <c r="EE218" s="72"/>
      <c r="EF218" s="72"/>
      <c r="EG218" s="72"/>
      <c r="EH218" s="72"/>
      <c r="EI218" s="72"/>
      <c r="EJ218" s="72"/>
      <c r="EK218" s="72"/>
      <c r="EL218" s="79"/>
      <c r="EM218" s="79"/>
      <c r="EN218" s="79"/>
      <c r="EO218" s="80"/>
      <c r="EP218" s="78"/>
    </row>
    <row r="219" spans="2:146" ht="11.25" customHeight="1" x14ac:dyDescent="0.2">
      <c r="B219" s="70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 t="s">
        <v>385</v>
      </c>
      <c r="O219" s="71"/>
      <c r="P219" s="71"/>
      <c r="Q219" s="71"/>
      <c r="R219" s="71" t="s">
        <v>22</v>
      </c>
      <c r="S219" s="71" t="s">
        <v>617</v>
      </c>
      <c r="T219" s="71"/>
      <c r="U219" s="71" t="s">
        <v>483</v>
      </c>
      <c r="V219" s="71"/>
      <c r="W219" s="71" t="s">
        <v>22</v>
      </c>
      <c r="X219" s="71" t="s">
        <v>626</v>
      </c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 t="s">
        <v>32</v>
      </c>
      <c r="AL219" s="71"/>
      <c r="AM219" s="71"/>
      <c r="AN219" s="71"/>
      <c r="AO219" s="71"/>
      <c r="AP219" s="71"/>
      <c r="AQ219" s="71"/>
      <c r="AR219" s="71" t="s">
        <v>551</v>
      </c>
      <c r="AS219" s="71"/>
      <c r="AT219" s="71"/>
      <c r="AU219" s="71"/>
      <c r="AV219" s="71"/>
      <c r="AW219" s="71" t="s">
        <v>268</v>
      </c>
      <c r="AX219" s="71"/>
      <c r="AY219" s="71"/>
      <c r="AZ219" s="71" t="s">
        <v>462</v>
      </c>
      <c r="BA219" s="71"/>
      <c r="BB219" s="71"/>
      <c r="BC219" s="71"/>
      <c r="BD219" s="71"/>
      <c r="BE219" s="71"/>
      <c r="BF219" s="71"/>
      <c r="BG219" s="71" t="s">
        <v>251</v>
      </c>
      <c r="BH219" s="71"/>
      <c r="BI219" s="71"/>
      <c r="BJ219" s="71"/>
      <c r="BK219" s="71"/>
      <c r="BL219" s="71"/>
      <c r="BM219" s="71"/>
      <c r="BN219" s="71"/>
      <c r="BO219" s="71"/>
      <c r="BP219" s="71" t="s">
        <v>391</v>
      </c>
      <c r="BQ219" s="71"/>
      <c r="BR219" s="71"/>
      <c r="BS219" s="71"/>
      <c r="BT219" s="71" t="s">
        <v>336</v>
      </c>
      <c r="BU219" s="71" t="s">
        <v>245</v>
      </c>
      <c r="BV219" s="71"/>
      <c r="BW219" s="71"/>
      <c r="BX219" s="71"/>
      <c r="BY219" s="71"/>
      <c r="BZ219" s="71"/>
      <c r="CA219" s="71" t="s">
        <v>599</v>
      </c>
      <c r="CB219" s="71"/>
      <c r="CC219" s="71"/>
      <c r="CD219" s="71"/>
      <c r="CE219" s="71"/>
      <c r="CF219" s="71"/>
      <c r="CG219" s="71"/>
      <c r="CH219" s="71"/>
      <c r="CI219" s="71" t="s">
        <v>269</v>
      </c>
      <c r="CJ219" s="71"/>
      <c r="CK219" s="71" t="s">
        <v>80</v>
      </c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2"/>
      <c r="CZ219" s="72"/>
      <c r="DA219" s="72"/>
      <c r="DB219" s="72"/>
      <c r="DC219" s="72"/>
      <c r="DD219" s="72"/>
      <c r="DE219" s="72"/>
      <c r="DF219" s="72"/>
      <c r="DG219" s="72"/>
      <c r="DH219" s="72"/>
      <c r="DI219" s="72"/>
      <c r="DJ219" s="72"/>
      <c r="DK219" s="72"/>
      <c r="DL219" s="72"/>
      <c r="DM219" s="72"/>
      <c r="DN219" s="72"/>
      <c r="DO219" s="72"/>
      <c r="DP219" s="72"/>
      <c r="DQ219" s="72"/>
      <c r="DR219" s="72"/>
      <c r="DS219" s="72"/>
      <c r="DT219" s="72"/>
      <c r="DU219" s="72"/>
      <c r="DV219" s="72"/>
      <c r="DW219" s="72"/>
      <c r="DX219" s="72"/>
      <c r="DY219" s="72"/>
      <c r="DZ219" s="72"/>
      <c r="EA219" s="72"/>
      <c r="EB219" s="72"/>
      <c r="EC219" s="72"/>
      <c r="ED219" s="72"/>
      <c r="EE219" s="72"/>
      <c r="EF219" s="72"/>
      <c r="EG219" s="72"/>
      <c r="EH219" s="72"/>
      <c r="EI219" s="72"/>
      <c r="EJ219" s="72"/>
      <c r="EK219" s="72"/>
      <c r="EL219" s="79"/>
      <c r="EM219" s="79"/>
      <c r="EN219" s="79"/>
      <c r="EO219" s="80"/>
      <c r="EP219" s="78"/>
    </row>
    <row r="220" spans="2:146" ht="11.25" customHeight="1" x14ac:dyDescent="0.2">
      <c r="B220" s="70"/>
      <c r="C220" s="71"/>
      <c r="D220" s="71"/>
      <c r="E220" s="71" t="s">
        <v>22</v>
      </c>
      <c r="F220" s="71" t="s">
        <v>22</v>
      </c>
      <c r="G220" s="71" t="s">
        <v>22</v>
      </c>
      <c r="H220" s="71" t="s">
        <v>22</v>
      </c>
      <c r="I220" s="71" t="s">
        <v>22</v>
      </c>
      <c r="J220" s="71" t="s">
        <v>22</v>
      </c>
      <c r="K220" s="71" t="s">
        <v>22</v>
      </c>
      <c r="L220" s="71" t="s">
        <v>22</v>
      </c>
      <c r="M220" s="71" t="s">
        <v>22</v>
      </c>
      <c r="N220" s="71" t="s">
        <v>425</v>
      </c>
      <c r="O220" s="71"/>
      <c r="P220" s="71" t="s">
        <v>22</v>
      </c>
      <c r="Q220" s="71" t="s">
        <v>22</v>
      </c>
      <c r="R220" s="71" t="s">
        <v>22</v>
      </c>
      <c r="S220" s="71" t="s">
        <v>22</v>
      </c>
      <c r="T220" s="71" t="s">
        <v>22</v>
      </c>
      <c r="U220" s="71" t="s">
        <v>425</v>
      </c>
      <c r="V220" s="71"/>
      <c r="W220" s="71" t="s">
        <v>22</v>
      </c>
      <c r="X220" s="71" t="s">
        <v>22</v>
      </c>
      <c r="Y220" s="71" t="s">
        <v>22</v>
      </c>
      <c r="Z220" s="71" t="s">
        <v>22</v>
      </c>
      <c r="AA220" s="71" t="s">
        <v>22</v>
      </c>
      <c r="AB220" s="71" t="s">
        <v>22</v>
      </c>
      <c r="AC220" s="71" t="s">
        <v>22</v>
      </c>
      <c r="AD220" s="71" t="s">
        <v>22</v>
      </c>
      <c r="AE220" s="71" t="s">
        <v>22</v>
      </c>
      <c r="AF220" s="71" t="s">
        <v>22</v>
      </c>
      <c r="AG220" s="71" t="s">
        <v>22</v>
      </c>
      <c r="AH220" s="71" t="s">
        <v>22</v>
      </c>
      <c r="AI220" s="71" t="s">
        <v>22</v>
      </c>
      <c r="AJ220" s="71" t="s">
        <v>22</v>
      </c>
      <c r="AK220" s="71" t="s">
        <v>22</v>
      </c>
      <c r="AL220" s="71" t="s">
        <v>22</v>
      </c>
      <c r="AM220" s="71" t="s">
        <v>22</v>
      </c>
      <c r="AN220" s="71" t="s">
        <v>22</v>
      </c>
      <c r="AO220" s="71" t="s">
        <v>22</v>
      </c>
      <c r="AP220" s="71" t="s">
        <v>22</v>
      </c>
      <c r="AQ220" s="71" t="s">
        <v>22</v>
      </c>
      <c r="AR220" s="71" t="s">
        <v>22</v>
      </c>
      <c r="AS220" s="71" t="s">
        <v>22</v>
      </c>
      <c r="AT220" s="71" t="s">
        <v>22</v>
      </c>
      <c r="AU220" s="71" t="s">
        <v>22</v>
      </c>
      <c r="AV220" s="71" t="s">
        <v>22</v>
      </c>
      <c r="AW220" s="71" t="s">
        <v>22</v>
      </c>
      <c r="AX220" s="71" t="s">
        <v>22</v>
      </c>
      <c r="AY220" s="71" t="s">
        <v>22</v>
      </c>
      <c r="AZ220" s="71" t="s">
        <v>22</v>
      </c>
      <c r="BA220" s="71" t="s">
        <v>22</v>
      </c>
      <c r="BB220" s="71" t="s">
        <v>22</v>
      </c>
      <c r="BC220" s="71" t="s">
        <v>22</v>
      </c>
      <c r="BD220" s="71" t="s">
        <v>22</v>
      </c>
      <c r="BE220" s="71" t="s">
        <v>22</v>
      </c>
      <c r="BF220" s="71" t="s">
        <v>22</v>
      </c>
      <c r="BG220" s="71" t="s">
        <v>22</v>
      </c>
      <c r="BH220" s="71" t="s">
        <v>22</v>
      </c>
      <c r="BI220" s="71" t="s">
        <v>22</v>
      </c>
      <c r="BJ220" s="71" t="s">
        <v>22</v>
      </c>
      <c r="BK220" s="71" t="s">
        <v>22</v>
      </c>
      <c r="BL220" s="71" t="s">
        <v>22</v>
      </c>
      <c r="BM220" s="71" t="s">
        <v>22</v>
      </c>
      <c r="BN220" s="71" t="s">
        <v>22</v>
      </c>
      <c r="BO220" s="71" t="s">
        <v>22</v>
      </c>
      <c r="BP220" s="71" t="s">
        <v>22</v>
      </c>
      <c r="BQ220" s="71" t="s">
        <v>22</v>
      </c>
      <c r="BR220" s="71" t="s">
        <v>22</v>
      </c>
      <c r="BS220" s="71" t="s">
        <v>22</v>
      </c>
      <c r="BT220" s="71" t="s">
        <v>22</v>
      </c>
      <c r="BU220" s="71" t="s">
        <v>22</v>
      </c>
      <c r="BV220" s="71" t="s">
        <v>22</v>
      </c>
      <c r="BW220" s="71" t="s">
        <v>22</v>
      </c>
      <c r="BX220" s="71" t="s">
        <v>22</v>
      </c>
      <c r="BY220" s="71" t="s">
        <v>22</v>
      </c>
      <c r="BZ220" s="71" t="s">
        <v>22</v>
      </c>
      <c r="CA220" s="71" t="s">
        <v>22</v>
      </c>
      <c r="CB220" s="71" t="s">
        <v>22</v>
      </c>
      <c r="CC220" s="71" t="s">
        <v>22</v>
      </c>
      <c r="CD220" s="71" t="s">
        <v>22</v>
      </c>
      <c r="CE220" s="71" t="s">
        <v>22</v>
      </c>
      <c r="CF220" s="71" t="s">
        <v>22</v>
      </c>
      <c r="CG220" s="71" t="s">
        <v>22</v>
      </c>
      <c r="CH220" s="71" t="s">
        <v>22</v>
      </c>
      <c r="CI220" s="71" t="s">
        <v>22</v>
      </c>
      <c r="CJ220" s="71" t="s">
        <v>22</v>
      </c>
      <c r="CK220" s="71" t="s">
        <v>22</v>
      </c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2"/>
      <c r="CZ220" s="72"/>
      <c r="DA220" s="72"/>
      <c r="DB220" s="72"/>
      <c r="DC220" s="72"/>
      <c r="DD220" s="72"/>
      <c r="DE220" s="72"/>
      <c r="DF220" s="72"/>
      <c r="DG220" s="72"/>
      <c r="DH220" s="72"/>
      <c r="DI220" s="72"/>
      <c r="DJ220" s="72"/>
      <c r="DK220" s="72"/>
      <c r="DL220" s="72"/>
      <c r="DM220" s="72"/>
      <c r="DN220" s="72"/>
      <c r="DO220" s="72"/>
      <c r="DP220" s="72"/>
      <c r="DQ220" s="72"/>
      <c r="DR220" s="72"/>
      <c r="DS220" s="72"/>
      <c r="DT220" s="72"/>
      <c r="DU220" s="72"/>
      <c r="DV220" s="72"/>
      <c r="DW220" s="72"/>
      <c r="DX220" s="72"/>
      <c r="DY220" s="72"/>
      <c r="DZ220" s="72"/>
      <c r="EA220" s="72"/>
      <c r="EB220" s="72"/>
      <c r="EC220" s="72"/>
      <c r="ED220" s="72"/>
      <c r="EE220" s="72"/>
      <c r="EF220" s="72"/>
      <c r="EG220" s="72"/>
      <c r="EH220" s="72"/>
      <c r="EI220" s="72"/>
      <c r="EJ220" s="72"/>
      <c r="EK220" s="72"/>
      <c r="EL220" s="79"/>
      <c r="EM220" s="79"/>
      <c r="EN220" s="79"/>
      <c r="EO220" s="80"/>
      <c r="EP220" s="78"/>
    </row>
    <row r="221" spans="2:146" ht="11.25" customHeight="1" x14ac:dyDescent="0.2">
      <c r="B221" s="70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2"/>
      <c r="CZ221" s="72"/>
      <c r="DA221" s="72"/>
      <c r="DB221" s="72"/>
      <c r="DC221" s="72"/>
      <c r="DD221" s="72"/>
      <c r="DE221" s="72"/>
      <c r="DF221" s="72"/>
      <c r="DG221" s="72"/>
      <c r="DH221" s="72"/>
      <c r="DI221" s="72"/>
      <c r="DJ221" s="72"/>
      <c r="DK221" s="72"/>
      <c r="DL221" s="72"/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  <c r="EE221" s="72"/>
      <c r="EF221" s="72"/>
      <c r="EG221" s="72"/>
      <c r="EH221" s="72"/>
      <c r="EI221" s="72"/>
      <c r="EJ221" s="72"/>
      <c r="EK221" s="72"/>
      <c r="EL221" s="79"/>
      <c r="EM221" s="79"/>
      <c r="EN221" s="79"/>
      <c r="EO221" s="80"/>
      <c r="EP221" s="78"/>
    </row>
    <row r="222" spans="2:146" ht="11.25" customHeight="1" x14ac:dyDescent="0.2">
      <c r="B222" s="70"/>
      <c r="C222" s="71"/>
      <c r="D222" s="71" t="s">
        <v>315</v>
      </c>
      <c r="E222" s="71"/>
      <c r="F222" s="71"/>
      <c r="G222" s="71" t="s">
        <v>629</v>
      </c>
      <c r="H222" s="71"/>
      <c r="I222" s="71"/>
      <c r="J222" s="71" t="s">
        <v>642</v>
      </c>
      <c r="K222" s="71"/>
      <c r="L222" s="71"/>
      <c r="M222" s="71" t="s">
        <v>342</v>
      </c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2"/>
      <c r="DM222" s="72"/>
      <c r="DN222" s="72"/>
      <c r="DO222" s="72"/>
      <c r="DP222" s="72"/>
      <c r="DQ222" s="72"/>
      <c r="DR222" s="72"/>
      <c r="DS222" s="72"/>
      <c r="DT222" s="72"/>
      <c r="DU222" s="72"/>
      <c r="DV222" s="72"/>
      <c r="DW222" s="72"/>
      <c r="DX222" s="72"/>
      <c r="DY222" s="72"/>
      <c r="DZ222" s="72"/>
      <c r="EA222" s="72"/>
      <c r="EB222" s="72"/>
      <c r="EC222" s="72"/>
      <c r="ED222" s="72"/>
      <c r="EE222" s="72"/>
      <c r="EF222" s="72"/>
      <c r="EG222" s="72"/>
      <c r="EH222" s="72"/>
      <c r="EI222" s="72"/>
      <c r="EJ222" s="72"/>
      <c r="EK222" s="72"/>
      <c r="EL222" s="79"/>
      <c r="EM222" s="79"/>
      <c r="EN222" s="79"/>
      <c r="EO222" s="80"/>
      <c r="EP222" s="78"/>
    </row>
    <row r="223" spans="2:146" ht="11.25" customHeight="1" x14ac:dyDescent="0.2">
      <c r="B223" s="70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2"/>
      <c r="CZ223" s="72"/>
      <c r="DA223" s="72"/>
      <c r="DB223" s="72"/>
      <c r="DC223" s="72"/>
      <c r="DD223" s="72"/>
      <c r="DE223" s="72"/>
      <c r="DF223" s="72"/>
      <c r="DG223" s="72"/>
      <c r="DH223" s="72"/>
      <c r="DI223" s="72"/>
      <c r="DJ223" s="72"/>
      <c r="DK223" s="72"/>
      <c r="DL223" s="72"/>
      <c r="DM223" s="72"/>
      <c r="DN223" s="72"/>
      <c r="DO223" s="72"/>
      <c r="DP223" s="72"/>
      <c r="DQ223" s="72"/>
      <c r="DR223" s="72"/>
      <c r="DS223" s="72"/>
      <c r="DT223" s="72"/>
      <c r="DU223" s="72"/>
      <c r="DV223" s="72"/>
      <c r="DW223" s="72"/>
      <c r="DX223" s="72"/>
      <c r="DY223" s="72"/>
      <c r="DZ223" s="72"/>
      <c r="EA223" s="72"/>
      <c r="EB223" s="72"/>
      <c r="EC223" s="72"/>
      <c r="ED223" s="72"/>
      <c r="EE223" s="72"/>
      <c r="EF223" s="72"/>
      <c r="EG223" s="72"/>
      <c r="EH223" s="72"/>
      <c r="EI223" s="72"/>
      <c r="EJ223" s="72"/>
      <c r="EK223" s="72"/>
      <c r="EL223" s="79"/>
      <c r="EM223" s="79"/>
      <c r="EN223" s="79"/>
      <c r="EO223" s="80"/>
      <c r="EP223" s="78"/>
    </row>
    <row r="224" spans="2:146" ht="11.25" customHeight="1" x14ac:dyDescent="0.2">
      <c r="B224" s="70"/>
      <c r="C224" s="71"/>
      <c r="D224" s="71"/>
      <c r="E224" s="71"/>
      <c r="F224" s="71"/>
      <c r="G224" s="71" t="s">
        <v>290</v>
      </c>
      <c r="H224" s="71"/>
      <c r="I224" s="71"/>
      <c r="J224" s="71"/>
      <c r="K224" s="71" t="s">
        <v>572</v>
      </c>
      <c r="L224" s="71"/>
      <c r="M224" s="71"/>
      <c r="N224" s="71" t="s">
        <v>469</v>
      </c>
      <c r="O224" s="71"/>
      <c r="P224" s="71" t="s">
        <v>336</v>
      </c>
      <c r="Q224" s="71" t="s">
        <v>12</v>
      </c>
      <c r="R224" s="71"/>
      <c r="S224" s="71"/>
      <c r="T224" s="71"/>
      <c r="U224" s="71"/>
      <c r="V224" s="71"/>
      <c r="W224" s="71"/>
      <c r="X224" s="71"/>
      <c r="Y224" s="71" t="s">
        <v>80</v>
      </c>
      <c r="Z224" s="71"/>
      <c r="AA224" s="71"/>
      <c r="AB224" s="71"/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72"/>
      <c r="DP224" s="72"/>
      <c r="DQ224" s="72"/>
      <c r="DR224" s="72"/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  <c r="EE224" s="72"/>
      <c r="EF224" s="72"/>
      <c r="EG224" s="72"/>
      <c r="EH224" s="72"/>
      <c r="EI224" s="72"/>
      <c r="EJ224" s="72"/>
      <c r="EK224" s="72"/>
      <c r="EL224" s="79"/>
      <c r="EM224" s="79"/>
      <c r="EN224" s="79"/>
      <c r="EO224" s="80"/>
      <c r="EP224" s="78"/>
    </row>
    <row r="225" spans="2:146" ht="11.25" customHeight="1" x14ac:dyDescent="0.2">
      <c r="B225" s="70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9"/>
      <c r="EM225" s="79"/>
      <c r="EN225" s="79"/>
      <c r="EO225" s="80"/>
      <c r="EP225" s="78"/>
    </row>
    <row r="226" spans="2:146" ht="11.25" customHeight="1" x14ac:dyDescent="0.2">
      <c r="B226" s="70"/>
      <c r="C226" s="71"/>
      <c r="D226" s="71" t="s">
        <v>463</v>
      </c>
      <c r="E226" s="71"/>
      <c r="F226" s="71"/>
      <c r="G226" s="71" t="s">
        <v>602</v>
      </c>
      <c r="H226" s="71"/>
      <c r="I226" s="71"/>
      <c r="J226" s="71" t="s">
        <v>132</v>
      </c>
      <c r="K226" s="71"/>
      <c r="L226" s="71"/>
      <c r="M226" s="71" t="s">
        <v>342</v>
      </c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9"/>
      <c r="EM226" s="79"/>
      <c r="EN226" s="79"/>
      <c r="EO226" s="80"/>
      <c r="EP226" s="78"/>
    </row>
    <row r="227" spans="2:146" ht="11.25" customHeight="1" x14ac:dyDescent="0.2">
      <c r="B227" s="70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9"/>
      <c r="EM227" s="79"/>
      <c r="EN227" s="79"/>
      <c r="EO227" s="80"/>
      <c r="EP227" s="78"/>
    </row>
    <row r="228" spans="2:146" ht="11.25" customHeight="1" x14ac:dyDescent="0.2">
      <c r="B228" s="70"/>
      <c r="C228" s="71"/>
      <c r="D228" s="71"/>
      <c r="E228" s="71" t="s">
        <v>477</v>
      </c>
      <c r="F228" s="71"/>
      <c r="G228" s="71" t="s">
        <v>459</v>
      </c>
      <c r="H228" s="71"/>
      <c r="I228" s="71" t="s">
        <v>265</v>
      </c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  <c r="EJ228" s="72"/>
      <c r="EK228" s="72"/>
      <c r="EL228" s="79"/>
      <c r="EM228" s="79"/>
      <c r="EN228" s="79"/>
      <c r="EO228" s="80"/>
      <c r="EP228" s="78"/>
    </row>
    <row r="229" spans="2:146" ht="11.25" customHeight="1" x14ac:dyDescent="0.2">
      <c r="B229" s="70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72"/>
      <c r="DP229" s="72"/>
      <c r="DQ229" s="72"/>
      <c r="DR229" s="72"/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  <c r="EE229" s="72"/>
      <c r="EF229" s="72"/>
      <c r="EG229" s="72"/>
      <c r="EH229" s="72"/>
      <c r="EI229" s="72"/>
      <c r="EJ229" s="72"/>
      <c r="EK229" s="72"/>
      <c r="EL229" s="79"/>
      <c r="EM229" s="79"/>
      <c r="EN229" s="79"/>
      <c r="EO229" s="80"/>
      <c r="EP229" s="78"/>
    </row>
    <row r="230" spans="2:146" ht="11.25" customHeight="1" x14ac:dyDescent="0.2">
      <c r="B230" s="70"/>
      <c r="C230" s="71"/>
      <c r="D230" s="71"/>
      <c r="E230" s="71"/>
      <c r="F230" s="71"/>
      <c r="G230" s="71" t="s">
        <v>48</v>
      </c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 t="s">
        <v>469</v>
      </c>
      <c r="S230" s="71"/>
      <c r="T230" s="71" t="str">
        <f>TEXT(노임단가!F8,"#,##0")</f>
        <v>268,187</v>
      </c>
      <c r="U230" s="71"/>
      <c r="V230" s="71"/>
      <c r="W230" s="71"/>
      <c r="X230" s="71"/>
      <c r="Y230" s="71"/>
      <c r="Z230" s="71"/>
      <c r="AA230" s="71"/>
      <c r="AB230" s="71"/>
      <c r="AC230" s="71"/>
      <c r="AD230" s="71" t="s">
        <v>542</v>
      </c>
      <c r="AE230" s="71"/>
      <c r="AF230" s="71"/>
      <c r="AG230" s="71" t="str">
        <f>TEXT(3,"#,##0.#######")</f>
        <v>3.</v>
      </c>
      <c r="AH230" s="71" t="s">
        <v>602</v>
      </c>
      <c r="AI230" s="71"/>
      <c r="AJ230" s="71"/>
      <c r="AK230" s="71" t="s">
        <v>112</v>
      </c>
      <c r="AL230" s="71"/>
      <c r="AM230" s="71" t="str">
        <f>TEXT(4.5,"#,##0.#######")</f>
        <v>4.5</v>
      </c>
      <c r="AN230" s="71"/>
      <c r="AO230" s="71"/>
      <c r="AP230" s="71" t="s">
        <v>222</v>
      </c>
      <c r="AQ230" s="71"/>
      <c r="AR230" s="71"/>
      <c r="AS230" s="71"/>
      <c r="AT230" s="71" t="s">
        <v>254</v>
      </c>
      <c r="AU230" s="71"/>
      <c r="AV230" s="71" t="str">
        <f>TEXT(TRUNC(T230*AG230/AM230,1),"#,##0.#######")</f>
        <v>178,791.3</v>
      </c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2"/>
      <c r="CZ230" s="72"/>
      <c r="DA230" s="72"/>
      <c r="DB230" s="72"/>
      <c r="DC230" s="72"/>
      <c r="DD230" s="72"/>
      <c r="DE230" s="72"/>
      <c r="DF230" s="72"/>
      <c r="DG230" s="72"/>
      <c r="DH230" s="72"/>
      <c r="DI230" s="72"/>
      <c r="DJ230" s="72"/>
      <c r="DK230" s="72"/>
      <c r="DL230" s="72"/>
      <c r="DM230" s="72"/>
      <c r="DN230" s="72"/>
      <c r="DO230" s="72"/>
      <c r="DP230" s="72"/>
      <c r="DQ230" s="72"/>
      <c r="DR230" s="72"/>
      <c r="DS230" s="72"/>
      <c r="DT230" s="72"/>
      <c r="DU230" s="72"/>
      <c r="DV230" s="72"/>
      <c r="DW230" s="72"/>
      <c r="DX230" s="72"/>
      <c r="DY230" s="72"/>
      <c r="DZ230" s="72"/>
      <c r="EA230" s="72"/>
      <c r="EB230" s="72"/>
      <c r="EC230" s="72"/>
      <c r="ED230" s="72"/>
      <c r="EE230" s="72"/>
      <c r="EF230" s="72"/>
      <c r="EG230" s="72"/>
      <c r="EH230" s="72"/>
      <c r="EI230" s="72"/>
      <c r="EJ230" s="72"/>
      <c r="EK230" s="72"/>
      <c r="EL230" s="79"/>
      <c r="EM230" s="79"/>
      <c r="EN230" s="79"/>
      <c r="EO230" s="80"/>
      <c r="EP230" s="78"/>
    </row>
    <row r="231" spans="2:146" ht="11.25" customHeight="1" x14ac:dyDescent="0.2">
      <c r="B231" s="70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2"/>
      <c r="CZ231" s="72"/>
      <c r="DA231" s="72"/>
      <c r="DB231" s="72"/>
      <c r="DC231" s="72"/>
      <c r="DD231" s="72"/>
      <c r="DE231" s="72"/>
      <c r="DF231" s="72"/>
      <c r="DG231" s="72"/>
      <c r="DH231" s="72"/>
      <c r="DI231" s="72"/>
      <c r="DJ231" s="72"/>
      <c r="DK231" s="72"/>
      <c r="DL231" s="72"/>
      <c r="DM231" s="72"/>
      <c r="DN231" s="72"/>
      <c r="DO231" s="72"/>
      <c r="DP231" s="72"/>
      <c r="DQ231" s="72"/>
      <c r="DR231" s="72"/>
      <c r="DS231" s="72"/>
      <c r="DT231" s="72"/>
      <c r="DU231" s="72"/>
      <c r="DV231" s="72"/>
      <c r="DW231" s="72"/>
      <c r="DX231" s="72"/>
      <c r="DY231" s="72"/>
      <c r="DZ231" s="72"/>
      <c r="EA231" s="72"/>
      <c r="EB231" s="72"/>
      <c r="EC231" s="72"/>
      <c r="ED231" s="72"/>
      <c r="EE231" s="72"/>
      <c r="EF231" s="72"/>
      <c r="EG231" s="72"/>
      <c r="EH231" s="72"/>
      <c r="EI231" s="72"/>
      <c r="EJ231" s="72"/>
      <c r="EK231" s="72"/>
      <c r="EL231" s="79"/>
      <c r="EM231" s="79"/>
      <c r="EN231" s="79"/>
      <c r="EO231" s="80"/>
      <c r="EP231" s="78"/>
    </row>
    <row r="232" spans="2:146" ht="11.25" customHeight="1" x14ac:dyDescent="0.2">
      <c r="B232" s="73"/>
      <c r="C232" s="64"/>
      <c r="D232" s="64"/>
      <c r="E232" s="64"/>
      <c r="F232" s="64"/>
      <c r="G232" s="64" t="s">
        <v>43</v>
      </c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 t="s">
        <v>469</v>
      </c>
      <c r="S232" s="64"/>
      <c r="T232" s="64" t="str">
        <f>TEXT(노임단가!F4,"#,##0")</f>
        <v>172,068</v>
      </c>
      <c r="U232" s="64"/>
      <c r="V232" s="64"/>
      <c r="W232" s="64"/>
      <c r="X232" s="64"/>
      <c r="Y232" s="64"/>
      <c r="Z232" s="64"/>
      <c r="AA232" s="64"/>
      <c r="AB232" s="64"/>
      <c r="AC232" s="64"/>
      <c r="AD232" s="64" t="s">
        <v>542</v>
      </c>
      <c r="AE232" s="64"/>
      <c r="AF232" s="64"/>
      <c r="AG232" s="64" t="str">
        <f>TEXT(1,"#,##0.#######")</f>
        <v>1.</v>
      </c>
      <c r="AH232" s="64" t="s">
        <v>602</v>
      </c>
      <c r="AI232" s="64"/>
      <c r="AJ232" s="64"/>
      <c r="AK232" s="64" t="s">
        <v>112</v>
      </c>
      <c r="AL232" s="64"/>
      <c r="AM232" s="64" t="str">
        <f>TEXT(4.5,"#,##0.#######")</f>
        <v>4.5</v>
      </c>
      <c r="AN232" s="64"/>
      <c r="AO232" s="64"/>
      <c r="AP232" s="64" t="s">
        <v>222</v>
      </c>
      <c r="AQ232" s="64"/>
      <c r="AR232" s="64"/>
      <c r="AS232" s="64"/>
      <c r="AT232" s="64" t="s">
        <v>254</v>
      </c>
      <c r="AU232" s="64"/>
      <c r="AV232" s="64"/>
      <c r="AW232" s="64" t="str">
        <f>TEXT(TRUNC(T232*AG232/AM232,1),"#,##0.#######")</f>
        <v>38,237.3</v>
      </c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4"/>
      <c r="CC232" s="64"/>
      <c r="CD232" s="64"/>
      <c r="CE232" s="64"/>
      <c r="CF232" s="64"/>
      <c r="CG232" s="64"/>
      <c r="CH232" s="64"/>
      <c r="CI232" s="64"/>
      <c r="CJ232" s="64"/>
      <c r="CK232" s="64"/>
      <c r="CL232" s="64"/>
      <c r="CM232" s="64"/>
      <c r="CN232" s="64"/>
      <c r="CO232" s="64"/>
      <c r="CP232" s="64"/>
      <c r="CQ232" s="64"/>
      <c r="CR232" s="64"/>
      <c r="CS232" s="64"/>
      <c r="CT232" s="64"/>
      <c r="CU232" s="64"/>
      <c r="CV232" s="64"/>
      <c r="CW232" s="64"/>
      <c r="CX232" s="6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  <c r="DK232" s="74"/>
      <c r="DL232" s="74"/>
      <c r="DM232" s="74"/>
      <c r="DN232" s="74"/>
      <c r="DO232" s="74"/>
      <c r="DP232" s="74"/>
      <c r="DQ232" s="74"/>
      <c r="DR232" s="74"/>
      <c r="DS232" s="74"/>
      <c r="DT232" s="74"/>
      <c r="DU232" s="74"/>
      <c r="DV232" s="74"/>
      <c r="DW232" s="74"/>
      <c r="DX232" s="74"/>
      <c r="DY232" s="74"/>
      <c r="DZ232" s="74"/>
      <c r="EA232" s="74"/>
      <c r="EB232" s="74"/>
      <c r="EC232" s="74"/>
      <c r="ED232" s="74"/>
      <c r="EE232" s="74"/>
      <c r="EF232" s="74"/>
      <c r="EG232" s="74"/>
      <c r="EH232" s="74"/>
      <c r="EI232" s="74"/>
      <c r="EJ232" s="74"/>
      <c r="EK232" s="74"/>
      <c r="EL232" s="82"/>
      <c r="EM232" s="82"/>
      <c r="EN232" s="82"/>
      <c r="EO232" s="83"/>
      <c r="EP232" s="78"/>
    </row>
    <row r="233" spans="2:146" ht="11.25" customHeight="1" x14ac:dyDescent="0.2">
      <c r="B233" s="70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2"/>
      <c r="CZ233" s="72"/>
      <c r="DA233" s="72"/>
      <c r="DB233" s="72"/>
      <c r="DC233" s="72"/>
      <c r="DD233" s="72"/>
      <c r="DE233" s="72"/>
      <c r="DF233" s="72"/>
      <c r="DG233" s="72"/>
      <c r="DH233" s="72"/>
      <c r="DI233" s="72"/>
      <c r="DJ233" s="72"/>
      <c r="DK233" s="72"/>
      <c r="DL233" s="72"/>
      <c r="DM233" s="72"/>
      <c r="DN233" s="72"/>
      <c r="DO233" s="72"/>
      <c r="DP233" s="72"/>
      <c r="DQ233" s="72"/>
      <c r="DR233" s="72"/>
      <c r="DS233" s="72"/>
      <c r="DT233" s="72"/>
      <c r="DU233" s="72"/>
      <c r="DV233" s="72"/>
      <c r="DW233" s="72"/>
      <c r="DX233" s="72"/>
      <c r="DY233" s="72"/>
      <c r="DZ233" s="72"/>
      <c r="EA233" s="72"/>
      <c r="EB233" s="72"/>
      <c r="EC233" s="72"/>
      <c r="ED233" s="72"/>
      <c r="EE233" s="72"/>
      <c r="EF233" s="72"/>
      <c r="EG233" s="72"/>
      <c r="EH233" s="72"/>
      <c r="EI233" s="72"/>
      <c r="EJ233" s="72"/>
      <c r="EK233" s="72"/>
      <c r="EL233" s="79"/>
      <c r="EM233" s="79"/>
      <c r="EN233" s="79"/>
      <c r="EO233" s="80"/>
      <c r="EP233" s="78"/>
    </row>
    <row r="234" spans="2:146" ht="11.25" customHeight="1" x14ac:dyDescent="0.2">
      <c r="B234" s="70"/>
      <c r="C234" s="71"/>
      <c r="D234" s="71"/>
      <c r="E234" s="71"/>
      <c r="F234" s="71"/>
      <c r="G234" s="71" t="s">
        <v>440</v>
      </c>
      <c r="H234" s="71"/>
      <c r="I234" s="71"/>
      <c r="J234" s="71"/>
      <c r="K234" s="71"/>
      <c r="L234" s="71"/>
      <c r="M234" s="71"/>
      <c r="N234" s="71"/>
      <c r="O234" s="71"/>
      <c r="P234" s="71" t="s">
        <v>469</v>
      </c>
      <c r="Q234" s="71"/>
      <c r="R234" s="71" t="str">
        <f>TEXT(TRUNC(AV230+AW232,1),"#,##0.#######")</f>
        <v>217,028.6</v>
      </c>
      <c r="S234" s="71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2"/>
      <c r="CZ234" s="72"/>
      <c r="DA234" s="72"/>
      <c r="DB234" s="72"/>
      <c r="DC234" s="72"/>
      <c r="DD234" s="72"/>
      <c r="DE234" s="72"/>
      <c r="DF234" s="72"/>
      <c r="DG234" s="72"/>
      <c r="DH234" s="72"/>
      <c r="DI234" s="72"/>
      <c r="DJ234" s="72"/>
      <c r="DK234" s="72"/>
      <c r="DL234" s="72"/>
      <c r="DM234" s="72"/>
      <c r="DN234" s="72"/>
      <c r="DO234" s="72"/>
      <c r="DP234" s="72"/>
      <c r="DQ234" s="72"/>
      <c r="DR234" s="72"/>
      <c r="DS234" s="72"/>
      <c r="DT234" s="72"/>
      <c r="DU234" s="72"/>
      <c r="DV234" s="72"/>
      <c r="DW234" s="72"/>
      <c r="DX234" s="72"/>
      <c r="DY234" s="72"/>
      <c r="DZ234" s="72"/>
      <c r="EA234" s="72"/>
      <c r="EB234" s="72"/>
      <c r="EC234" s="72"/>
      <c r="ED234" s="72"/>
      <c r="EE234" s="72"/>
      <c r="EF234" s="72"/>
      <c r="EG234" s="72"/>
      <c r="EH234" s="72"/>
      <c r="EI234" s="72"/>
      <c r="EJ234" s="72"/>
      <c r="EK234" s="72"/>
      <c r="EL234" s="79"/>
      <c r="EM234" s="79"/>
      <c r="EN234" s="79" t="str">
        <f>R234</f>
        <v>217,028.6</v>
      </c>
      <c r="EO234" s="80"/>
      <c r="EP234" s="78"/>
    </row>
    <row r="235" spans="2:146" ht="11.25" customHeight="1" x14ac:dyDescent="0.2">
      <c r="B235" s="70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2"/>
      <c r="CZ235" s="72"/>
      <c r="DA235" s="72"/>
      <c r="DB235" s="72"/>
      <c r="DC235" s="72"/>
      <c r="DD235" s="72"/>
      <c r="DE235" s="72"/>
      <c r="DF235" s="72"/>
      <c r="DG235" s="72"/>
      <c r="DH235" s="72"/>
      <c r="DI235" s="72"/>
      <c r="DJ235" s="72"/>
      <c r="DK235" s="72"/>
      <c r="DL235" s="72"/>
      <c r="DM235" s="72"/>
      <c r="DN235" s="72"/>
      <c r="DO235" s="72"/>
      <c r="DP235" s="72"/>
      <c r="DQ235" s="72"/>
      <c r="DR235" s="72"/>
      <c r="DS235" s="72"/>
      <c r="DT235" s="72"/>
      <c r="DU235" s="72"/>
      <c r="DV235" s="72"/>
      <c r="DW235" s="72"/>
      <c r="DX235" s="72"/>
      <c r="DY235" s="72"/>
      <c r="DZ235" s="72"/>
      <c r="EA235" s="72"/>
      <c r="EB235" s="72"/>
      <c r="EC235" s="72"/>
      <c r="ED235" s="72"/>
      <c r="EE235" s="72"/>
      <c r="EF235" s="72"/>
      <c r="EG235" s="72"/>
      <c r="EH235" s="72"/>
      <c r="EI235" s="72"/>
      <c r="EJ235" s="72"/>
      <c r="EK235" s="72"/>
      <c r="EL235" s="79"/>
      <c r="EM235" s="79"/>
      <c r="EN235" s="79"/>
      <c r="EO235" s="80"/>
      <c r="EP235" s="78"/>
    </row>
    <row r="236" spans="2:146" ht="11.25" customHeight="1" x14ac:dyDescent="0.2">
      <c r="B236" s="70"/>
      <c r="C236" s="71"/>
      <c r="D236" s="71"/>
      <c r="E236" s="71" t="s">
        <v>398</v>
      </c>
      <c r="F236" s="71"/>
      <c r="G236" s="71" t="s">
        <v>459</v>
      </c>
      <c r="H236" s="71"/>
      <c r="I236" s="71" t="s">
        <v>346</v>
      </c>
      <c r="J236" s="71"/>
      <c r="K236" s="71"/>
      <c r="L236" s="71"/>
      <c r="M236" s="71"/>
      <c r="N236" s="71"/>
      <c r="O236" s="71"/>
      <c r="P236" s="71"/>
      <c r="Q236" s="71"/>
      <c r="R236" s="71" t="s">
        <v>268</v>
      </c>
      <c r="S236" s="71"/>
      <c r="T236" s="71"/>
      <c r="U236" s="71" t="s">
        <v>63</v>
      </c>
      <c r="V236" s="71"/>
      <c r="W236" s="71"/>
      <c r="X236" s="71"/>
      <c r="Y236" s="71"/>
      <c r="Z236" s="71"/>
      <c r="AA236" s="71" t="s">
        <v>336</v>
      </c>
      <c r="AB236" s="71" t="s">
        <v>98</v>
      </c>
      <c r="AC236" s="71"/>
      <c r="AD236" s="71"/>
      <c r="AE236" s="71"/>
      <c r="AF236" s="71"/>
      <c r="AG236" s="71" t="s">
        <v>50</v>
      </c>
      <c r="AH236" s="71"/>
      <c r="AI236" s="71"/>
      <c r="AJ236" s="71"/>
      <c r="AK236" s="71"/>
      <c r="AL236" s="71"/>
      <c r="AM236" s="71"/>
      <c r="AN236" s="71"/>
      <c r="AO236" s="71" t="s">
        <v>80</v>
      </c>
      <c r="AP236" s="71" t="s">
        <v>205</v>
      </c>
      <c r="AQ236" s="71"/>
      <c r="AR236" s="71"/>
      <c r="AS236" s="71" t="s">
        <v>94</v>
      </c>
      <c r="AT236" s="71"/>
      <c r="AU236" s="71"/>
      <c r="AV236" s="71"/>
      <c r="AW236" s="71"/>
      <c r="AX236" s="71"/>
      <c r="AY236" s="71"/>
      <c r="AZ236" s="71"/>
      <c r="BA236" s="71"/>
      <c r="BB236" s="71" t="s">
        <v>336</v>
      </c>
      <c r="BC236" s="71" t="s">
        <v>360</v>
      </c>
      <c r="BD236" s="71"/>
      <c r="BE236" s="71"/>
      <c r="BF236" s="71"/>
      <c r="BG236" s="71"/>
      <c r="BH236" s="71"/>
      <c r="BI236" s="71"/>
      <c r="BJ236" s="71"/>
      <c r="BK236" s="71"/>
      <c r="BL236" s="71" t="s">
        <v>311</v>
      </c>
      <c r="BM236" s="71" t="s">
        <v>144</v>
      </c>
      <c r="BN236" s="71" t="s">
        <v>80</v>
      </c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2"/>
      <c r="CZ236" s="72"/>
      <c r="DA236" s="72"/>
      <c r="DB236" s="72"/>
      <c r="DC236" s="72"/>
      <c r="DD236" s="72"/>
      <c r="DE236" s="72"/>
      <c r="DF236" s="72"/>
      <c r="DG236" s="72"/>
      <c r="DH236" s="72"/>
      <c r="DI236" s="72"/>
      <c r="DJ236" s="72"/>
      <c r="DK236" s="72"/>
      <c r="DL236" s="72"/>
      <c r="DM236" s="72"/>
      <c r="DN236" s="72"/>
      <c r="DO236" s="72"/>
      <c r="DP236" s="72"/>
      <c r="DQ236" s="72"/>
      <c r="DR236" s="72"/>
      <c r="DS236" s="72"/>
      <c r="DT236" s="72"/>
      <c r="DU236" s="72"/>
      <c r="DV236" s="72"/>
      <c r="DW236" s="72"/>
      <c r="DX236" s="72"/>
      <c r="DY236" s="72"/>
      <c r="DZ236" s="72"/>
      <c r="EA236" s="72"/>
      <c r="EB236" s="72"/>
      <c r="EC236" s="72"/>
      <c r="ED236" s="72"/>
      <c r="EE236" s="72"/>
      <c r="EF236" s="72"/>
      <c r="EG236" s="72"/>
      <c r="EH236" s="72"/>
      <c r="EI236" s="72"/>
      <c r="EJ236" s="72"/>
      <c r="EK236" s="72"/>
      <c r="EL236" s="79"/>
      <c r="EM236" s="79"/>
      <c r="EN236" s="79"/>
      <c r="EO236" s="80"/>
      <c r="EP236" s="78"/>
    </row>
    <row r="237" spans="2:146" ht="11.25" customHeight="1" x14ac:dyDescent="0.2">
      <c r="B237" s="70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1"/>
      <c r="BJ237" s="71"/>
      <c r="BK237" s="71"/>
      <c r="BL237" s="71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2"/>
      <c r="CZ237" s="72"/>
      <c r="DA237" s="72"/>
      <c r="DB237" s="72"/>
      <c r="DC237" s="72"/>
      <c r="DD237" s="72"/>
      <c r="DE237" s="72"/>
      <c r="DF237" s="72"/>
      <c r="DG237" s="72"/>
      <c r="DH237" s="72"/>
      <c r="DI237" s="72"/>
      <c r="DJ237" s="72"/>
      <c r="DK237" s="72"/>
      <c r="DL237" s="72"/>
      <c r="DM237" s="72"/>
      <c r="DN237" s="72"/>
      <c r="DO237" s="72"/>
      <c r="DP237" s="72"/>
      <c r="DQ237" s="72"/>
      <c r="DR237" s="72"/>
      <c r="DS237" s="72"/>
      <c r="DT237" s="72"/>
      <c r="DU237" s="72"/>
      <c r="DV237" s="72"/>
      <c r="DW237" s="72"/>
      <c r="DX237" s="72"/>
      <c r="DY237" s="72"/>
      <c r="DZ237" s="72"/>
      <c r="EA237" s="72"/>
      <c r="EB237" s="72"/>
      <c r="EC237" s="72"/>
      <c r="ED237" s="72"/>
      <c r="EE237" s="72"/>
      <c r="EF237" s="72"/>
      <c r="EG237" s="72"/>
      <c r="EH237" s="72"/>
      <c r="EI237" s="72"/>
      <c r="EJ237" s="72"/>
      <c r="EK237" s="72"/>
      <c r="EL237" s="79"/>
      <c r="EM237" s="79"/>
      <c r="EN237" s="79"/>
      <c r="EO237" s="80"/>
      <c r="EP237" s="78"/>
    </row>
    <row r="238" spans="2:146" ht="11.25" customHeight="1" x14ac:dyDescent="0.2">
      <c r="B238" s="70"/>
      <c r="C238" s="71"/>
      <c r="D238" s="71"/>
      <c r="E238" s="71"/>
      <c r="F238" s="71"/>
      <c r="G238" s="71" t="str">
        <f>R234</f>
        <v>217,028.6</v>
      </c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 t="s">
        <v>542</v>
      </c>
      <c r="T238" s="71"/>
      <c r="U238" s="71"/>
      <c r="V238" s="71" t="str">
        <f>TEXT(9,"#,##0.#######")</f>
        <v>9.</v>
      </c>
      <c r="W238" s="71" t="s">
        <v>144</v>
      </c>
      <c r="X238" s="71"/>
      <c r="Y238" s="71" t="s">
        <v>254</v>
      </c>
      <c r="Z238" s="71"/>
      <c r="AA238" s="71" t="str">
        <f>TEXT(TRUNC(R234*(V238*(1/100)),1),"#,##0.#")</f>
        <v>19,532.5</v>
      </c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2"/>
      <c r="CZ238" s="72"/>
      <c r="DA238" s="72"/>
      <c r="DB238" s="72"/>
      <c r="DC238" s="72"/>
      <c r="DD238" s="72"/>
      <c r="DE238" s="72"/>
      <c r="DF238" s="72"/>
      <c r="DG238" s="72"/>
      <c r="DH238" s="72"/>
      <c r="DI238" s="72"/>
      <c r="DJ238" s="72"/>
      <c r="DK238" s="72"/>
      <c r="DL238" s="72"/>
      <c r="DM238" s="72"/>
      <c r="DN238" s="72"/>
      <c r="DO238" s="72"/>
      <c r="DP238" s="72"/>
      <c r="DQ238" s="72"/>
      <c r="DR238" s="72"/>
      <c r="DS238" s="72"/>
      <c r="DT238" s="72"/>
      <c r="DU238" s="72"/>
      <c r="DV238" s="72"/>
      <c r="DW238" s="72"/>
      <c r="DX238" s="72"/>
      <c r="DY238" s="72"/>
      <c r="DZ238" s="72"/>
      <c r="EA238" s="72"/>
      <c r="EB238" s="72"/>
      <c r="EC238" s="72"/>
      <c r="ED238" s="72"/>
      <c r="EE238" s="72"/>
      <c r="EF238" s="72"/>
      <c r="EG238" s="72"/>
      <c r="EH238" s="72"/>
      <c r="EI238" s="72"/>
      <c r="EJ238" s="72"/>
      <c r="EK238" s="72"/>
      <c r="EL238" s="79">
        <f>EN238+EM238+EO238</f>
        <v>19532.5</v>
      </c>
      <c r="EM238" s="79" t="str">
        <f>AA238</f>
        <v>19,532.5</v>
      </c>
      <c r="EN238" s="79"/>
      <c r="EO238" s="80"/>
      <c r="EP238" s="78"/>
    </row>
    <row r="239" spans="2:146" ht="11.25" customHeight="1" x14ac:dyDescent="0.2">
      <c r="B239" s="70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2"/>
      <c r="CZ239" s="72"/>
      <c r="DA239" s="72"/>
      <c r="DB239" s="72"/>
      <c r="DC239" s="72"/>
      <c r="DD239" s="72"/>
      <c r="DE239" s="72"/>
      <c r="DF239" s="72"/>
      <c r="DG239" s="72"/>
      <c r="DH239" s="72"/>
      <c r="DI239" s="72"/>
      <c r="DJ239" s="72"/>
      <c r="DK239" s="72"/>
      <c r="DL239" s="72"/>
      <c r="DM239" s="72"/>
      <c r="DN239" s="72"/>
      <c r="DO239" s="72"/>
      <c r="DP239" s="72"/>
      <c r="DQ239" s="72"/>
      <c r="DR239" s="72"/>
      <c r="DS239" s="72"/>
      <c r="DT239" s="72"/>
      <c r="DU239" s="72"/>
      <c r="DV239" s="72"/>
      <c r="DW239" s="72"/>
      <c r="DX239" s="72"/>
      <c r="DY239" s="72"/>
      <c r="DZ239" s="72"/>
      <c r="EA239" s="72"/>
      <c r="EB239" s="72"/>
      <c r="EC239" s="72"/>
      <c r="ED239" s="72"/>
      <c r="EE239" s="72"/>
      <c r="EF239" s="72"/>
      <c r="EG239" s="72"/>
      <c r="EH239" s="72"/>
      <c r="EI239" s="72"/>
      <c r="EJ239" s="72"/>
      <c r="EK239" s="72"/>
      <c r="EL239" s="79"/>
      <c r="EM239" s="79"/>
      <c r="EN239" s="79"/>
      <c r="EO239" s="80"/>
      <c r="EP239" s="78"/>
    </row>
    <row r="240" spans="2:146" ht="11.25" customHeight="1" x14ac:dyDescent="0.2">
      <c r="B240" s="70"/>
      <c r="C240" s="71"/>
      <c r="D240" s="71"/>
      <c r="E240" s="71" t="s">
        <v>186</v>
      </c>
      <c r="F240" s="71"/>
      <c r="G240" s="71" t="s">
        <v>459</v>
      </c>
      <c r="H240" s="71"/>
      <c r="I240" s="71" t="s">
        <v>252</v>
      </c>
      <c r="J240" s="71"/>
      <c r="K240" s="71"/>
      <c r="L240" s="71"/>
      <c r="M240" s="71" t="s">
        <v>341</v>
      </c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2"/>
      <c r="CZ240" s="72"/>
      <c r="DA240" s="72"/>
      <c r="DB240" s="72"/>
      <c r="DC240" s="72"/>
      <c r="DD240" s="72"/>
      <c r="DE240" s="72"/>
      <c r="DF240" s="72"/>
      <c r="DG240" s="72"/>
      <c r="DH240" s="72"/>
      <c r="DI240" s="72"/>
      <c r="DJ240" s="72"/>
      <c r="DK240" s="72"/>
      <c r="DL240" s="72"/>
      <c r="DM240" s="72"/>
      <c r="DN240" s="72"/>
      <c r="DO240" s="72"/>
      <c r="DP240" s="72"/>
      <c r="DQ240" s="72"/>
      <c r="DR240" s="72"/>
      <c r="DS240" s="72"/>
      <c r="DT240" s="72"/>
      <c r="DU240" s="72"/>
      <c r="DV240" s="72"/>
      <c r="DW240" s="72"/>
      <c r="DX240" s="72"/>
      <c r="DY240" s="72"/>
      <c r="DZ240" s="72"/>
      <c r="EA240" s="72"/>
      <c r="EB240" s="72"/>
      <c r="EC240" s="72"/>
      <c r="ED240" s="72"/>
      <c r="EE240" s="72"/>
      <c r="EF240" s="72"/>
      <c r="EG240" s="72"/>
      <c r="EH240" s="72"/>
      <c r="EI240" s="72"/>
      <c r="EJ240" s="72"/>
      <c r="EK240" s="72"/>
      <c r="EL240" s="79"/>
      <c r="EM240" s="79"/>
      <c r="EN240" s="79"/>
      <c r="EO240" s="80"/>
      <c r="EP240" s="78"/>
    </row>
    <row r="241" spans="2:146" ht="11.25" customHeight="1" x14ac:dyDescent="0.2">
      <c r="B241" s="70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2"/>
      <c r="CZ241" s="72"/>
      <c r="DA241" s="72"/>
      <c r="DB241" s="72"/>
      <c r="DC241" s="72"/>
      <c r="DD241" s="72"/>
      <c r="DE241" s="72"/>
      <c r="DF241" s="72"/>
      <c r="DG241" s="72"/>
      <c r="DH241" s="72"/>
      <c r="DI241" s="72"/>
      <c r="DJ241" s="72"/>
      <c r="DK241" s="72"/>
      <c r="DL241" s="72"/>
      <c r="DM241" s="72"/>
      <c r="DN241" s="72"/>
      <c r="DO241" s="72"/>
      <c r="DP241" s="72"/>
      <c r="DQ241" s="72"/>
      <c r="DR241" s="72"/>
      <c r="DS241" s="72"/>
      <c r="DT241" s="72"/>
      <c r="DU241" s="72"/>
      <c r="DV241" s="72"/>
      <c r="DW241" s="72"/>
      <c r="DX241" s="72"/>
      <c r="DY241" s="72"/>
      <c r="DZ241" s="72"/>
      <c r="EA241" s="72"/>
      <c r="EB241" s="72"/>
      <c r="EC241" s="72"/>
      <c r="ED241" s="72"/>
      <c r="EE241" s="72"/>
      <c r="EF241" s="72"/>
      <c r="EG241" s="72"/>
      <c r="EH241" s="72"/>
      <c r="EI241" s="72"/>
      <c r="EJ241" s="72"/>
      <c r="EK241" s="72"/>
      <c r="EL241" s="79"/>
      <c r="EM241" s="79"/>
      <c r="EN241" s="79"/>
      <c r="EO241" s="80"/>
      <c r="EP241" s="78"/>
    </row>
    <row r="242" spans="2:146" ht="11.25" customHeight="1" x14ac:dyDescent="0.2">
      <c r="B242" s="70"/>
      <c r="C242" s="71"/>
      <c r="D242" s="71"/>
      <c r="E242" s="71"/>
      <c r="F242" s="71"/>
      <c r="G242" s="71"/>
      <c r="H242" s="71" t="s">
        <v>543</v>
      </c>
      <c r="I242" s="71"/>
      <c r="J242" s="71"/>
      <c r="K242" s="71"/>
      <c r="L242" s="71"/>
      <c r="M242" s="71"/>
      <c r="N242" s="71"/>
      <c r="O242" s="71" t="s">
        <v>469</v>
      </c>
      <c r="P242" s="71"/>
      <c r="Q242" s="71" t="str">
        <f>EN234</f>
        <v>217,028.6</v>
      </c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2"/>
      <c r="CZ242" s="72"/>
      <c r="DA242" s="72"/>
      <c r="DB242" s="72"/>
      <c r="DC242" s="72"/>
      <c r="DD242" s="72"/>
      <c r="DE242" s="72"/>
      <c r="DF242" s="72"/>
      <c r="DG242" s="72"/>
      <c r="DH242" s="72"/>
      <c r="DI242" s="72"/>
      <c r="DJ242" s="72"/>
      <c r="DK242" s="72"/>
      <c r="DL242" s="72"/>
      <c r="DM242" s="72"/>
      <c r="DN242" s="72"/>
      <c r="DO242" s="72"/>
      <c r="DP242" s="72"/>
      <c r="DQ242" s="72"/>
      <c r="DR242" s="72"/>
      <c r="DS242" s="72"/>
      <c r="DT242" s="72"/>
      <c r="DU242" s="72"/>
      <c r="DV242" s="72"/>
      <c r="DW242" s="72"/>
      <c r="DX242" s="72"/>
      <c r="DY242" s="72"/>
      <c r="DZ242" s="72"/>
      <c r="EA242" s="72"/>
      <c r="EB242" s="72"/>
      <c r="EC242" s="72"/>
      <c r="ED242" s="72"/>
      <c r="EE242" s="72"/>
      <c r="EF242" s="72"/>
      <c r="EG242" s="72"/>
      <c r="EH242" s="72"/>
      <c r="EI242" s="72"/>
      <c r="EJ242" s="72"/>
      <c r="EK242" s="72"/>
      <c r="EL242" s="79"/>
      <c r="EM242" s="79"/>
      <c r="EN242" s="79"/>
      <c r="EO242" s="80"/>
      <c r="EP242" s="78"/>
    </row>
    <row r="243" spans="2:146" ht="11.25" customHeight="1" x14ac:dyDescent="0.2">
      <c r="B243" s="70"/>
      <c r="C243" s="71"/>
      <c r="D243" s="71"/>
      <c r="E243" s="71"/>
      <c r="F243" s="71"/>
      <c r="G243" s="71"/>
      <c r="H243" s="71" t="s">
        <v>400</v>
      </c>
      <c r="I243" s="71"/>
      <c r="J243" s="71"/>
      <c r="K243" s="71"/>
      <c r="L243" s="71"/>
      <c r="M243" s="71"/>
      <c r="N243" s="71"/>
      <c r="O243" s="71" t="s">
        <v>469</v>
      </c>
      <c r="P243" s="71"/>
      <c r="Q243" s="71" t="str">
        <f>EM238</f>
        <v>19,532.5</v>
      </c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2"/>
      <c r="CZ243" s="72"/>
      <c r="DA243" s="72"/>
      <c r="DB243" s="72"/>
      <c r="DC243" s="72"/>
      <c r="DD243" s="72"/>
      <c r="DE243" s="72"/>
      <c r="DF243" s="72"/>
      <c r="DG243" s="72"/>
      <c r="DH243" s="72"/>
      <c r="DI243" s="72"/>
      <c r="DJ243" s="72"/>
      <c r="DK243" s="72"/>
      <c r="DL243" s="72"/>
      <c r="DM243" s="72"/>
      <c r="DN243" s="72"/>
      <c r="DO243" s="72"/>
      <c r="DP243" s="72"/>
      <c r="DQ243" s="72"/>
      <c r="DR243" s="72"/>
      <c r="DS243" s="72"/>
      <c r="DT243" s="72"/>
      <c r="DU243" s="72"/>
      <c r="DV243" s="72"/>
      <c r="DW243" s="72"/>
      <c r="DX243" s="72"/>
      <c r="DY243" s="72"/>
      <c r="DZ243" s="72"/>
      <c r="EA243" s="72"/>
      <c r="EB243" s="72"/>
      <c r="EC243" s="72"/>
      <c r="ED243" s="72"/>
      <c r="EE243" s="72"/>
      <c r="EF243" s="72"/>
      <c r="EG243" s="72"/>
      <c r="EH243" s="72"/>
      <c r="EI243" s="72"/>
      <c r="EJ243" s="72"/>
      <c r="EK243" s="72"/>
      <c r="EL243" s="79"/>
      <c r="EM243" s="79"/>
      <c r="EN243" s="79"/>
      <c r="EO243" s="80"/>
      <c r="EP243" s="78"/>
    </row>
    <row r="244" spans="2:146" ht="11.25" customHeight="1" x14ac:dyDescent="0.2">
      <c r="B244" s="70"/>
      <c r="C244" s="71"/>
      <c r="D244" s="71"/>
      <c r="E244" s="71"/>
      <c r="F244" s="71"/>
      <c r="G244" s="71"/>
      <c r="H244" s="71" t="s">
        <v>147</v>
      </c>
      <c r="I244" s="71"/>
      <c r="J244" s="71"/>
      <c r="K244" s="71"/>
      <c r="L244" s="71" t="s">
        <v>342</v>
      </c>
      <c r="M244" s="71"/>
      <c r="N244" s="71"/>
      <c r="O244" s="71" t="s">
        <v>469</v>
      </c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2"/>
      <c r="CZ244" s="72"/>
      <c r="DA244" s="72"/>
      <c r="DB244" s="72"/>
      <c r="DC244" s="72"/>
      <c r="DD244" s="72"/>
      <c r="DE244" s="72"/>
      <c r="DF244" s="72"/>
      <c r="DG244" s="72"/>
      <c r="DH244" s="72"/>
      <c r="DI244" s="72"/>
      <c r="DJ244" s="72"/>
      <c r="DK244" s="72"/>
      <c r="DL244" s="72"/>
      <c r="DM244" s="72"/>
      <c r="DN244" s="72"/>
      <c r="DO244" s="72"/>
      <c r="DP244" s="72"/>
      <c r="DQ244" s="72"/>
      <c r="DR244" s="72"/>
      <c r="DS244" s="72"/>
      <c r="DT244" s="72"/>
      <c r="DU244" s="72"/>
      <c r="DV244" s="72"/>
      <c r="DW244" s="72"/>
      <c r="DX244" s="72"/>
      <c r="DY244" s="72"/>
      <c r="DZ244" s="72"/>
      <c r="EA244" s="72"/>
      <c r="EB244" s="72"/>
      <c r="EC244" s="72"/>
      <c r="ED244" s="72"/>
      <c r="EE244" s="72"/>
      <c r="EF244" s="72"/>
      <c r="EG244" s="72"/>
      <c r="EH244" s="72"/>
      <c r="EI244" s="72"/>
      <c r="EJ244" s="72"/>
      <c r="EK244" s="72"/>
      <c r="EL244" s="79"/>
      <c r="EM244" s="79"/>
      <c r="EN244" s="79"/>
      <c r="EO244" s="80"/>
      <c r="EP244" s="78"/>
    </row>
    <row r="245" spans="2:146" ht="11.25" customHeight="1" x14ac:dyDescent="0.2">
      <c r="B245" s="70"/>
      <c r="C245" s="71"/>
      <c r="D245" s="71"/>
      <c r="E245" s="71"/>
      <c r="F245" s="71"/>
      <c r="G245" s="71"/>
      <c r="H245" s="71"/>
      <c r="I245" s="71"/>
      <c r="J245" s="71" t="s">
        <v>341</v>
      </c>
      <c r="K245" s="71"/>
      <c r="L245" s="71"/>
      <c r="M245" s="71"/>
      <c r="N245" s="71"/>
      <c r="O245" s="71" t="s">
        <v>469</v>
      </c>
      <c r="P245" s="71"/>
      <c r="Q245" s="71"/>
      <c r="R245" s="71" t="str">
        <f>TEXT(Q242+Q243,"#,##0.#######")</f>
        <v>236,561.1</v>
      </c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2"/>
      <c r="CZ245" s="72"/>
      <c r="DA245" s="72"/>
      <c r="DB245" s="72"/>
      <c r="DC245" s="72"/>
      <c r="DD245" s="72"/>
      <c r="DE245" s="72"/>
      <c r="DF245" s="72"/>
      <c r="DG245" s="72"/>
      <c r="DH245" s="72"/>
      <c r="DI245" s="72"/>
      <c r="DJ245" s="72"/>
      <c r="DK245" s="72"/>
      <c r="DL245" s="72"/>
      <c r="DM245" s="72"/>
      <c r="DN245" s="72"/>
      <c r="DO245" s="72"/>
      <c r="DP245" s="72"/>
      <c r="DQ245" s="72"/>
      <c r="DR245" s="72"/>
      <c r="DS245" s="72"/>
      <c r="DT245" s="72"/>
      <c r="DU245" s="72"/>
      <c r="DV245" s="72"/>
      <c r="DW245" s="72"/>
      <c r="DX245" s="72"/>
      <c r="DY245" s="72"/>
      <c r="DZ245" s="72"/>
      <c r="EA245" s="72"/>
      <c r="EB245" s="72"/>
      <c r="EC245" s="72"/>
      <c r="ED245" s="72"/>
      <c r="EE245" s="72"/>
      <c r="EF245" s="72"/>
      <c r="EG245" s="72"/>
      <c r="EH245" s="72"/>
      <c r="EI245" s="72"/>
      <c r="EJ245" s="72"/>
      <c r="EK245" s="72"/>
      <c r="EL245" s="79">
        <f>EN245+EM245+EO245</f>
        <v>236561.1</v>
      </c>
      <c r="EM245" s="79" t="str">
        <f>TEXT(Q243,"#,###.0")</f>
        <v>19,532.5</v>
      </c>
      <c r="EN245" s="79" t="str">
        <f>TEXT(Q242,"#,###.0")</f>
        <v>217,028.6</v>
      </c>
      <c r="EO245" s="80"/>
      <c r="EP245" s="78"/>
    </row>
    <row r="246" spans="2:146" ht="11.25" customHeight="1" x14ac:dyDescent="0.2">
      <c r="B246" s="70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2"/>
      <c r="CZ246" s="72"/>
      <c r="DA246" s="72"/>
      <c r="DB246" s="72"/>
      <c r="DC246" s="72"/>
      <c r="DD246" s="72"/>
      <c r="DE246" s="72"/>
      <c r="DF246" s="72"/>
      <c r="DG246" s="72"/>
      <c r="DH246" s="72"/>
      <c r="DI246" s="72"/>
      <c r="DJ246" s="72"/>
      <c r="DK246" s="72"/>
      <c r="DL246" s="72"/>
      <c r="DM246" s="72"/>
      <c r="DN246" s="72"/>
      <c r="DO246" s="72"/>
      <c r="DP246" s="72"/>
      <c r="DQ246" s="72"/>
      <c r="DR246" s="72"/>
      <c r="DS246" s="72"/>
      <c r="DT246" s="72"/>
      <c r="DU246" s="72"/>
      <c r="DV246" s="72"/>
      <c r="DW246" s="72"/>
      <c r="DX246" s="72"/>
      <c r="DY246" s="72"/>
      <c r="DZ246" s="72"/>
      <c r="EA246" s="72"/>
      <c r="EB246" s="72"/>
      <c r="EC246" s="72"/>
      <c r="ED246" s="72"/>
      <c r="EE246" s="72"/>
      <c r="EF246" s="72"/>
      <c r="EG246" s="72"/>
      <c r="EH246" s="72"/>
      <c r="EI246" s="72"/>
      <c r="EJ246" s="72"/>
      <c r="EK246" s="72"/>
      <c r="EL246" s="79"/>
      <c r="EM246" s="79"/>
      <c r="EN246" s="79"/>
      <c r="EO246" s="80"/>
      <c r="EP246" s="78"/>
    </row>
    <row r="247" spans="2:146" ht="11.25" customHeight="1" x14ac:dyDescent="0.2">
      <c r="B247" s="70"/>
      <c r="C247" s="71"/>
      <c r="D247" s="71" t="s">
        <v>655</v>
      </c>
      <c r="E247" s="71"/>
      <c r="F247" s="71"/>
      <c r="G247" s="71" t="s">
        <v>437</v>
      </c>
      <c r="H247" s="71"/>
      <c r="I247" s="71"/>
      <c r="J247" s="71"/>
      <c r="K247" s="71" t="s">
        <v>341</v>
      </c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2"/>
      <c r="CZ247" s="72"/>
      <c r="DA247" s="72"/>
      <c r="DB247" s="72"/>
      <c r="DC247" s="72"/>
      <c r="DD247" s="72"/>
      <c r="DE247" s="72"/>
      <c r="DF247" s="72"/>
      <c r="DG247" s="72"/>
      <c r="DH247" s="72"/>
      <c r="DI247" s="72"/>
      <c r="DJ247" s="72"/>
      <c r="DK247" s="72"/>
      <c r="DL247" s="72"/>
      <c r="DM247" s="72"/>
      <c r="DN247" s="72"/>
      <c r="DO247" s="72"/>
      <c r="DP247" s="72"/>
      <c r="DQ247" s="72"/>
      <c r="DR247" s="72"/>
      <c r="DS247" s="72"/>
      <c r="DT247" s="72"/>
      <c r="DU247" s="72"/>
      <c r="DV247" s="72"/>
      <c r="DW247" s="72"/>
      <c r="DX247" s="72"/>
      <c r="DY247" s="72"/>
      <c r="DZ247" s="72"/>
      <c r="EA247" s="72"/>
      <c r="EB247" s="72"/>
      <c r="EC247" s="72"/>
      <c r="ED247" s="72"/>
      <c r="EE247" s="72"/>
      <c r="EF247" s="72"/>
      <c r="EG247" s="72"/>
      <c r="EH247" s="72"/>
      <c r="EI247" s="72"/>
      <c r="EJ247" s="72"/>
      <c r="EK247" s="72"/>
      <c r="EL247" s="79"/>
      <c r="EM247" s="79"/>
      <c r="EN247" s="79"/>
      <c r="EO247" s="80"/>
      <c r="EP247" s="78"/>
    </row>
    <row r="248" spans="2:146" ht="11.25" customHeight="1" x14ac:dyDescent="0.2">
      <c r="B248" s="70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2"/>
      <c r="CZ248" s="72"/>
      <c r="DA248" s="72"/>
      <c r="DB248" s="72"/>
      <c r="DC248" s="72"/>
      <c r="DD248" s="72"/>
      <c r="DE248" s="72"/>
      <c r="DF248" s="72"/>
      <c r="DG248" s="72"/>
      <c r="DH248" s="72"/>
      <c r="DI248" s="72"/>
      <c r="DJ248" s="72"/>
      <c r="DK248" s="72"/>
      <c r="DL248" s="72"/>
      <c r="DM248" s="72"/>
      <c r="DN248" s="72"/>
      <c r="DO248" s="72"/>
      <c r="DP248" s="72"/>
      <c r="DQ248" s="72"/>
      <c r="DR248" s="72"/>
      <c r="DS248" s="72"/>
      <c r="DT248" s="72"/>
      <c r="DU248" s="72"/>
      <c r="DV248" s="72"/>
      <c r="DW248" s="72"/>
      <c r="DX248" s="72"/>
      <c r="DY248" s="72"/>
      <c r="DZ248" s="72"/>
      <c r="EA248" s="72"/>
      <c r="EB248" s="72"/>
      <c r="EC248" s="72"/>
      <c r="ED248" s="72"/>
      <c r="EE248" s="72"/>
      <c r="EF248" s="72"/>
      <c r="EG248" s="72"/>
      <c r="EH248" s="72"/>
      <c r="EI248" s="72"/>
      <c r="EJ248" s="72"/>
      <c r="EK248" s="72"/>
      <c r="EL248" s="79"/>
      <c r="EM248" s="79"/>
      <c r="EN248" s="79"/>
      <c r="EO248" s="80"/>
      <c r="EP248" s="78"/>
    </row>
    <row r="249" spans="2:146" ht="11.25" customHeight="1" x14ac:dyDescent="0.2">
      <c r="B249" s="70"/>
      <c r="C249" s="71"/>
      <c r="D249" s="71"/>
      <c r="E249" s="71"/>
      <c r="F249" s="71"/>
      <c r="G249" s="71"/>
      <c r="H249" s="71" t="s">
        <v>543</v>
      </c>
      <c r="I249" s="71"/>
      <c r="J249" s="71"/>
      <c r="K249" s="71"/>
      <c r="L249" s="71"/>
      <c r="M249" s="71"/>
      <c r="N249" s="71"/>
      <c r="O249" s="71" t="s">
        <v>469</v>
      </c>
      <c r="P249" s="71"/>
      <c r="Q249" s="71" t="str">
        <f>TEXT(TRUNC(EN245,0),"#,##0")</f>
        <v>217,028</v>
      </c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2"/>
      <c r="CZ249" s="72"/>
      <c r="DA249" s="72"/>
      <c r="DB249" s="72"/>
      <c r="DC249" s="72"/>
      <c r="DD249" s="72"/>
      <c r="DE249" s="72"/>
      <c r="DF249" s="72"/>
      <c r="DG249" s="72"/>
      <c r="DH249" s="72"/>
      <c r="DI249" s="72"/>
      <c r="DJ249" s="72"/>
      <c r="DK249" s="72"/>
      <c r="DL249" s="72"/>
      <c r="DM249" s="72"/>
      <c r="DN249" s="72"/>
      <c r="DO249" s="72"/>
      <c r="DP249" s="72"/>
      <c r="DQ249" s="72"/>
      <c r="DR249" s="72"/>
      <c r="DS249" s="72"/>
      <c r="DT249" s="72"/>
      <c r="DU249" s="72"/>
      <c r="DV249" s="72"/>
      <c r="DW249" s="72"/>
      <c r="DX249" s="72"/>
      <c r="DY249" s="72"/>
      <c r="DZ249" s="72"/>
      <c r="EA249" s="72"/>
      <c r="EB249" s="72"/>
      <c r="EC249" s="72"/>
      <c r="ED249" s="72"/>
      <c r="EE249" s="72"/>
      <c r="EF249" s="72"/>
      <c r="EG249" s="72"/>
      <c r="EH249" s="72"/>
      <c r="EI249" s="72"/>
      <c r="EJ249" s="72"/>
      <c r="EK249" s="72"/>
      <c r="EL249" s="79"/>
      <c r="EM249" s="79"/>
      <c r="EN249" s="79"/>
      <c r="EO249" s="80"/>
      <c r="EP249" s="78"/>
    </row>
    <row r="250" spans="2:146" ht="11.25" customHeight="1" x14ac:dyDescent="0.2">
      <c r="B250" s="70"/>
      <c r="C250" s="71"/>
      <c r="D250" s="71"/>
      <c r="E250" s="71"/>
      <c r="F250" s="71"/>
      <c r="G250" s="71"/>
      <c r="H250" s="71" t="s">
        <v>400</v>
      </c>
      <c r="I250" s="71"/>
      <c r="J250" s="71"/>
      <c r="K250" s="71"/>
      <c r="L250" s="71"/>
      <c r="M250" s="71"/>
      <c r="N250" s="71"/>
      <c r="O250" s="71" t="s">
        <v>469</v>
      </c>
      <c r="P250" s="71"/>
      <c r="Q250" s="71" t="str">
        <f>TEXT(TRUNC(EM245,0),"#,##0")</f>
        <v>19,532</v>
      </c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2"/>
      <c r="CZ250" s="72"/>
      <c r="DA250" s="72"/>
      <c r="DB250" s="72"/>
      <c r="DC250" s="72"/>
      <c r="DD250" s="72"/>
      <c r="DE250" s="72"/>
      <c r="DF250" s="72"/>
      <c r="DG250" s="72"/>
      <c r="DH250" s="72"/>
      <c r="DI250" s="72"/>
      <c r="DJ250" s="72"/>
      <c r="DK250" s="72"/>
      <c r="DL250" s="72"/>
      <c r="DM250" s="72"/>
      <c r="DN250" s="72"/>
      <c r="DO250" s="72"/>
      <c r="DP250" s="72"/>
      <c r="DQ250" s="72"/>
      <c r="DR250" s="72"/>
      <c r="DS250" s="72"/>
      <c r="DT250" s="72"/>
      <c r="DU250" s="72"/>
      <c r="DV250" s="72"/>
      <c r="DW250" s="72"/>
      <c r="DX250" s="72"/>
      <c r="DY250" s="72"/>
      <c r="DZ250" s="72"/>
      <c r="EA250" s="72"/>
      <c r="EB250" s="72"/>
      <c r="EC250" s="72"/>
      <c r="ED250" s="72"/>
      <c r="EE250" s="72"/>
      <c r="EF250" s="72"/>
      <c r="EG250" s="72"/>
      <c r="EH250" s="72"/>
      <c r="EI250" s="72"/>
      <c r="EJ250" s="72"/>
      <c r="EK250" s="72"/>
      <c r="EL250" s="79"/>
      <c r="EM250" s="79"/>
      <c r="EN250" s="79"/>
      <c r="EO250" s="80"/>
      <c r="EP250" s="78"/>
    </row>
    <row r="251" spans="2:146" ht="11.25" customHeight="1" x14ac:dyDescent="0.2">
      <c r="B251" s="70"/>
      <c r="C251" s="71"/>
      <c r="D251" s="71"/>
      <c r="E251" s="71"/>
      <c r="F251" s="71"/>
      <c r="G251" s="71"/>
      <c r="H251" s="71" t="s">
        <v>147</v>
      </c>
      <c r="I251" s="71"/>
      <c r="J251" s="71"/>
      <c r="K251" s="71"/>
      <c r="L251" s="71" t="s">
        <v>342</v>
      </c>
      <c r="M251" s="71"/>
      <c r="N251" s="71"/>
      <c r="O251" s="71" t="s">
        <v>469</v>
      </c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2"/>
      <c r="CZ251" s="72"/>
      <c r="DA251" s="72"/>
      <c r="DB251" s="72"/>
      <c r="DC251" s="72"/>
      <c r="DD251" s="72"/>
      <c r="DE251" s="72"/>
      <c r="DF251" s="72"/>
      <c r="DG251" s="72"/>
      <c r="DH251" s="72"/>
      <c r="DI251" s="72"/>
      <c r="DJ251" s="72"/>
      <c r="DK251" s="72"/>
      <c r="DL251" s="72"/>
      <c r="DM251" s="72"/>
      <c r="DN251" s="72"/>
      <c r="DO251" s="72"/>
      <c r="DP251" s="72"/>
      <c r="DQ251" s="72"/>
      <c r="DR251" s="72"/>
      <c r="DS251" s="72"/>
      <c r="DT251" s="72"/>
      <c r="DU251" s="72"/>
      <c r="DV251" s="72"/>
      <c r="DW251" s="72"/>
      <c r="DX251" s="72"/>
      <c r="DY251" s="72"/>
      <c r="DZ251" s="72"/>
      <c r="EA251" s="72"/>
      <c r="EB251" s="72"/>
      <c r="EC251" s="72"/>
      <c r="ED251" s="72"/>
      <c r="EE251" s="72"/>
      <c r="EF251" s="72"/>
      <c r="EG251" s="72"/>
      <c r="EH251" s="72"/>
      <c r="EI251" s="72"/>
      <c r="EJ251" s="72"/>
      <c r="EK251" s="72"/>
      <c r="EL251" s="79"/>
      <c r="EM251" s="79"/>
      <c r="EN251" s="79"/>
      <c r="EO251" s="80"/>
      <c r="EP251" s="78"/>
    </row>
    <row r="252" spans="2:146" ht="11.25" customHeight="1" x14ac:dyDescent="0.2">
      <c r="B252" s="70"/>
      <c r="C252" s="71"/>
      <c r="D252" s="71"/>
      <c r="E252" s="71"/>
      <c r="F252" s="71"/>
      <c r="G252" s="71"/>
      <c r="H252" s="71"/>
      <c r="I252" s="71"/>
      <c r="J252" s="71" t="s">
        <v>341</v>
      </c>
      <c r="K252" s="71"/>
      <c r="L252" s="71"/>
      <c r="M252" s="71"/>
      <c r="N252" s="71"/>
      <c r="O252" s="71" t="s">
        <v>469</v>
      </c>
      <c r="P252" s="71"/>
      <c r="Q252" s="71"/>
      <c r="R252" s="71" t="str">
        <f>TEXT(Q249+Q250,"#,##0")</f>
        <v>236,560</v>
      </c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2"/>
      <c r="CZ252" s="72"/>
      <c r="DA252" s="72"/>
      <c r="DB252" s="72"/>
      <c r="DC252" s="72"/>
      <c r="DD252" s="72"/>
      <c r="DE252" s="72"/>
      <c r="DF252" s="72"/>
      <c r="DG252" s="72"/>
      <c r="DH252" s="72"/>
      <c r="DI252" s="72"/>
      <c r="DJ252" s="72"/>
      <c r="DK252" s="72"/>
      <c r="DL252" s="72"/>
      <c r="DM252" s="72"/>
      <c r="DN252" s="72"/>
      <c r="DO252" s="72"/>
      <c r="DP252" s="72"/>
      <c r="DQ252" s="72"/>
      <c r="DR252" s="72"/>
      <c r="DS252" s="72"/>
      <c r="DT252" s="72"/>
      <c r="DU252" s="72"/>
      <c r="DV252" s="72"/>
      <c r="DW252" s="72"/>
      <c r="DX252" s="72"/>
      <c r="DY252" s="72"/>
      <c r="DZ252" s="72"/>
      <c r="EA252" s="72"/>
      <c r="EB252" s="72"/>
      <c r="EC252" s="72"/>
      <c r="ED252" s="72"/>
      <c r="EE252" s="72"/>
      <c r="EF252" s="72"/>
      <c r="EG252" s="72"/>
      <c r="EH252" s="72"/>
      <c r="EI252" s="72"/>
      <c r="EJ252" s="72"/>
      <c r="EK252" s="72"/>
      <c r="EL252" s="81">
        <f>EN252+EM252+EO252</f>
        <v>236560</v>
      </c>
      <c r="EM252" s="79" t="str">
        <f>TEXT(Q250,"#,##0")</f>
        <v>19,532</v>
      </c>
      <c r="EN252" s="79" t="str">
        <f>TEXT(Q249,"#,##0")</f>
        <v>217,028</v>
      </c>
      <c r="EO252" s="80"/>
      <c r="EP252" s="78"/>
    </row>
    <row r="253" spans="2:146" ht="11.25" customHeight="1" x14ac:dyDescent="0.2">
      <c r="B253" s="70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2"/>
      <c r="CZ253" s="72"/>
      <c r="DA253" s="72"/>
      <c r="DB253" s="72"/>
      <c r="DC253" s="72"/>
      <c r="DD253" s="72"/>
      <c r="DE253" s="72"/>
      <c r="DF253" s="72"/>
      <c r="DG253" s="72"/>
      <c r="DH253" s="72"/>
      <c r="DI253" s="72"/>
      <c r="DJ253" s="72"/>
      <c r="DK253" s="72"/>
      <c r="DL253" s="72"/>
      <c r="DM253" s="72"/>
      <c r="DN253" s="72"/>
      <c r="DO253" s="72"/>
      <c r="DP253" s="72"/>
      <c r="DQ253" s="72"/>
      <c r="DR253" s="72"/>
      <c r="DS253" s="72"/>
      <c r="DT253" s="72"/>
      <c r="DU253" s="72"/>
      <c r="DV253" s="72"/>
      <c r="DW253" s="72"/>
      <c r="DX253" s="72"/>
      <c r="DY253" s="72"/>
      <c r="DZ253" s="72"/>
      <c r="EA253" s="72"/>
      <c r="EB253" s="72"/>
      <c r="EC253" s="72"/>
      <c r="ED253" s="72"/>
      <c r="EE253" s="72"/>
      <c r="EF253" s="72"/>
      <c r="EG253" s="72"/>
      <c r="EH253" s="72"/>
      <c r="EI253" s="72"/>
      <c r="EJ253" s="72"/>
      <c r="EK253" s="72"/>
      <c r="EL253" s="79"/>
      <c r="EM253" s="79"/>
      <c r="EN253" s="79"/>
      <c r="EO253" s="80"/>
      <c r="EP253" s="78"/>
    </row>
    <row r="254" spans="2:146" ht="11.25" customHeight="1" x14ac:dyDescent="0.2">
      <c r="B254" s="75" t="s">
        <v>72</v>
      </c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6">
        <f>EL269</f>
        <v>4638</v>
      </c>
      <c r="EM254" s="76" t="str">
        <f>EM269</f>
        <v>4,418</v>
      </c>
      <c r="EN254" s="76" t="str">
        <f>EN269</f>
        <v>220</v>
      </c>
      <c r="EO254" s="80">
        <f>EO269</f>
        <v>0</v>
      </c>
      <c r="EP254" s="78"/>
    </row>
    <row r="255" spans="2:146" ht="11.25" customHeight="1" x14ac:dyDescent="0.2">
      <c r="B255" s="70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9"/>
      <c r="EM255" s="79"/>
      <c r="EN255" s="79"/>
      <c r="EO255" s="80"/>
      <c r="EP255" s="78"/>
    </row>
    <row r="256" spans="2:146" ht="11.25" customHeight="1" x14ac:dyDescent="0.2">
      <c r="B256" s="70"/>
      <c r="C256" s="71"/>
      <c r="D256" s="71" t="s">
        <v>315</v>
      </c>
      <c r="E256" s="71"/>
      <c r="F256" s="71"/>
      <c r="G256" s="71" t="s">
        <v>400</v>
      </c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9"/>
      <c r="EM256" s="79"/>
      <c r="EN256" s="79"/>
      <c r="EO256" s="80"/>
      <c r="EP256" s="78"/>
    </row>
    <row r="257" spans="2:146" ht="11.25" customHeight="1" x14ac:dyDescent="0.2">
      <c r="B257" s="70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2"/>
      <c r="CZ257" s="72"/>
      <c r="DA257" s="72"/>
      <c r="DB257" s="72"/>
      <c r="DC257" s="72"/>
      <c r="DD257" s="72"/>
      <c r="DE257" s="72"/>
      <c r="DF257" s="72"/>
      <c r="DG257" s="72"/>
      <c r="DH257" s="72"/>
      <c r="DI257" s="72"/>
      <c r="DJ257" s="72"/>
      <c r="DK257" s="72"/>
      <c r="DL257" s="72"/>
      <c r="DM257" s="72"/>
      <c r="DN257" s="72"/>
      <c r="DO257" s="72"/>
      <c r="DP257" s="72"/>
      <c r="DQ257" s="72"/>
      <c r="DR257" s="72"/>
      <c r="DS257" s="72"/>
      <c r="DT257" s="72"/>
      <c r="DU257" s="72"/>
      <c r="DV257" s="72"/>
      <c r="DW257" s="72"/>
      <c r="DX257" s="72"/>
      <c r="DY257" s="72"/>
      <c r="DZ257" s="72"/>
      <c r="EA257" s="72"/>
      <c r="EB257" s="72"/>
      <c r="EC257" s="72"/>
      <c r="ED257" s="72"/>
      <c r="EE257" s="72"/>
      <c r="EF257" s="72"/>
      <c r="EG257" s="72"/>
      <c r="EH257" s="72"/>
      <c r="EI257" s="72"/>
      <c r="EJ257" s="72"/>
      <c r="EK257" s="72"/>
      <c r="EL257" s="79"/>
      <c r="EM257" s="79"/>
      <c r="EN257" s="79"/>
      <c r="EO257" s="80"/>
      <c r="EP257" s="78"/>
    </row>
    <row r="258" spans="2:146" ht="11.25" customHeight="1" x14ac:dyDescent="0.2">
      <c r="B258" s="70"/>
      <c r="C258" s="71"/>
      <c r="D258" s="71"/>
      <c r="E258" s="71"/>
      <c r="F258" s="71"/>
      <c r="G258" s="71" t="s">
        <v>14</v>
      </c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 t="s">
        <v>46</v>
      </c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 t="str">
        <f>TEXT(자재단가!R13,"#,##0.#######")</f>
        <v>4,290.</v>
      </c>
      <c r="AU258" s="71"/>
      <c r="AV258" s="71"/>
      <c r="AW258" s="71"/>
      <c r="AX258" s="71"/>
      <c r="AY258" s="71"/>
      <c r="AZ258" s="71"/>
      <c r="BA258" s="71"/>
      <c r="BB258" s="71" t="s">
        <v>542</v>
      </c>
      <c r="BC258" s="71"/>
      <c r="BD258" s="71" t="str">
        <f>TEXT(1.03,"#,##0.#######")</f>
        <v>1.03</v>
      </c>
      <c r="BE258" s="71"/>
      <c r="BF258" s="71"/>
      <c r="BG258" s="71"/>
      <c r="BH258" s="71" t="s">
        <v>375</v>
      </c>
      <c r="BI258" s="71"/>
      <c r="BJ258" s="71" t="s">
        <v>254</v>
      </c>
      <c r="BK258" s="71"/>
      <c r="BL258" s="71" t="str">
        <f>TEXT(TRUNC(AT258*BD258,1),"#,##0.#")</f>
        <v>4,418.7</v>
      </c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2"/>
      <c r="CZ258" s="72"/>
      <c r="DA258" s="72"/>
      <c r="DB258" s="72"/>
      <c r="DC258" s="72"/>
      <c r="DD258" s="72"/>
      <c r="DE258" s="72"/>
      <c r="DF258" s="72"/>
      <c r="DG258" s="72"/>
      <c r="DH258" s="72"/>
      <c r="DI258" s="72"/>
      <c r="DJ258" s="72"/>
      <c r="DK258" s="72"/>
      <c r="DL258" s="72"/>
      <c r="DM258" s="72"/>
      <c r="DN258" s="72"/>
      <c r="DO258" s="72"/>
      <c r="DP258" s="72"/>
      <c r="DQ258" s="72"/>
      <c r="DR258" s="72"/>
      <c r="DS258" s="72"/>
      <c r="DT258" s="72"/>
      <c r="DU258" s="72"/>
      <c r="DV258" s="72"/>
      <c r="DW258" s="72"/>
      <c r="DX258" s="72"/>
      <c r="DY258" s="72"/>
      <c r="DZ258" s="72"/>
      <c r="EA258" s="72"/>
      <c r="EB258" s="72"/>
      <c r="EC258" s="72"/>
      <c r="ED258" s="72"/>
      <c r="EE258" s="72"/>
      <c r="EF258" s="72"/>
      <c r="EG258" s="72"/>
      <c r="EH258" s="72"/>
      <c r="EI258" s="72"/>
      <c r="EJ258" s="72"/>
      <c r="EK258" s="72"/>
      <c r="EL258" s="79">
        <f>EN258+EM258+EO258</f>
        <v>4418.7</v>
      </c>
      <c r="EM258" s="79" t="str">
        <f>BL258</f>
        <v>4,418.7</v>
      </c>
      <c r="EN258" s="79"/>
      <c r="EO258" s="80"/>
      <c r="EP258" s="78"/>
    </row>
    <row r="259" spans="2:146" ht="11.25" customHeight="1" x14ac:dyDescent="0.2">
      <c r="B259" s="70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2"/>
      <c r="CZ259" s="72"/>
      <c r="DA259" s="72"/>
      <c r="DB259" s="72"/>
      <c r="DC259" s="72"/>
      <c r="DD259" s="72"/>
      <c r="DE259" s="72"/>
      <c r="DF259" s="72"/>
      <c r="DG259" s="72"/>
      <c r="DH259" s="72"/>
      <c r="DI259" s="72"/>
      <c r="DJ259" s="72"/>
      <c r="DK259" s="72"/>
      <c r="DL259" s="72"/>
      <c r="DM259" s="72"/>
      <c r="DN259" s="72"/>
      <c r="DO259" s="72"/>
      <c r="DP259" s="72"/>
      <c r="DQ259" s="72"/>
      <c r="DR259" s="72"/>
      <c r="DS259" s="72"/>
      <c r="DT259" s="72"/>
      <c r="DU259" s="72"/>
      <c r="DV259" s="72"/>
      <c r="DW259" s="72"/>
      <c r="DX259" s="72"/>
      <c r="DY259" s="72"/>
      <c r="DZ259" s="72"/>
      <c r="EA259" s="72"/>
      <c r="EB259" s="72"/>
      <c r="EC259" s="72"/>
      <c r="ED259" s="72"/>
      <c r="EE259" s="72"/>
      <c r="EF259" s="72"/>
      <c r="EG259" s="72"/>
      <c r="EH259" s="72"/>
      <c r="EI259" s="72"/>
      <c r="EJ259" s="72"/>
      <c r="EK259" s="72"/>
      <c r="EL259" s="79"/>
      <c r="EM259" s="79"/>
      <c r="EN259" s="79"/>
      <c r="EO259" s="80"/>
      <c r="EP259" s="78"/>
    </row>
    <row r="260" spans="2:146" ht="11.25" customHeight="1" x14ac:dyDescent="0.2">
      <c r="B260" s="70"/>
      <c r="C260" s="71"/>
      <c r="D260" s="71" t="s">
        <v>463</v>
      </c>
      <c r="E260" s="71"/>
      <c r="F260" s="71"/>
      <c r="G260" s="71" t="s">
        <v>384</v>
      </c>
      <c r="H260" s="71"/>
      <c r="I260" s="71"/>
      <c r="J260" s="71"/>
      <c r="K260" s="71"/>
      <c r="L260" s="71"/>
      <c r="M260" s="71" t="s">
        <v>336</v>
      </c>
      <c r="N260" s="71" t="s">
        <v>297</v>
      </c>
      <c r="O260" s="71"/>
      <c r="P260" s="71"/>
      <c r="Q260" s="71"/>
      <c r="R260" s="71"/>
      <c r="S260" s="71"/>
      <c r="T260" s="71"/>
      <c r="U260" s="71"/>
      <c r="V260" s="71"/>
      <c r="W260" s="71" t="s">
        <v>210</v>
      </c>
      <c r="X260" s="71" t="s">
        <v>144</v>
      </c>
      <c r="Y260" s="71" t="s">
        <v>80</v>
      </c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2"/>
      <c r="CZ260" s="72"/>
      <c r="DA260" s="72"/>
      <c r="DB260" s="72"/>
      <c r="DC260" s="72"/>
      <c r="DD260" s="72"/>
      <c r="DE260" s="72"/>
      <c r="DF260" s="72"/>
      <c r="DG260" s="72"/>
      <c r="DH260" s="72"/>
      <c r="DI260" s="72"/>
      <c r="DJ260" s="72"/>
      <c r="DK260" s="72"/>
      <c r="DL260" s="72"/>
      <c r="DM260" s="72"/>
      <c r="DN260" s="72"/>
      <c r="DO260" s="72"/>
      <c r="DP260" s="72"/>
      <c r="DQ260" s="72"/>
      <c r="DR260" s="72"/>
      <c r="DS260" s="72"/>
      <c r="DT260" s="72"/>
      <c r="DU260" s="72"/>
      <c r="DV260" s="72"/>
      <c r="DW260" s="72"/>
      <c r="DX260" s="72"/>
      <c r="DY260" s="72"/>
      <c r="DZ260" s="72"/>
      <c r="EA260" s="72"/>
      <c r="EB260" s="72"/>
      <c r="EC260" s="72"/>
      <c r="ED260" s="72"/>
      <c r="EE260" s="72"/>
      <c r="EF260" s="72"/>
      <c r="EG260" s="72"/>
      <c r="EH260" s="72"/>
      <c r="EI260" s="72"/>
      <c r="EJ260" s="72"/>
      <c r="EK260" s="72"/>
      <c r="EL260" s="79"/>
      <c r="EM260" s="79"/>
      <c r="EN260" s="79"/>
      <c r="EO260" s="80"/>
      <c r="EP260" s="78"/>
    </row>
    <row r="261" spans="2:146" ht="11.25" customHeight="1" x14ac:dyDescent="0.2">
      <c r="B261" s="70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2"/>
      <c r="CZ261" s="72"/>
      <c r="DA261" s="72"/>
      <c r="DB261" s="72"/>
      <c r="DC261" s="72"/>
      <c r="DD261" s="72"/>
      <c r="DE261" s="72"/>
      <c r="DF261" s="72"/>
      <c r="DG261" s="72"/>
      <c r="DH261" s="72"/>
      <c r="DI261" s="72"/>
      <c r="DJ261" s="72"/>
      <c r="DK261" s="72"/>
      <c r="DL261" s="72"/>
      <c r="DM261" s="72"/>
      <c r="DN261" s="72"/>
      <c r="DO261" s="72"/>
      <c r="DP261" s="72"/>
      <c r="DQ261" s="72"/>
      <c r="DR261" s="72"/>
      <c r="DS261" s="72"/>
      <c r="DT261" s="72"/>
      <c r="DU261" s="72"/>
      <c r="DV261" s="72"/>
      <c r="DW261" s="72"/>
      <c r="DX261" s="72"/>
      <c r="DY261" s="72"/>
      <c r="DZ261" s="72"/>
      <c r="EA261" s="72"/>
      <c r="EB261" s="72"/>
      <c r="EC261" s="72"/>
      <c r="ED261" s="72"/>
      <c r="EE261" s="72"/>
      <c r="EF261" s="72"/>
      <c r="EG261" s="72"/>
      <c r="EH261" s="72"/>
      <c r="EI261" s="72"/>
      <c r="EJ261" s="72"/>
      <c r="EK261" s="72"/>
      <c r="EL261" s="79"/>
      <c r="EM261" s="79"/>
      <c r="EN261" s="79"/>
      <c r="EO261" s="80"/>
      <c r="EP261" s="78"/>
    </row>
    <row r="262" spans="2:146" ht="11.25" customHeight="1" x14ac:dyDescent="0.2">
      <c r="B262" s="70"/>
      <c r="C262" s="71"/>
      <c r="D262" s="71"/>
      <c r="E262" s="71"/>
      <c r="F262" s="71"/>
      <c r="G262" s="71" t="str">
        <f>BL258</f>
        <v>4,418.7</v>
      </c>
      <c r="H262" s="71"/>
      <c r="I262" s="71"/>
      <c r="J262" s="71"/>
      <c r="K262" s="71"/>
      <c r="L262" s="71"/>
      <c r="M262" s="71"/>
      <c r="N262" s="71"/>
      <c r="O262" s="71"/>
      <c r="P262" s="71"/>
      <c r="Q262" s="71" t="s">
        <v>542</v>
      </c>
      <c r="R262" s="71"/>
      <c r="S262" s="71"/>
      <c r="T262" s="71" t="str">
        <f>TEXT(5,"#,##0.#######")</f>
        <v>5.</v>
      </c>
      <c r="U262" s="71" t="s">
        <v>144</v>
      </c>
      <c r="V262" s="71"/>
      <c r="W262" s="71" t="s">
        <v>254</v>
      </c>
      <c r="X262" s="71"/>
      <c r="Y262" s="71" t="str">
        <f>TEXT(TRUNC(BL258*(T262*(1/100)),1),"#,##0.#")</f>
        <v>220.9</v>
      </c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2"/>
      <c r="CZ262" s="72"/>
      <c r="DA262" s="72"/>
      <c r="DB262" s="72"/>
      <c r="DC262" s="72"/>
      <c r="DD262" s="72"/>
      <c r="DE262" s="72"/>
      <c r="DF262" s="72"/>
      <c r="DG262" s="72"/>
      <c r="DH262" s="72"/>
      <c r="DI262" s="72"/>
      <c r="DJ262" s="72"/>
      <c r="DK262" s="72"/>
      <c r="DL262" s="72"/>
      <c r="DM262" s="72"/>
      <c r="DN262" s="72"/>
      <c r="DO262" s="72"/>
      <c r="DP262" s="72"/>
      <c r="DQ262" s="72"/>
      <c r="DR262" s="72"/>
      <c r="DS262" s="72"/>
      <c r="DT262" s="72"/>
      <c r="DU262" s="72"/>
      <c r="DV262" s="72"/>
      <c r="DW262" s="72"/>
      <c r="DX262" s="72"/>
      <c r="DY262" s="72"/>
      <c r="DZ262" s="72"/>
      <c r="EA262" s="72"/>
      <c r="EB262" s="72"/>
      <c r="EC262" s="72"/>
      <c r="ED262" s="72"/>
      <c r="EE262" s="72"/>
      <c r="EF262" s="72"/>
      <c r="EG262" s="72"/>
      <c r="EH262" s="72"/>
      <c r="EI262" s="72"/>
      <c r="EJ262" s="72"/>
      <c r="EK262" s="72"/>
      <c r="EL262" s="79">
        <f>EN262+EM262+EO262</f>
        <v>220.9</v>
      </c>
      <c r="EM262" s="79"/>
      <c r="EN262" s="79" t="str">
        <f>Y262</f>
        <v>220.9</v>
      </c>
      <c r="EO262" s="80"/>
      <c r="EP262" s="78"/>
    </row>
    <row r="263" spans="2:146" ht="11.25" customHeight="1" x14ac:dyDescent="0.2">
      <c r="B263" s="70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2"/>
      <c r="CZ263" s="72"/>
      <c r="DA263" s="72"/>
      <c r="DB263" s="72"/>
      <c r="DC263" s="72"/>
      <c r="DD263" s="72"/>
      <c r="DE263" s="72"/>
      <c r="DF263" s="72"/>
      <c r="DG263" s="72"/>
      <c r="DH263" s="72"/>
      <c r="DI263" s="72"/>
      <c r="DJ263" s="72"/>
      <c r="DK263" s="72"/>
      <c r="DL263" s="72"/>
      <c r="DM263" s="72"/>
      <c r="DN263" s="72"/>
      <c r="DO263" s="72"/>
      <c r="DP263" s="72"/>
      <c r="DQ263" s="72"/>
      <c r="DR263" s="72"/>
      <c r="DS263" s="72"/>
      <c r="DT263" s="72"/>
      <c r="DU263" s="72"/>
      <c r="DV263" s="72"/>
      <c r="DW263" s="72"/>
      <c r="DX263" s="72"/>
      <c r="DY263" s="72"/>
      <c r="DZ263" s="72"/>
      <c r="EA263" s="72"/>
      <c r="EB263" s="72"/>
      <c r="EC263" s="72"/>
      <c r="ED263" s="72"/>
      <c r="EE263" s="72"/>
      <c r="EF263" s="72"/>
      <c r="EG263" s="72"/>
      <c r="EH263" s="72"/>
      <c r="EI263" s="72"/>
      <c r="EJ263" s="72"/>
      <c r="EK263" s="72"/>
      <c r="EL263" s="79"/>
      <c r="EM263" s="79"/>
      <c r="EN263" s="79"/>
      <c r="EO263" s="80"/>
      <c r="EP263" s="78"/>
    </row>
    <row r="264" spans="2:146" ht="11.25" customHeight="1" x14ac:dyDescent="0.2">
      <c r="B264" s="70"/>
      <c r="C264" s="71"/>
      <c r="D264" s="71" t="s">
        <v>655</v>
      </c>
      <c r="E264" s="71"/>
      <c r="F264" s="71"/>
      <c r="G264" s="71" t="s">
        <v>437</v>
      </c>
      <c r="H264" s="71"/>
      <c r="I264" s="71"/>
      <c r="J264" s="71"/>
      <c r="K264" s="71" t="s">
        <v>341</v>
      </c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2"/>
      <c r="CZ264" s="72"/>
      <c r="DA264" s="72"/>
      <c r="DB264" s="72"/>
      <c r="DC264" s="72"/>
      <c r="DD264" s="72"/>
      <c r="DE264" s="72"/>
      <c r="DF264" s="72"/>
      <c r="DG264" s="72"/>
      <c r="DH264" s="72"/>
      <c r="DI264" s="72"/>
      <c r="DJ264" s="72"/>
      <c r="DK264" s="72"/>
      <c r="DL264" s="72"/>
      <c r="DM264" s="72"/>
      <c r="DN264" s="72"/>
      <c r="DO264" s="72"/>
      <c r="DP264" s="72"/>
      <c r="DQ264" s="72"/>
      <c r="DR264" s="72"/>
      <c r="DS264" s="72"/>
      <c r="DT264" s="72"/>
      <c r="DU264" s="72"/>
      <c r="DV264" s="72"/>
      <c r="DW264" s="72"/>
      <c r="DX264" s="72"/>
      <c r="DY264" s="72"/>
      <c r="DZ264" s="72"/>
      <c r="EA264" s="72"/>
      <c r="EB264" s="72"/>
      <c r="EC264" s="72"/>
      <c r="ED264" s="72"/>
      <c r="EE264" s="72"/>
      <c r="EF264" s="72"/>
      <c r="EG264" s="72"/>
      <c r="EH264" s="72"/>
      <c r="EI264" s="72"/>
      <c r="EJ264" s="72"/>
      <c r="EK264" s="72"/>
      <c r="EL264" s="79"/>
      <c r="EM264" s="79"/>
      <c r="EN264" s="79"/>
      <c r="EO264" s="80"/>
      <c r="EP264" s="78"/>
    </row>
    <row r="265" spans="2:146" ht="11.25" customHeight="1" x14ac:dyDescent="0.2">
      <c r="B265" s="70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2"/>
      <c r="CZ265" s="72"/>
      <c r="DA265" s="72"/>
      <c r="DB265" s="72"/>
      <c r="DC265" s="72"/>
      <c r="DD265" s="72"/>
      <c r="DE265" s="72"/>
      <c r="DF265" s="72"/>
      <c r="DG265" s="72"/>
      <c r="DH265" s="72"/>
      <c r="DI265" s="72"/>
      <c r="DJ265" s="72"/>
      <c r="DK265" s="72"/>
      <c r="DL265" s="72"/>
      <c r="DM265" s="72"/>
      <c r="DN265" s="72"/>
      <c r="DO265" s="72"/>
      <c r="DP265" s="72"/>
      <c r="DQ265" s="72"/>
      <c r="DR265" s="72"/>
      <c r="DS265" s="72"/>
      <c r="DT265" s="72"/>
      <c r="DU265" s="72"/>
      <c r="DV265" s="72"/>
      <c r="DW265" s="72"/>
      <c r="DX265" s="72"/>
      <c r="DY265" s="72"/>
      <c r="DZ265" s="72"/>
      <c r="EA265" s="72"/>
      <c r="EB265" s="72"/>
      <c r="EC265" s="72"/>
      <c r="ED265" s="72"/>
      <c r="EE265" s="72"/>
      <c r="EF265" s="72"/>
      <c r="EG265" s="72"/>
      <c r="EH265" s="72"/>
      <c r="EI265" s="72"/>
      <c r="EJ265" s="72"/>
      <c r="EK265" s="72"/>
      <c r="EL265" s="79"/>
      <c r="EM265" s="79"/>
      <c r="EN265" s="79"/>
      <c r="EO265" s="80"/>
      <c r="EP265" s="78"/>
    </row>
    <row r="266" spans="2:146" ht="11.25" customHeight="1" x14ac:dyDescent="0.2">
      <c r="B266" s="70"/>
      <c r="C266" s="71"/>
      <c r="D266" s="71"/>
      <c r="E266" s="71"/>
      <c r="F266" s="71"/>
      <c r="G266" s="71"/>
      <c r="H266" s="71"/>
      <c r="I266" s="71" t="s">
        <v>543</v>
      </c>
      <c r="J266" s="71"/>
      <c r="K266" s="71"/>
      <c r="L266" s="71"/>
      <c r="M266" s="71"/>
      <c r="N266" s="71"/>
      <c r="O266" s="71"/>
      <c r="P266" s="71" t="s">
        <v>469</v>
      </c>
      <c r="Q266" s="71"/>
      <c r="R266" s="71" t="str">
        <f>TEXT(TRUNC(EN262,0),"#,##0")</f>
        <v>220</v>
      </c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2"/>
      <c r="CZ266" s="72"/>
      <c r="DA266" s="72"/>
      <c r="DB266" s="72"/>
      <c r="DC266" s="72"/>
      <c r="DD266" s="72"/>
      <c r="DE266" s="72"/>
      <c r="DF266" s="72"/>
      <c r="DG266" s="72"/>
      <c r="DH266" s="72"/>
      <c r="DI266" s="72"/>
      <c r="DJ266" s="72"/>
      <c r="DK266" s="72"/>
      <c r="DL266" s="72"/>
      <c r="DM266" s="72"/>
      <c r="DN266" s="72"/>
      <c r="DO266" s="72"/>
      <c r="DP266" s="72"/>
      <c r="DQ266" s="72"/>
      <c r="DR266" s="72"/>
      <c r="DS266" s="72"/>
      <c r="DT266" s="72"/>
      <c r="DU266" s="72"/>
      <c r="DV266" s="72"/>
      <c r="DW266" s="72"/>
      <c r="DX266" s="72"/>
      <c r="DY266" s="72"/>
      <c r="DZ266" s="72"/>
      <c r="EA266" s="72"/>
      <c r="EB266" s="72"/>
      <c r="EC266" s="72"/>
      <c r="ED266" s="72"/>
      <c r="EE266" s="72"/>
      <c r="EF266" s="72"/>
      <c r="EG266" s="72"/>
      <c r="EH266" s="72"/>
      <c r="EI266" s="72"/>
      <c r="EJ266" s="72"/>
      <c r="EK266" s="72"/>
      <c r="EL266" s="79"/>
      <c r="EM266" s="79"/>
      <c r="EN266" s="79"/>
      <c r="EO266" s="80"/>
      <c r="EP266" s="78"/>
    </row>
    <row r="267" spans="2:146" ht="11.25" customHeight="1" x14ac:dyDescent="0.2">
      <c r="B267" s="70"/>
      <c r="C267" s="71"/>
      <c r="D267" s="71"/>
      <c r="E267" s="71"/>
      <c r="F267" s="71"/>
      <c r="G267" s="71"/>
      <c r="H267" s="71"/>
      <c r="I267" s="71" t="s">
        <v>400</v>
      </c>
      <c r="J267" s="71"/>
      <c r="K267" s="71"/>
      <c r="L267" s="71"/>
      <c r="M267" s="71"/>
      <c r="N267" s="71"/>
      <c r="O267" s="71"/>
      <c r="P267" s="71" t="s">
        <v>469</v>
      </c>
      <c r="Q267" s="71"/>
      <c r="R267" s="71" t="str">
        <f>TEXT(TRUNC(EM258,0),"#,##0")</f>
        <v>4,418</v>
      </c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2"/>
      <c r="CZ267" s="72"/>
      <c r="DA267" s="72"/>
      <c r="DB267" s="72"/>
      <c r="DC267" s="72"/>
      <c r="DD267" s="72"/>
      <c r="DE267" s="72"/>
      <c r="DF267" s="72"/>
      <c r="DG267" s="72"/>
      <c r="DH267" s="72"/>
      <c r="DI267" s="72"/>
      <c r="DJ267" s="72"/>
      <c r="DK267" s="72"/>
      <c r="DL267" s="72"/>
      <c r="DM267" s="72"/>
      <c r="DN267" s="72"/>
      <c r="DO267" s="72"/>
      <c r="DP267" s="72"/>
      <c r="DQ267" s="72"/>
      <c r="DR267" s="72"/>
      <c r="DS267" s="72"/>
      <c r="DT267" s="72"/>
      <c r="DU267" s="72"/>
      <c r="DV267" s="72"/>
      <c r="DW267" s="72"/>
      <c r="DX267" s="72"/>
      <c r="DY267" s="72"/>
      <c r="DZ267" s="72"/>
      <c r="EA267" s="72"/>
      <c r="EB267" s="72"/>
      <c r="EC267" s="72"/>
      <c r="ED267" s="72"/>
      <c r="EE267" s="72"/>
      <c r="EF267" s="72"/>
      <c r="EG267" s="72"/>
      <c r="EH267" s="72"/>
      <c r="EI267" s="72"/>
      <c r="EJ267" s="72"/>
      <c r="EK267" s="72"/>
      <c r="EL267" s="79"/>
      <c r="EM267" s="79"/>
      <c r="EN267" s="79"/>
      <c r="EO267" s="80"/>
      <c r="EP267" s="78"/>
    </row>
    <row r="268" spans="2:146" ht="11.25" customHeight="1" x14ac:dyDescent="0.2">
      <c r="B268" s="70"/>
      <c r="C268" s="71"/>
      <c r="D268" s="71"/>
      <c r="E268" s="71"/>
      <c r="F268" s="71"/>
      <c r="G268" s="71"/>
      <c r="H268" s="71"/>
      <c r="I268" s="71" t="s">
        <v>147</v>
      </c>
      <c r="J268" s="71"/>
      <c r="K268" s="71"/>
      <c r="L268" s="71"/>
      <c r="M268" s="71" t="s">
        <v>342</v>
      </c>
      <c r="N268" s="71"/>
      <c r="O268" s="71"/>
      <c r="P268" s="71" t="s">
        <v>469</v>
      </c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  <c r="AZ268" s="71"/>
      <c r="BA268" s="71"/>
      <c r="BB268" s="71"/>
      <c r="BC268" s="71"/>
      <c r="BD268" s="71"/>
      <c r="BE268" s="71"/>
      <c r="BF268" s="71"/>
      <c r="BG268" s="71"/>
      <c r="BH268" s="71"/>
      <c r="BI268" s="71"/>
      <c r="BJ268" s="71"/>
      <c r="BK268" s="71"/>
      <c r="BL268" s="71"/>
      <c r="BM268" s="71"/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2"/>
      <c r="CZ268" s="72"/>
      <c r="DA268" s="72"/>
      <c r="DB268" s="72"/>
      <c r="DC268" s="72"/>
      <c r="DD268" s="72"/>
      <c r="DE268" s="72"/>
      <c r="DF268" s="72"/>
      <c r="DG268" s="72"/>
      <c r="DH268" s="72"/>
      <c r="DI268" s="72"/>
      <c r="DJ268" s="72"/>
      <c r="DK268" s="72"/>
      <c r="DL268" s="72"/>
      <c r="DM268" s="72"/>
      <c r="DN268" s="72"/>
      <c r="DO268" s="72"/>
      <c r="DP268" s="72"/>
      <c r="DQ268" s="72"/>
      <c r="DR268" s="72"/>
      <c r="DS268" s="72"/>
      <c r="DT268" s="72"/>
      <c r="DU268" s="72"/>
      <c r="DV268" s="72"/>
      <c r="DW268" s="72"/>
      <c r="DX268" s="72"/>
      <c r="DY268" s="72"/>
      <c r="DZ268" s="72"/>
      <c r="EA268" s="72"/>
      <c r="EB268" s="72"/>
      <c r="EC268" s="72"/>
      <c r="ED268" s="72"/>
      <c r="EE268" s="72"/>
      <c r="EF268" s="72"/>
      <c r="EG268" s="72"/>
      <c r="EH268" s="72"/>
      <c r="EI268" s="72"/>
      <c r="EJ268" s="72"/>
      <c r="EK268" s="72"/>
      <c r="EL268" s="79"/>
      <c r="EM268" s="79"/>
      <c r="EN268" s="79"/>
      <c r="EO268" s="80"/>
      <c r="EP268" s="78"/>
    </row>
    <row r="269" spans="2:146" ht="11.25" customHeight="1" x14ac:dyDescent="0.2">
      <c r="B269" s="70"/>
      <c r="C269" s="71"/>
      <c r="D269" s="71"/>
      <c r="E269" s="71"/>
      <c r="F269" s="71"/>
      <c r="G269" s="71"/>
      <c r="H269" s="71"/>
      <c r="I269" s="71"/>
      <c r="J269" s="71"/>
      <c r="K269" s="71" t="s">
        <v>341</v>
      </c>
      <c r="L269" s="71"/>
      <c r="M269" s="71"/>
      <c r="N269" s="71"/>
      <c r="O269" s="71"/>
      <c r="P269" s="71" t="s">
        <v>469</v>
      </c>
      <c r="Q269" s="71"/>
      <c r="R269" s="71"/>
      <c r="S269" s="71" t="str">
        <f>TEXT(R266+R267,"#,##0")</f>
        <v>4,638</v>
      </c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2"/>
      <c r="CZ269" s="72"/>
      <c r="DA269" s="72"/>
      <c r="DB269" s="72"/>
      <c r="DC269" s="72"/>
      <c r="DD269" s="72"/>
      <c r="DE269" s="72"/>
      <c r="DF269" s="72"/>
      <c r="DG269" s="72"/>
      <c r="DH269" s="72"/>
      <c r="DI269" s="72"/>
      <c r="DJ269" s="72"/>
      <c r="DK269" s="72"/>
      <c r="DL269" s="72"/>
      <c r="DM269" s="72"/>
      <c r="DN269" s="72"/>
      <c r="DO269" s="72"/>
      <c r="DP269" s="72"/>
      <c r="DQ269" s="72"/>
      <c r="DR269" s="72"/>
      <c r="DS269" s="72"/>
      <c r="DT269" s="72"/>
      <c r="DU269" s="72"/>
      <c r="DV269" s="72"/>
      <c r="DW269" s="72"/>
      <c r="DX269" s="72"/>
      <c r="DY269" s="72"/>
      <c r="DZ269" s="72"/>
      <c r="EA269" s="72"/>
      <c r="EB269" s="72"/>
      <c r="EC269" s="72"/>
      <c r="ED269" s="72"/>
      <c r="EE269" s="72"/>
      <c r="EF269" s="72"/>
      <c r="EG269" s="72"/>
      <c r="EH269" s="72"/>
      <c r="EI269" s="72"/>
      <c r="EJ269" s="72"/>
      <c r="EK269" s="72"/>
      <c r="EL269" s="81">
        <f>EN269+EM269+EO269</f>
        <v>4638</v>
      </c>
      <c r="EM269" s="79" t="str">
        <f>TEXT(R267,"#,##0")</f>
        <v>4,418</v>
      </c>
      <c r="EN269" s="79" t="str">
        <f>TEXT(R266,"#,##0")</f>
        <v>220</v>
      </c>
      <c r="EO269" s="80"/>
      <c r="EP269" s="78"/>
    </row>
    <row r="270" spans="2:146" ht="11.25" customHeight="1" x14ac:dyDescent="0.2">
      <c r="B270" s="70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2"/>
      <c r="CZ270" s="72"/>
      <c r="DA270" s="72"/>
      <c r="DB270" s="72"/>
      <c r="DC270" s="72"/>
      <c r="DD270" s="72"/>
      <c r="DE270" s="72"/>
      <c r="DF270" s="72"/>
      <c r="DG270" s="72"/>
      <c r="DH270" s="72"/>
      <c r="DI270" s="72"/>
      <c r="DJ270" s="72"/>
      <c r="DK270" s="72"/>
      <c r="DL270" s="72"/>
      <c r="DM270" s="72"/>
      <c r="DN270" s="72"/>
      <c r="DO270" s="72"/>
      <c r="DP270" s="72"/>
      <c r="DQ270" s="72"/>
      <c r="DR270" s="72"/>
      <c r="DS270" s="72"/>
      <c r="DT270" s="72"/>
      <c r="DU270" s="72"/>
      <c r="DV270" s="72"/>
      <c r="DW270" s="72"/>
      <c r="DX270" s="72"/>
      <c r="DY270" s="72"/>
      <c r="DZ270" s="72"/>
      <c r="EA270" s="72"/>
      <c r="EB270" s="72"/>
      <c r="EC270" s="72"/>
      <c r="ED270" s="72"/>
      <c r="EE270" s="72"/>
      <c r="EF270" s="72"/>
      <c r="EG270" s="72"/>
      <c r="EH270" s="72"/>
      <c r="EI270" s="72"/>
      <c r="EJ270" s="72"/>
      <c r="EK270" s="72"/>
      <c r="EL270" s="79"/>
      <c r="EM270" s="79"/>
      <c r="EN270" s="79"/>
      <c r="EO270" s="80"/>
      <c r="EP270" s="78"/>
    </row>
    <row r="271" spans="2:146" ht="11.25" customHeight="1" x14ac:dyDescent="0.2">
      <c r="B271" s="75" t="s">
        <v>430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2"/>
      <c r="CZ271" s="72"/>
      <c r="DA271" s="72"/>
      <c r="DB271" s="72"/>
      <c r="DC271" s="72"/>
      <c r="DD271" s="72"/>
      <c r="DE271" s="72"/>
      <c r="DF271" s="72"/>
      <c r="DG271" s="72"/>
      <c r="DH271" s="72"/>
      <c r="DI271" s="72"/>
      <c r="DJ271" s="72"/>
      <c r="DK271" s="72"/>
      <c r="DL271" s="72"/>
      <c r="DM271" s="72"/>
      <c r="DN271" s="72"/>
      <c r="DO271" s="72"/>
      <c r="DP271" s="72"/>
      <c r="DQ271" s="72"/>
      <c r="DR271" s="72"/>
      <c r="DS271" s="72"/>
      <c r="DT271" s="72"/>
      <c r="DU271" s="72"/>
      <c r="DV271" s="72"/>
      <c r="DW271" s="72"/>
      <c r="DX271" s="72"/>
      <c r="DY271" s="72"/>
      <c r="DZ271" s="72"/>
      <c r="EA271" s="72"/>
      <c r="EB271" s="72"/>
      <c r="EC271" s="72"/>
      <c r="ED271" s="72"/>
      <c r="EE271" s="72"/>
      <c r="EF271" s="72"/>
      <c r="EG271" s="72"/>
      <c r="EH271" s="72"/>
      <c r="EI271" s="72"/>
      <c r="EJ271" s="72"/>
      <c r="EK271" s="72"/>
      <c r="EL271" s="76">
        <f>EL290</f>
        <v>10346</v>
      </c>
      <c r="EM271" s="76" t="str">
        <f>EM290</f>
        <v>1,316</v>
      </c>
      <c r="EN271" s="76" t="str">
        <f>EN290</f>
        <v>9,030</v>
      </c>
      <c r="EO271" s="80">
        <f>EO290</f>
        <v>0</v>
      </c>
      <c r="EP271" s="78"/>
    </row>
    <row r="272" spans="2:146" ht="11.25" customHeight="1" x14ac:dyDescent="0.2">
      <c r="B272" s="70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2"/>
      <c r="CZ272" s="72"/>
      <c r="DA272" s="72"/>
      <c r="DB272" s="72"/>
      <c r="DC272" s="72"/>
      <c r="DD272" s="72"/>
      <c r="DE272" s="72"/>
      <c r="DF272" s="72"/>
      <c r="DG272" s="72"/>
      <c r="DH272" s="72"/>
      <c r="DI272" s="72"/>
      <c r="DJ272" s="72"/>
      <c r="DK272" s="72"/>
      <c r="DL272" s="72"/>
      <c r="DM272" s="72"/>
      <c r="DN272" s="72"/>
      <c r="DO272" s="72"/>
      <c r="DP272" s="72"/>
      <c r="DQ272" s="72"/>
      <c r="DR272" s="72"/>
      <c r="DS272" s="72"/>
      <c r="DT272" s="72"/>
      <c r="DU272" s="72"/>
      <c r="DV272" s="72"/>
      <c r="DW272" s="72"/>
      <c r="DX272" s="72"/>
      <c r="DY272" s="72"/>
      <c r="DZ272" s="72"/>
      <c r="EA272" s="72"/>
      <c r="EB272" s="72"/>
      <c r="EC272" s="72"/>
      <c r="ED272" s="72"/>
      <c r="EE272" s="72"/>
      <c r="EF272" s="72"/>
      <c r="EG272" s="72"/>
      <c r="EH272" s="72"/>
      <c r="EI272" s="72"/>
      <c r="EJ272" s="72"/>
      <c r="EK272" s="72"/>
      <c r="EL272" s="79"/>
      <c r="EM272" s="79"/>
      <c r="EN272" s="79"/>
      <c r="EO272" s="80"/>
      <c r="EP272" s="78"/>
    </row>
    <row r="273" spans="2:146" ht="11.25" customHeight="1" x14ac:dyDescent="0.2">
      <c r="B273" s="70"/>
      <c r="C273" s="71"/>
      <c r="D273" s="71" t="s">
        <v>315</v>
      </c>
      <c r="E273" s="71"/>
      <c r="F273" s="71"/>
      <c r="G273" s="71" t="s">
        <v>400</v>
      </c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2"/>
      <c r="CZ273" s="72"/>
      <c r="DA273" s="72"/>
      <c r="DB273" s="72"/>
      <c r="DC273" s="72"/>
      <c r="DD273" s="72"/>
      <c r="DE273" s="72"/>
      <c r="DF273" s="72"/>
      <c r="DG273" s="72"/>
      <c r="DH273" s="72"/>
      <c r="DI273" s="72"/>
      <c r="DJ273" s="72"/>
      <c r="DK273" s="72"/>
      <c r="DL273" s="72"/>
      <c r="DM273" s="72"/>
      <c r="DN273" s="72"/>
      <c r="DO273" s="72"/>
      <c r="DP273" s="72"/>
      <c r="DQ273" s="72"/>
      <c r="DR273" s="72"/>
      <c r="DS273" s="72"/>
      <c r="DT273" s="72"/>
      <c r="DU273" s="72"/>
      <c r="DV273" s="72"/>
      <c r="DW273" s="72"/>
      <c r="DX273" s="72"/>
      <c r="DY273" s="72"/>
      <c r="DZ273" s="72"/>
      <c r="EA273" s="72"/>
      <c r="EB273" s="72"/>
      <c r="EC273" s="72"/>
      <c r="ED273" s="72"/>
      <c r="EE273" s="72"/>
      <c r="EF273" s="72"/>
      <c r="EG273" s="72"/>
      <c r="EH273" s="72"/>
      <c r="EI273" s="72"/>
      <c r="EJ273" s="72"/>
      <c r="EK273" s="72"/>
      <c r="EL273" s="79"/>
      <c r="EM273" s="79"/>
      <c r="EN273" s="79"/>
      <c r="EO273" s="80"/>
      <c r="EP273" s="78"/>
    </row>
    <row r="274" spans="2:146" ht="11.25" customHeight="1" x14ac:dyDescent="0.2">
      <c r="B274" s="70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2"/>
      <c r="CZ274" s="72"/>
      <c r="DA274" s="72"/>
      <c r="DB274" s="72"/>
      <c r="DC274" s="72"/>
      <c r="DD274" s="72"/>
      <c r="DE274" s="72"/>
      <c r="DF274" s="72"/>
      <c r="DG274" s="72"/>
      <c r="DH274" s="72"/>
      <c r="DI274" s="72"/>
      <c r="DJ274" s="72"/>
      <c r="DK274" s="72"/>
      <c r="DL274" s="72"/>
      <c r="DM274" s="72"/>
      <c r="DN274" s="72"/>
      <c r="DO274" s="72"/>
      <c r="DP274" s="72"/>
      <c r="DQ274" s="72"/>
      <c r="DR274" s="72"/>
      <c r="DS274" s="72"/>
      <c r="DT274" s="72"/>
      <c r="DU274" s="72"/>
      <c r="DV274" s="72"/>
      <c r="DW274" s="72"/>
      <c r="DX274" s="72"/>
      <c r="DY274" s="72"/>
      <c r="DZ274" s="72"/>
      <c r="EA274" s="72"/>
      <c r="EB274" s="72"/>
      <c r="EC274" s="72"/>
      <c r="ED274" s="72"/>
      <c r="EE274" s="72"/>
      <c r="EF274" s="72"/>
      <c r="EG274" s="72"/>
      <c r="EH274" s="72"/>
      <c r="EI274" s="72"/>
      <c r="EJ274" s="72"/>
      <c r="EK274" s="72"/>
      <c r="EL274" s="79"/>
      <c r="EM274" s="79"/>
      <c r="EN274" s="79"/>
      <c r="EO274" s="80"/>
      <c r="EP274" s="78"/>
    </row>
    <row r="275" spans="2:146" ht="11.25" customHeight="1" x14ac:dyDescent="0.2">
      <c r="B275" s="70"/>
      <c r="C275" s="71"/>
      <c r="D275" s="71"/>
      <c r="E275" s="71"/>
      <c r="F275" s="71"/>
      <c r="G275" s="71" t="s">
        <v>601</v>
      </c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 t="s">
        <v>250</v>
      </c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 t="str">
        <f>TEXT(자재단가!R8,"#,##0.#######")</f>
        <v>1,197.</v>
      </c>
      <c r="BJ275" s="71"/>
      <c r="BK275" s="71"/>
      <c r="BL275" s="71"/>
      <c r="BM275" s="71"/>
      <c r="BN275" s="71"/>
      <c r="BO275" s="71"/>
      <c r="BP275" s="71"/>
      <c r="BQ275" s="71" t="s">
        <v>542</v>
      </c>
      <c r="BR275" s="71"/>
      <c r="BS275" s="71"/>
      <c r="BT275" s="71" t="str">
        <f>TEXT(1.1,"#,##0.#######")</f>
        <v>1.1</v>
      </c>
      <c r="BU275" s="71"/>
      <c r="BV275" s="71"/>
      <c r="BW275" s="71" t="s">
        <v>464</v>
      </c>
      <c r="BX275" s="71"/>
      <c r="BY275" s="71"/>
      <c r="BZ275" s="71" t="s">
        <v>254</v>
      </c>
      <c r="CA275" s="71"/>
      <c r="CB275" s="71" t="str">
        <f>TEXT(TRUNC(BI275*BT275,1),"#,##0.#")</f>
        <v>1,316.7</v>
      </c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2"/>
      <c r="CZ275" s="72"/>
      <c r="DA275" s="72"/>
      <c r="DB275" s="72"/>
      <c r="DC275" s="72"/>
      <c r="DD275" s="72"/>
      <c r="DE275" s="72"/>
      <c r="DF275" s="72"/>
      <c r="DG275" s="72"/>
      <c r="DH275" s="72"/>
      <c r="DI275" s="72"/>
      <c r="DJ275" s="72"/>
      <c r="DK275" s="72"/>
      <c r="DL275" s="72"/>
      <c r="DM275" s="72"/>
      <c r="DN275" s="72"/>
      <c r="DO275" s="72"/>
      <c r="DP275" s="72"/>
      <c r="DQ275" s="72"/>
      <c r="DR275" s="72"/>
      <c r="DS275" s="72"/>
      <c r="DT275" s="72"/>
      <c r="DU275" s="72"/>
      <c r="DV275" s="72"/>
      <c r="DW275" s="72"/>
      <c r="DX275" s="72"/>
      <c r="DY275" s="72"/>
      <c r="DZ275" s="72"/>
      <c r="EA275" s="72"/>
      <c r="EB275" s="72"/>
      <c r="EC275" s="72"/>
      <c r="ED275" s="72"/>
      <c r="EE275" s="72"/>
      <c r="EF275" s="72"/>
      <c r="EG275" s="72"/>
      <c r="EH275" s="72"/>
      <c r="EI275" s="72"/>
      <c r="EJ275" s="72"/>
      <c r="EK275" s="72"/>
      <c r="EL275" s="79">
        <f>EN275+EM275+EO275</f>
        <v>1316.7</v>
      </c>
      <c r="EM275" s="79" t="str">
        <f>CB275</f>
        <v>1,316.7</v>
      </c>
      <c r="EN275" s="79"/>
      <c r="EO275" s="80"/>
      <c r="EP275" s="78"/>
    </row>
    <row r="276" spans="2:146" ht="11.25" customHeight="1" x14ac:dyDescent="0.2">
      <c r="B276" s="70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2"/>
      <c r="CZ276" s="72"/>
      <c r="DA276" s="72"/>
      <c r="DB276" s="72"/>
      <c r="DC276" s="72"/>
      <c r="DD276" s="72"/>
      <c r="DE276" s="72"/>
      <c r="DF276" s="72"/>
      <c r="DG276" s="72"/>
      <c r="DH276" s="72"/>
      <c r="DI276" s="72"/>
      <c r="DJ276" s="72"/>
      <c r="DK276" s="72"/>
      <c r="DL276" s="72"/>
      <c r="DM276" s="72"/>
      <c r="DN276" s="72"/>
      <c r="DO276" s="72"/>
      <c r="DP276" s="72"/>
      <c r="DQ276" s="72"/>
      <c r="DR276" s="72"/>
      <c r="DS276" s="72"/>
      <c r="DT276" s="72"/>
      <c r="DU276" s="72"/>
      <c r="DV276" s="72"/>
      <c r="DW276" s="72"/>
      <c r="DX276" s="72"/>
      <c r="DY276" s="72"/>
      <c r="DZ276" s="72"/>
      <c r="EA276" s="72"/>
      <c r="EB276" s="72"/>
      <c r="EC276" s="72"/>
      <c r="ED276" s="72"/>
      <c r="EE276" s="72"/>
      <c r="EF276" s="72"/>
      <c r="EG276" s="72"/>
      <c r="EH276" s="72"/>
      <c r="EI276" s="72"/>
      <c r="EJ276" s="72"/>
      <c r="EK276" s="72"/>
      <c r="EL276" s="79"/>
      <c r="EM276" s="79"/>
      <c r="EN276" s="79"/>
      <c r="EO276" s="80"/>
      <c r="EP276" s="78"/>
    </row>
    <row r="277" spans="2:146" ht="11.25" customHeight="1" x14ac:dyDescent="0.2">
      <c r="B277" s="70"/>
      <c r="C277" s="71"/>
      <c r="D277" s="71" t="s">
        <v>463</v>
      </c>
      <c r="E277" s="71"/>
      <c r="F277" s="71"/>
      <c r="G277" s="71" t="s">
        <v>384</v>
      </c>
      <c r="H277" s="71"/>
      <c r="I277" s="71"/>
      <c r="J277" s="71"/>
      <c r="K277" s="71"/>
      <c r="L277" s="71"/>
      <c r="M277" s="71" t="s">
        <v>336</v>
      </c>
      <c r="N277" s="71" t="s">
        <v>64</v>
      </c>
      <c r="O277" s="71" t="s">
        <v>118</v>
      </c>
      <c r="P277" s="71"/>
      <c r="Q277" s="71" t="s">
        <v>6</v>
      </c>
      <c r="R277" s="71"/>
      <c r="S277" s="71"/>
      <c r="T277" s="71" t="s">
        <v>503</v>
      </c>
      <c r="U277" s="71"/>
      <c r="V277" s="71"/>
      <c r="W277" s="71"/>
      <c r="X277" s="71"/>
      <c r="Y277" s="71"/>
      <c r="Z277" s="71"/>
      <c r="AA277" s="71"/>
      <c r="AB277" s="71" t="s">
        <v>80</v>
      </c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2"/>
      <c r="CZ277" s="72"/>
      <c r="DA277" s="72"/>
      <c r="DB277" s="72"/>
      <c r="DC277" s="72"/>
      <c r="DD277" s="72"/>
      <c r="DE277" s="72"/>
      <c r="DF277" s="72"/>
      <c r="DG277" s="72"/>
      <c r="DH277" s="72"/>
      <c r="DI277" s="72"/>
      <c r="DJ277" s="72"/>
      <c r="DK277" s="72"/>
      <c r="DL277" s="72"/>
      <c r="DM277" s="72"/>
      <c r="DN277" s="72"/>
      <c r="DO277" s="72"/>
      <c r="DP277" s="72"/>
      <c r="DQ277" s="72"/>
      <c r="DR277" s="72"/>
      <c r="DS277" s="72"/>
      <c r="DT277" s="72"/>
      <c r="DU277" s="72"/>
      <c r="DV277" s="72"/>
      <c r="DW277" s="72"/>
      <c r="DX277" s="72"/>
      <c r="DY277" s="72"/>
      <c r="DZ277" s="72"/>
      <c r="EA277" s="72"/>
      <c r="EB277" s="72"/>
      <c r="EC277" s="72"/>
      <c r="ED277" s="72"/>
      <c r="EE277" s="72"/>
      <c r="EF277" s="72"/>
      <c r="EG277" s="72"/>
      <c r="EH277" s="72"/>
      <c r="EI277" s="72"/>
      <c r="EJ277" s="72"/>
      <c r="EK277" s="72"/>
      <c r="EL277" s="79"/>
      <c r="EM277" s="79"/>
      <c r="EN277" s="79"/>
      <c r="EO277" s="80"/>
      <c r="EP277" s="78"/>
    </row>
    <row r="278" spans="2:146" ht="11.25" customHeight="1" x14ac:dyDescent="0.2">
      <c r="B278" s="70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2"/>
      <c r="CZ278" s="72"/>
      <c r="DA278" s="72"/>
      <c r="DB278" s="72"/>
      <c r="DC278" s="72"/>
      <c r="DD278" s="72"/>
      <c r="DE278" s="72"/>
      <c r="DF278" s="72"/>
      <c r="DG278" s="72"/>
      <c r="DH278" s="72"/>
      <c r="DI278" s="72"/>
      <c r="DJ278" s="72"/>
      <c r="DK278" s="72"/>
      <c r="DL278" s="72"/>
      <c r="DM278" s="72"/>
      <c r="DN278" s="72"/>
      <c r="DO278" s="72"/>
      <c r="DP278" s="72"/>
      <c r="DQ278" s="72"/>
      <c r="DR278" s="72"/>
      <c r="DS278" s="72"/>
      <c r="DT278" s="72"/>
      <c r="DU278" s="72"/>
      <c r="DV278" s="72"/>
      <c r="DW278" s="72"/>
      <c r="DX278" s="72"/>
      <c r="DY278" s="72"/>
      <c r="DZ278" s="72"/>
      <c r="EA278" s="72"/>
      <c r="EB278" s="72"/>
      <c r="EC278" s="72"/>
      <c r="ED278" s="72"/>
      <c r="EE278" s="72"/>
      <c r="EF278" s="72"/>
      <c r="EG278" s="72"/>
      <c r="EH278" s="72"/>
      <c r="EI278" s="72"/>
      <c r="EJ278" s="72"/>
      <c r="EK278" s="72"/>
      <c r="EL278" s="79"/>
      <c r="EM278" s="79"/>
      <c r="EN278" s="79"/>
      <c r="EO278" s="80"/>
      <c r="EP278" s="78"/>
    </row>
    <row r="279" spans="2:146" ht="11.25" customHeight="1" x14ac:dyDescent="0.2">
      <c r="B279" s="70"/>
      <c r="C279" s="71"/>
      <c r="D279" s="71"/>
      <c r="E279" s="71"/>
      <c r="F279" s="71"/>
      <c r="G279" s="71" t="s">
        <v>231</v>
      </c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 t="s">
        <v>469</v>
      </c>
      <c r="S279" s="71"/>
      <c r="T279" s="71" t="str">
        <f>TEXT(노임단가!F7,"#,##0")</f>
        <v>275,790</v>
      </c>
      <c r="U279" s="71"/>
      <c r="V279" s="71"/>
      <c r="W279" s="71"/>
      <c r="X279" s="71"/>
      <c r="Y279" s="71"/>
      <c r="Z279" s="71"/>
      <c r="AA279" s="71"/>
      <c r="AB279" s="71"/>
      <c r="AC279" s="71"/>
      <c r="AD279" s="71" t="s">
        <v>542</v>
      </c>
      <c r="AE279" s="71"/>
      <c r="AF279" s="71" t="str">
        <f>TEXT(0.029,"#,##0.#######")</f>
        <v>0.029</v>
      </c>
      <c r="AG279" s="71"/>
      <c r="AH279" s="71"/>
      <c r="AI279" s="71"/>
      <c r="AJ279" s="71"/>
      <c r="AK279" s="71" t="s">
        <v>602</v>
      </c>
      <c r="AL279" s="71"/>
      <c r="AM279" s="71"/>
      <c r="AN279" s="71" t="s">
        <v>254</v>
      </c>
      <c r="AO279" s="71"/>
      <c r="AP279" s="71"/>
      <c r="AQ279" s="71" t="str">
        <f>TEXT(TRUNC(T279*AF279,1),"#,##0.#######")</f>
        <v>7,997.9</v>
      </c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2"/>
      <c r="CZ279" s="72"/>
      <c r="DA279" s="72"/>
      <c r="DB279" s="72"/>
      <c r="DC279" s="72"/>
      <c r="DD279" s="72"/>
      <c r="DE279" s="72"/>
      <c r="DF279" s="72"/>
      <c r="DG279" s="72"/>
      <c r="DH279" s="72"/>
      <c r="DI279" s="72"/>
      <c r="DJ279" s="72"/>
      <c r="DK279" s="72"/>
      <c r="DL279" s="72"/>
      <c r="DM279" s="72"/>
      <c r="DN279" s="72"/>
      <c r="DO279" s="72"/>
      <c r="DP279" s="72"/>
      <c r="DQ279" s="72"/>
      <c r="DR279" s="72"/>
      <c r="DS279" s="72"/>
      <c r="DT279" s="72"/>
      <c r="DU279" s="72"/>
      <c r="DV279" s="72"/>
      <c r="DW279" s="72"/>
      <c r="DX279" s="72"/>
      <c r="DY279" s="72"/>
      <c r="DZ279" s="72"/>
      <c r="EA279" s="72"/>
      <c r="EB279" s="72"/>
      <c r="EC279" s="72"/>
      <c r="ED279" s="72"/>
      <c r="EE279" s="72"/>
      <c r="EF279" s="72"/>
      <c r="EG279" s="72"/>
      <c r="EH279" s="72"/>
      <c r="EI279" s="72"/>
      <c r="EJ279" s="72"/>
      <c r="EK279" s="72"/>
      <c r="EL279" s="79"/>
      <c r="EM279" s="79"/>
      <c r="EN279" s="79"/>
      <c r="EO279" s="80"/>
      <c r="EP279" s="78"/>
    </row>
    <row r="280" spans="2:146" ht="11.25" customHeight="1" x14ac:dyDescent="0.2">
      <c r="B280" s="70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2"/>
      <c r="CZ280" s="72"/>
      <c r="DA280" s="72"/>
      <c r="DB280" s="72"/>
      <c r="DC280" s="72"/>
      <c r="DD280" s="72"/>
      <c r="DE280" s="72"/>
      <c r="DF280" s="72"/>
      <c r="DG280" s="72"/>
      <c r="DH280" s="72"/>
      <c r="DI280" s="72"/>
      <c r="DJ280" s="72"/>
      <c r="DK280" s="72"/>
      <c r="DL280" s="72"/>
      <c r="DM280" s="72"/>
      <c r="DN280" s="72"/>
      <c r="DO280" s="72"/>
      <c r="DP280" s="72"/>
      <c r="DQ280" s="72"/>
      <c r="DR280" s="72"/>
      <c r="DS280" s="72"/>
      <c r="DT280" s="72"/>
      <c r="DU280" s="72"/>
      <c r="DV280" s="72"/>
      <c r="DW280" s="72"/>
      <c r="DX280" s="72"/>
      <c r="DY280" s="72"/>
      <c r="DZ280" s="72"/>
      <c r="EA280" s="72"/>
      <c r="EB280" s="72"/>
      <c r="EC280" s="72"/>
      <c r="ED280" s="72"/>
      <c r="EE280" s="72"/>
      <c r="EF280" s="72"/>
      <c r="EG280" s="72"/>
      <c r="EH280" s="72"/>
      <c r="EI280" s="72"/>
      <c r="EJ280" s="72"/>
      <c r="EK280" s="72"/>
      <c r="EL280" s="79"/>
      <c r="EM280" s="79"/>
      <c r="EN280" s="79"/>
      <c r="EO280" s="80"/>
      <c r="EP280" s="78"/>
    </row>
    <row r="281" spans="2:146" ht="11.25" customHeight="1" x14ac:dyDescent="0.2">
      <c r="B281" s="70"/>
      <c r="C281" s="71"/>
      <c r="D281" s="71"/>
      <c r="E281" s="71"/>
      <c r="F281" s="71"/>
      <c r="G281" s="71" t="s">
        <v>43</v>
      </c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 t="s">
        <v>469</v>
      </c>
      <c r="S281" s="71"/>
      <c r="T281" s="71" t="str">
        <f>TEXT(노임단가!F4,"#,##0")</f>
        <v>172,068</v>
      </c>
      <c r="U281" s="71"/>
      <c r="V281" s="71"/>
      <c r="W281" s="71"/>
      <c r="X281" s="71"/>
      <c r="Y281" s="71"/>
      <c r="Z281" s="71"/>
      <c r="AA281" s="71"/>
      <c r="AB281" s="71"/>
      <c r="AC281" s="71"/>
      <c r="AD281" s="71" t="s">
        <v>542</v>
      </c>
      <c r="AE281" s="71"/>
      <c r="AF281" s="71" t="str">
        <f>TEXT(0.006,"#,##0.#######")</f>
        <v>0.006</v>
      </c>
      <c r="AG281" s="71"/>
      <c r="AH281" s="71"/>
      <c r="AI281" s="71"/>
      <c r="AJ281" s="71"/>
      <c r="AK281" s="71" t="s">
        <v>602</v>
      </c>
      <c r="AL281" s="71"/>
      <c r="AM281" s="71"/>
      <c r="AN281" s="71" t="s">
        <v>254</v>
      </c>
      <c r="AO281" s="71"/>
      <c r="AP281" s="71"/>
      <c r="AQ281" s="71"/>
      <c r="AR281" s="71"/>
      <c r="AS281" s="71" t="str">
        <f>TEXT(TRUNC(T281*AF281,1),"#,##0.#######")</f>
        <v>1,032.4</v>
      </c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2"/>
      <c r="CZ281" s="72"/>
      <c r="DA281" s="72"/>
      <c r="DB281" s="72"/>
      <c r="DC281" s="72"/>
      <c r="DD281" s="72"/>
      <c r="DE281" s="72"/>
      <c r="DF281" s="72"/>
      <c r="DG281" s="72"/>
      <c r="DH281" s="72"/>
      <c r="DI281" s="72"/>
      <c r="DJ281" s="72"/>
      <c r="DK281" s="72"/>
      <c r="DL281" s="72"/>
      <c r="DM281" s="72"/>
      <c r="DN281" s="72"/>
      <c r="DO281" s="72"/>
      <c r="DP281" s="72"/>
      <c r="DQ281" s="72"/>
      <c r="DR281" s="72"/>
      <c r="DS281" s="72"/>
      <c r="DT281" s="72"/>
      <c r="DU281" s="72"/>
      <c r="DV281" s="72"/>
      <c r="DW281" s="72"/>
      <c r="DX281" s="72"/>
      <c r="DY281" s="72"/>
      <c r="DZ281" s="72"/>
      <c r="EA281" s="72"/>
      <c r="EB281" s="72"/>
      <c r="EC281" s="72"/>
      <c r="ED281" s="72"/>
      <c r="EE281" s="72"/>
      <c r="EF281" s="72"/>
      <c r="EG281" s="72"/>
      <c r="EH281" s="72"/>
      <c r="EI281" s="72"/>
      <c r="EJ281" s="72"/>
      <c r="EK281" s="72"/>
      <c r="EL281" s="79"/>
      <c r="EM281" s="79"/>
      <c r="EN281" s="79"/>
      <c r="EO281" s="80"/>
      <c r="EP281" s="78"/>
    </row>
    <row r="282" spans="2:146" ht="11.25" customHeight="1" x14ac:dyDescent="0.2">
      <c r="B282" s="70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2"/>
      <c r="CZ282" s="72"/>
      <c r="DA282" s="72"/>
      <c r="DB282" s="72"/>
      <c r="DC282" s="72"/>
      <c r="DD282" s="72"/>
      <c r="DE282" s="72"/>
      <c r="DF282" s="72"/>
      <c r="DG282" s="72"/>
      <c r="DH282" s="72"/>
      <c r="DI282" s="72"/>
      <c r="DJ282" s="72"/>
      <c r="DK282" s="72"/>
      <c r="DL282" s="72"/>
      <c r="DM282" s="72"/>
      <c r="DN282" s="72"/>
      <c r="DO282" s="72"/>
      <c r="DP282" s="72"/>
      <c r="DQ282" s="72"/>
      <c r="DR282" s="72"/>
      <c r="DS282" s="72"/>
      <c r="DT282" s="72"/>
      <c r="DU282" s="72"/>
      <c r="DV282" s="72"/>
      <c r="DW282" s="72"/>
      <c r="DX282" s="72"/>
      <c r="DY282" s="72"/>
      <c r="DZ282" s="72"/>
      <c r="EA282" s="72"/>
      <c r="EB282" s="72"/>
      <c r="EC282" s="72"/>
      <c r="ED282" s="72"/>
      <c r="EE282" s="72"/>
      <c r="EF282" s="72"/>
      <c r="EG282" s="72"/>
      <c r="EH282" s="72"/>
      <c r="EI282" s="72"/>
      <c r="EJ282" s="72"/>
      <c r="EK282" s="72"/>
      <c r="EL282" s="79"/>
      <c r="EM282" s="79"/>
      <c r="EN282" s="79"/>
      <c r="EO282" s="80"/>
      <c r="EP282" s="78"/>
    </row>
    <row r="283" spans="2:146" ht="11.25" customHeight="1" x14ac:dyDescent="0.2">
      <c r="B283" s="70"/>
      <c r="C283" s="71"/>
      <c r="D283" s="71"/>
      <c r="E283" s="71"/>
      <c r="F283" s="71"/>
      <c r="G283" s="71" t="s">
        <v>440</v>
      </c>
      <c r="H283" s="71"/>
      <c r="I283" s="71"/>
      <c r="J283" s="71"/>
      <c r="K283" s="71"/>
      <c r="L283" s="71"/>
      <c r="M283" s="71"/>
      <c r="N283" s="71"/>
      <c r="O283" s="71"/>
      <c r="P283" s="71" t="s">
        <v>469</v>
      </c>
      <c r="Q283" s="71"/>
      <c r="R283" s="71" t="str">
        <f>TEXT(TRUNC(AQ279+AS281,1),"#,##0.#######")</f>
        <v>9,030.3</v>
      </c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9"/>
      <c r="EM283" s="79"/>
      <c r="EN283" s="79" t="str">
        <f>R283</f>
        <v>9,030.3</v>
      </c>
      <c r="EO283" s="80"/>
      <c r="EP283" s="78"/>
    </row>
    <row r="284" spans="2:146" ht="11.25" customHeight="1" x14ac:dyDescent="0.2">
      <c r="B284" s="70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9"/>
      <c r="EM284" s="79"/>
      <c r="EN284" s="79"/>
      <c r="EO284" s="80"/>
      <c r="EP284" s="78"/>
    </row>
    <row r="285" spans="2:146" ht="11.25" customHeight="1" x14ac:dyDescent="0.2">
      <c r="B285" s="70"/>
      <c r="C285" s="71"/>
      <c r="D285" s="71" t="s">
        <v>655</v>
      </c>
      <c r="E285" s="71"/>
      <c r="F285" s="71"/>
      <c r="G285" s="71" t="s">
        <v>437</v>
      </c>
      <c r="H285" s="71"/>
      <c r="I285" s="71"/>
      <c r="J285" s="71"/>
      <c r="K285" s="71" t="s">
        <v>341</v>
      </c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9"/>
      <c r="EM285" s="79"/>
      <c r="EN285" s="79"/>
      <c r="EO285" s="80"/>
      <c r="EP285" s="78"/>
    </row>
    <row r="286" spans="2:146" ht="11.25" customHeight="1" x14ac:dyDescent="0.2">
      <c r="B286" s="70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2"/>
      <c r="CZ286" s="72"/>
      <c r="DA286" s="72"/>
      <c r="DB286" s="7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72"/>
      <c r="DP286" s="72"/>
      <c r="DQ286" s="72"/>
      <c r="DR286" s="72"/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  <c r="EE286" s="72"/>
      <c r="EF286" s="72"/>
      <c r="EG286" s="72"/>
      <c r="EH286" s="72"/>
      <c r="EI286" s="72"/>
      <c r="EJ286" s="72"/>
      <c r="EK286" s="72"/>
      <c r="EL286" s="79"/>
      <c r="EM286" s="79"/>
      <c r="EN286" s="79"/>
      <c r="EO286" s="80"/>
      <c r="EP286" s="78"/>
    </row>
    <row r="287" spans="2:146" ht="11.25" customHeight="1" x14ac:dyDescent="0.2">
      <c r="B287" s="70"/>
      <c r="C287" s="71"/>
      <c r="D287" s="71"/>
      <c r="E287" s="71"/>
      <c r="F287" s="71"/>
      <c r="G287" s="71"/>
      <c r="H287" s="71" t="s">
        <v>543</v>
      </c>
      <c r="I287" s="71"/>
      <c r="J287" s="71"/>
      <c r="K287" s="71"/>
      <c r="L287" s="71"/>
      <c r="M287" s="71"/>
      <c r="N287" s="71"/>
      <c r="O287" s="71" t="s">
        <v>469</v>
      </c>
      <c r="P287" s="71"/>
      <c r="Q287" s="71" t="str">
        <f>TEXT(TRUNC(EN283,0),"#,##0")</f>
        <v>9,030</v>
      </c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2"/>
      <c r="CZ287" s="72"/>
      <c r="DA287" s="72"/>
      <c r="DB287" s="7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72"/>
      <c r="DP287" s="72"/>
      <c r="DQ287" s="72"/>
      <c r="DR287" s="72"/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  <c r="EE287" s="72"/>
      <c r="EF287" s="72"/>
      <c r="EG287" s="72"/>
      <c r="EH287" s="72"/>
      <c r="EI287" s="72"/>
      <c r="EJ287" s="72"/>
      <c r="EK287" s="72"/>
      <c r="EL287" s="79"/>
      <c r="EM287" s="79"/>
      <c r="EN287" s="79"/>
      <c r="EO287" s="80"/>
      <c r="EP287" s="78"/>
    </row>
    <row r="288" spans="2:146" ht="11.25" customHeight="1" x14ac:dyDescent="0.2">
      <c r="B288" s="70"/>
      <c r="C288" s="71"/>
      <c r="D288" s="71"/>
      <c r="E288" s="71"/>
      <c r="F288" s="71"/>
      <c r="G288" s="71"/>
      <c r="H288" s="71" t="s">
        <v>400</v>
      </c>
      <c r="I288" s="71"/>
      <c r="J288" s="71"/>
      <c r="K288" s="71"/>
      <c r="L288" s="71"/>
      <c r="M288" s="71"/>
      <c r="N288" s="71"/>
      <c r="O288" s="71" t="s">
        <v>469</v>
      </c>
      <c r="P288" s="71"/>
      <c r="Q288" s="71" t="str">
        <f>TEXT(TRUNC(EM275,0),"#,##0")</f>
        <v>1,316</v>
      </c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  <c r="CV288" s="71"/>
      <c r="CW288" s="71"/>
      <c r="CX288" s="71"/>
      <c r="CY288" s="72"/>
      <c r="CZ288" s="72"/>
      <c r="DA288" s="72"/>
      <c r="DB288" s="7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72"/>
      <c r="DP288" s="72"/>
      <c r="DQ288" s="72"/>
      <c r="DR288" s="72"/>
      <c r="DS288" s="72"/>
      <c r="DT288" s="72"/>
      <c r="DU288" s="72"/>
      <c r="DV288" s="72"/>
      <c r="DW288" s="72"/>
      <c r="DX288" s="72"/>
      <c r="DY288" s="72"/>
      <c r="DZ288" s="72"/>
      <c r="EA288" s="72"/>
      <c r="EB288" s="72"/>
      <c r="EC288" s="72"/>
      <c r="ED288" s="72"/>
      <c r="EE288" s="72"/>
      <c r="EF288" s="72"/>
      <c r="EG288" s="72"/>
      <c r="EH288" s="72"/>
      <c r="EI288" s="72"/>
      <c r="EJ288" s="72"/>
      <c r="EK288" s="72"/>
      <c r="EL288" s="79"/>
      <c r="EM288" s="79"/>
      <c r="EN288" s="79"/>
      <c r="EO288" s="80"/>
      <c r="EP288" s="78"/>
    </row>
    <row r="289" spans="2:146" ht="11.25" customHeight="1" x14ac:dyDescent="0.2">
      <c r="B289" s="73"/>
      <c r="C289" s="64"/>
      <c r="D289" s="64"/>
      <c r="E289" s="64"/>
      <c r="F289" s="64"/>
      <c r="G289" s="64"/>
      <c r="H289" s="64" t="s">
        <v>147</v>
      </c>
      <c r="I289" s="64"/>
      <c r="J289" s="64"/>
      <c r="K289" s="64"/>
      <c r="L289" s="64" t="s">
        <v>342</v>
      </c>
      <c r="M289" s="64"/>
      <c r="N289" s="64"/>
      <c r="O289" s="64" t="s">
        <v>469</v>
      </c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64"/>
      <c r="BX289" s="64"/>
      <c r="BY289" s="64"/>
      <c r="BZ289" s="64"/>
      <c r="CA289" s="64"/>
      <c r="CB289" s="64"/>
      <c r="CC289" s="64"/>
      <c r="CD289" s="64"/>
      <c r="CE289" s="64"/>
      <c r="CF289" s="64"/>
      <c r="CG289" s="64"/>
      <c r="CH289" s="64"/>
      <c r="CI289" s="64"/>
      <c r="CJ289" s="64"/>
      <c r="CK289" s="64"/>
      <c r="CL289" s="64"/>
      <c r="CM289" s="64"/>
      <c r="CN289" s="64"/>
      <c r="CO289" s="64"/>
      <c r="CP289" s="64"/>
      <c r="CQ289" s="64"/>
      <c r="CR289" s="64"/>
      <c r="CS289" s="64"/>
      <c r="CT289" s="64"/>
      <c r="CU289" s="64"/>
      <c r="CV289" s="64"/>
      <c r="CW289" s="64"/>
      <c r="CX289" s="6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  <c r="DK289" s="74"/>
      <c r="DL289" s="74"/>
      <c r="DM289" s="74"/>
      <c r="DN289" s="74"/>
      <c r="DO289" s="74"/>
      <c r="DP289" s="74"/>
      <c r="DQ289" s="74"/>
      <c r="DR289" s="74"/>
      <c r="DS289" s="74"/>
      <c r="DT289" s="74"/>
      <c r="DU289" s="74"/>
      <c r="DV289" s="74"/>
      <c r="DW289" s="74"/>
      <c r="DX289" s="74"/>
      <c r="DY289" s="74"/>
      <c r="DZ289" s="74"/>
      <c r="EA289" s="74"/>
      <c r="EB289" s="74"/>
      <c r="EC289" s="74"/>
      <c r="ED289" s="74"/>
      <c r="EE289" s="74"/>
      <c r="EF289" s="74"/>
      <c r="EG289" s="74"/>
      <c r="EH289" s="74"/>
      <c r="EI289" s="74"/>
      <c r="EJ289" s="74"/>
      <c r="EK289" s="74"/>
      <c r="EL289" s="82"/>
      <c r="EM289" s="82"/>
      <c r="EN289" s="82"/>
      <c r="EO289" s="83"/>
      <c r="EP289" s="78"/>
    </row>
    <row r="290" spans="2:146" ht="11.25" customHeight="1" x14ac:dyDescent="0.2">
      <c r="B290" s="70"/>
      <c r="C290" s="71"/>
      <c r="D290" s="71"/>
      <c r="E290" s="71"/>
      <c r="F290" s="71"/>
      <c r="G290" s="71"/>
      <c r="H290" s="71"/>
      <c r="I290" s="71"/>
      <c r="J290" s="71" t="s">
        <v>341</v>
      </c>
      <c r="K290" s="71"/>
      <c r="L290" s="71"/>
      <c r="M290" s="71"/>
      <c r="N290" s="71"/>
      <c r="O290" s="71" t="s">
        <v>469</v>
      </c>
      <c r="P290" s="71"/>
      <c r="Q290" s="71"/>
      <c r="R290" s="71" t="str">
        <f>TEXT(Q287+Q288,"#,##0")</f>
        <v>10,346</v>
      </c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2"/>
      <c r="CZ290" s="72"/>
      <c r="DA290" s="72"/>
      <c r="DB290" s="72"/>
      <c r="DC290" s="72"/>
      <c r="DD290" s="72"/>
      <c r="DE290" s="72"/>
      <c r="DF290" s="72"/>
      <c r="DG290" s="72"/>
      <c r="DH290" s="72"/>
      <c r="DI290" s="72"/>
      <c r="DJ290" s="72"/>
      <c r="DK290" s="72"/>
      <c r="DL290" s="72"/>
      <c r="DM290" s="72"/>
      <c r="DN290" s="72"/>
      <c r="DO290" s="72"/>
      <c r="DP290" s="72"/>
      <c r="DQ290" s="72"/>
      <c r="DR290" s="72"/>
      <c r="DS290" s="72"/>
      <c r="DT290" s="72"/>
      <c r="DU290" s="72"/>
      <c r="DV290" s="72"/>
      <c r="DW290" s="72"/>
      <c r="DX290" s="72"/>
      <c r="DY290" s="72"/>
      <c r="DZ290" s="72"/>
      <c r="EA290" s="72"/>
      <c r="EB290" s="72"/>
      <c r="EC290" s="72"/>
      <c r="ED290" s="72"/>
      <c r="EE290" s="72"/>
      <c r="EF290" s="72"/>
      <c r="EG290" s="72"/>
      <c r="EH290" s="72"/>
      <c r="EI290" s="72"/>
      <c r="EJ290" s="72"/>
      <c r="EK290" s="72"/>
      <c r="EL290" s="81">
        <f>EN290+EM290+EO290</f>
        <v>10346</v>
      </c>
      <c r="EM290" s="79" t="str">
        <f>TEXT(Q288,"#,##0")</f>
        <v>1,316</v>
      </c>
      <c r="EN290" s="79" t="str">
        <f>TEXT(Q287,"#,##0")</f>
        <v>9,030</v>
      </c>
      <c r="EO290" s="80"/>
      <c r="EP290" s="78"/>
    </row>
    <row r="291" spans="2:146" ht="11.25" customHeight="1" x14ac:dyDescent="0.2">
      <c r="B291" s="70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1"/>
      <c r="CV291" s="71"/>
      <c r="CW291" s="71"/>
      <c r="CX291" s="71"/>
      <c r="CY291" s="72"/>
      <c r="CZ291" s="72"/>
      <c r="DA291" s="72"/>
      <c r="DB291" s="72"/>
      <c r="DC291" s="72"/>
      <c r="DD291" s="72"/>
      <c r="DE291" s="72"/>
      <c r="DF291" s="72"/>
      <c r="DG291" s="72"/>
      <c r="DH291" s="72"/>
      <c r="DI291" s="72"/>
      <c r="DJ291" s="72"/>
      <c r="DK291" s="72"/>
      <c r="DL291" s="72"/>
      <c r="DM291" s="72"/>
      <c r="DN291" s="72"/>
      <c r="DO291" s="72"/>
      <c r="DP291" s="72"/>
      <c r="DQ291" s="72"/>
      <c r="DR291" s="72"/>
      <c r="DS291" s="72"/>
      <c r="DT291" s="72"/>
      <c r="DU291" s="72"/>
      <c r="DV291" s="72"/>
      <c r="DW291" s="72"/>
      <c r="DX291" s="72"/>
      <c r="DY291" s="72"/>
      <c r="DZ291" s="72"/>
      <c r="EA291" s="72"/>
      <c r="EB291" s="72"/>
      <c r="EC291" s="72"/>
      <c r="ED291" s="72"/>
      <c r="EE291" s="72"/>
      <c r="EF291" s="72"/>
      <c r="EG291" s="72"/>
      <c r="EH291" s="72"/>
      <c r="EI291" s="72"/>
      <c r="EJ291" s="72"/>
      <c r="EK291" s="72"/>
      <c r="EL291" s="79"/>
      <c r="EM291" s="79"/>
      <c r="EN291" s="79"/>
      <c r="EO291" s="80"/>
      <c r="EP291" s="78"/>
    </row>
    <row r="292" spans="2:146" ht="11.25" customHeight="1" x14ac:dyDescent="0.2">
      <c r="B292" s="75" t="s">
        <v>390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 s="71"/>
      <c r="CV292" s="71"/>
      <c r="CW292" s="71"/>
      <c r="CX292" s="71"/>
      <c r="CY292" s="72"/>
      <c r="CZ292" s="72"/>
      <c r="DA292" s="72"/>
      <c r="DB292" s="72"/>
      <c r="DC292" s="72"/>
      <c r="DD292" s="72"/>
      <c r="DE292" s="72"/>
      <c r="DF292" s="72"/>
      <c r="DG292" s="72"/>
      <c r="DH292" s="72"/>
      <c r="DI292" s="72"/>
      <c r="DJ292" s="72"/>
      <c r="DK292" s="72"/>
      <c r="DL292" s="72"/>
      <c r="DM292" s="72"/>
      <c r="DN292" s="72"/>
      <c r="DO292" s="72"/>
      <c r="DP292" s="72"/>
      <c r="DQ292" s="72"/>
      <c r="DR292" s="72"/>
      <c r="DS292" s="72"/>
      <c r="DT292" s="72"/>
      <c r="DU292" s="72"/>
      <c r="DV292" s="72"/>
      <c r="DW292" s="72"/>
      <c r="DX292" s="72"/>
      <c r="DY292" s="72"/>
      <c r="DZ292" s="72"/>
      <c r="EA292" s="72"/>
      <c r="EB292" s="72"/>
      <c r="EC292" s="72"/>
      <c r="ED292" s="72"/>
      <c r="EE292" s="72"/>
      <c r="EF292" s="72"/>
      <c r="EG292" s="72"/>
      <c r="EH292" s="72"/>
      <c r="EI292" s="72"/>
      <c r="EJ292" s="72"/>
      <c r="EK292" s="72"/>
      <c r="EL292" s="76">
        <f>EL334</f>
        <v>15691</v>
      </c>
      <c r="EM292" s="76" t="str">
        <f>EM334</f>
        <v>2,225</v>
      </c>
      <c r="EN292" s="76" t="str">
        <f>EN334</f>
        <v>11,649</v>
      </c>
      <c r="EO292" s="77" t="str">
        <f>EO334</f>
        <v>1,817</v>
      </c>
      <c r="EP292" s="78"/>
    </row>
    <row r="293" spans="2:146" ht="11.25" customHeight="1" x14ac:dyDescent="0.2">
      <c r="B293" s="70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 s="71"/>
      <c r="CV293" s="71"/>
      <c r="CW293" s="71"/>
      <c r="CX293" s="71"/>
      <c r="CY293" s="72"/>
      <c r="CZ293" s="72"/>
      <c r="DA293" s="72"/>
      <c r="DB293" s="72"/>
      <c r="DC293" s="72"/>
      <c r="DD293" s="72"/>
      <c r="DE293" s="72"/>
      <c r="DF293" s="72"/>
      <c r="DG293" s="72"/>
      <c r="DH293" s="72"/>
      <c r="DI293" s="72"/>
      <c r="DJ293" s="72"/>
      <c r="DK293" s="72"/>
      <c r="DL293" s="72"/>
      <c r="DM293" s="72"/>
      <c r="DN293" s="72"/>
      <c r="DO293" s="72"/>
      <c r="DP293" s="72"/>
      <c r="DQ293" s="72"/>
      <c r="DR293" s="72"/>
      <c r="DS293" s="72"/>
      <c r="DT293" s="72"/>
      <c r="DU293" s="72"/>
      <c r="DV293" s="72"/>
      <c r="DW293" s="72"/>
      <c r="DX293" s="72"/>
      <c r="DY293" s="72"/>
      <c r="DZ293" s="72"/>
      <c r="EA293" s="72"/>
      <c r="EB293" s="72"/>
      <c r="EC293" s="72"/>
      <c r="ED293" s="72"/>
      <c r="EE293" s="72"/>
      <c r="EF293" s="72"/>
      <c r="EG293" s="72"/>
      <c r="EH293" s="72"/>
      <c r="EI293" s="72"/>
      <c r="EJ293" s="72"/>
      <c r="EK293" s="72"/>
      <c r="EL293" s="79"/>
      <c r="EM293" s="79"/>
      <c r="EN293" s="79"/>
      <c r="EO293" s="80"/>
      <c r="EP293" s="78"/>
    </row>
    <row r="294" spans="2:146" ht="11.25" customHeight="1" x14ac:dyDescent="0.2">
      <c r="B294" s="70"/>
      <c r="C294" s="71"/>
      <c r="D294" s="71"/>
      <c r="E294" s="71"/>
      <c r="F294" s="71" t="s">
        <v>141</v>
      </c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 s="71"/>
      <c r="CR294" s="71"/>
      <c r="CS294" s="71"/>
      <c r="CT294" s="71"/>
      <c r="CU294" s="71"/>
      <c r="CV294" s="71"/>
      <c r="CW294" s="71"/>
      <c r="CX294" s="71"/>
      <c r="CY294" s="72"/>
      <c r="CZ294" s="72"/>
      <c r="DA294" s="72"/>
      <c r="DB294" s="72"/>
      <c r="DC294" s="72"/>
      <c r="DD294" s="72"/>
      <c r="DE294" s="72"/>
      <c r="DF294" s="72"/>
      <c r="DG294" s="72"/>
      <c r="DH294" s="72"/>
      <c r="DI294" s="72"/>
      <c r="DJ294" s="72"/>
      <c r="DK294" s="72"/>
      <c r="DL294" s="72"/>
      <c r="DM294" s="72"/>
      <c r="DN294" s="72"/>
      <c r="DO294" s="72"/>
      <c r="DP294" s="72"/>
      <c r="DQ294" s="72"/>
      <c r="DR294" s="72"/>
      <c r="DS294" s="72"/>
      <c r="DT294" s="72"/>
      <c r="DU294" s="72"/>
      <c r="DV294" s="72"/>
      <c r="DW294" s="72"/>
      <c r="DX294" s="72"/>
      <c r="DY294" s="72"/>
      <c r="DZ294" s="72"/>
      <c r="EA294" s="72"/>
      <c r="EB294" s="72"/>
      <c r="EC294" s="72"/>
      <c r="ED294" s="72"/>
      <c r="EE294" s="72"/>
      <c r="EF294" s="72"/>
      <c r="EG294" s="72"/>
      <c r="EH294" s="72"/>
      <c r="EI294" s="72"/>
      <c r="EJ294" s="72"/>
      <c r="EK294" s="72"/>
      <c r="EL294" s="79"/>
      <c r="EM294" s="79"/>
      <c r="EN294" s="79"/>
      <c r="EO294" s="80"/>
      <c r="EP294" s="78"/>
    </row>
    <row r="295" spans="2:146" ht="11.25" customHeight="1" x14ac:dyDescent="0.2">
      <c r="B295" s="70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2"/>
      <c r="CZ295" s="72"/>
      <c r="DA295" s="72"/>
      <c r="DB295" s="72"/>
      <c r="DC295" s="72"/>
      <c r="DD295" s="72"/>
      <c r="DE295" s="72"/>
      <c r="DF295" s="72"/>
      <c r="DG295" s="72"/>
      <c r="DH295" s="72"/>
      <c r="DI295" s="72"/>
      <c r="DJ295" s="72"/>
      <c r="DK295" s="72"/>
      <c r="DL295" s="72"/>
      <c r="DM295" s="72"/>
      <c r="DN295" s="72"/>
      <c r="DO295" s="72"/>
      <c r="DP295" s="72"/>
      <c r="DQ295" s="72"/>
      <c r="DR295" s="72"/>
      <c r="DS295" s="72"/>
      <c r="DT295" s="72"/>
      <c r="DU295" s="72"/>
      <c r="DV295" s="72"/>
      <c r="DW295" s="72"/>
      <c r="DX295" s="72"/>
      <c r="DY295" s="72"/>
      <c r="DZ295" s="72"/>
      <c r="EA295" s="72"/>
      <c r="EB295" s="72"/>
      <c r="EC295" s="72"/>
      <c r="ED295" s="72"/>
      <c r="EE295" s="72"/>
      <c r="EF295" s="72"/>
      <c r="EG295" s="72"/>
      <c r="EH295" s="72"/>
      <c r="EI295" s="72"/>
      <c r="EJ295" s="72"/>
      <c r="EK295" s="72"/>
      <c r="EL295" s="79"/>
      <c r="EM295" s="79"/>
      <c r="EN295" s="79"/>
      <c r="EO295" s="80"/>
      <c r="EP295" s="78"/>
    </row>
    <row r="296" spans="2:146" ht="11.25" customHeight="1" x14ac:dyDescent="0.2">
      <c r="B296" s="70"/>
      <c r="C296" s="71"/>
      <c r="D296" s="71"/>
      <c r="E296" s="71" t="s">
        <v>612</v>
      </c>
      <c r="F296" s="71"/>
      <c r="G296" s="71"/>
      <c r="H296" s="71" t="s">
        <v>187</v>
      </c>
      <c r="I296" s="71" t="s">
        <v>589</v>
      </c>
      <c r="J296" s="71"/>
      <c r="K296" s="71"/>
      <c r="L296" s="71" t="s">
        <v>28</v>
      </c>
      <c r="M296" s="71"/>
      <c r="N296" s="71"/>
      <c r="O296" s="71"/>
      <c r="P296" s="71"/>
      <c r="Q296" s="71"/>
      <c r="R296" s="71"/>
      <c r="S296" s="71" t="s">
        <v>469</v>
      </c>
      <c r="T296" s="71"/>
      <c r="U296" s="71" t="s">
        <v>218</v>
      </c>
      <c r="V296" s="71"/>
      <c r="W296" s="71"/>
      <c r="X296" s="71" t="s">
        <v>254</v>
      </c>
      <c r="Y296" s="71"/>
      <c r="Z296" s="71" t="str">
        <f>TEXT(150,"#,##0.#######")</f>
        <v>150.</v>
      </c>
      <c r="AA296" s="71"/>
      <c r="AB296" s="71"/>
      <c r="AC296" s="71" t="s">
        <v>452</v>
      </c>
      <c r="AD296" s="71"/>
      <c r="AE296" s="71" t="s">
        <v>112</v>
      </c>
      <c r="AF296" s="71" t="s">
        <v>589</v>
      </c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1"/>
      <c r="CV296" s="71"/>
      <c r="CW296" s="71"/>
      <c r="CX296" s="71"/>
      <c r="CY296" s="72"/>
      <c r="CZ296" s="72"/>
      <c r="DA296" s="72"/>
      <c r="DB296" s="72"/>
      <c r="DC296" s="72"/>
      <c r="DD296" s="72"/>
      <c r="DE296" s="72"/>
      <c r="DF296" s="72"/>
      <c r="DG296" s="72"/>
      <c r="DH296" s="72"/>
      <c r="DI296" s="72"/>
      <c r="DJ296" s="72"/>
      <c r="DK296" s="72"/>
      <c r="DL296" s="72"/>
      <c r="DM296" s="72"/>
      <c r="DN296" s="72"/>
      <c r="DO296" s="72"/>
      <c r="DP296" s="72"/>
      <c r="DQ296" s="72"/>
      <c r="DR296" s="72"/>
      <c r="DS296" s="72"/>
      <c r="DT296" s="72"/>
      <c r="DU296" s="72"/>
      <c r="DV296" s="72"/>
      <c r="DW296" s="72"/>
      <c r="DX296" s="72"/>
      <c r="DY296" s="72"/>
      <c r="DZ296" s="72"/>
      <c r="EA296" s="72"/>
      <c r="EB296" s="72"/>
      <c r="EC296" s="72"/>
      <c r="ED296" s="72"/>
      <c r="EE296" s="72"/>
      <c r="EF296" s="72"/>
      <c r="EG296" s="72"/>
      <c r="EH296" s="72"/>
      <c r="EI296" s="72"/>
      <c r="EJ296" s="72"/>
      <c r="EK296" s="72"/>
      <c r="EL296" s="79"/>
      <c r="EM296" s="79"/>
      <c r="EN296" s="79"/>
      <c r="EO296" s="80"/>
      <c r="EP296" s="78"/>
    </row>
    <row r="297" spans="2:146" ht="11.25" customHeight="1" x14ac:dyDescent="0.2">
      <c r="B297" s="70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2"/>
      <c r="CZ297" s="72"/>
      <c r="DA297" s="72"/>
      <c r="DB297" s="72"/>
      <c r="DC297" s="72"/>
      <c r="DD297" s="72"/>
      <c r="DE297" s="72"/>
      <c r="DF297" s="72"/>
      <c r="DG297" s="72"/>
      <c r="DH297" s="72"/>
      <c r="DI297" s="72"/>
      <c r="DJ297" s="72"/>
      <c r="DK297" s="72"/>
      <c r="DL297" s="72"/>
      <c r="DM297" s="72"/>
      <c r="DN297" s="72"/>
      <c r="DO297" s="72"/>
      <c r="DP297" s="72"/>
      <c r="DQ297" s="72"/>
      <c r="DR297" s="72"/>
      <c r="DS297" s="72"/>
      <c r="DT297" s="72"/>
      <c r="DU297" s="72"/>
      <c r="DV297" s="72"/>
      <c r="DW297" s="72"/>
      <c r="DX297" s="72"/>
      <c r="DY297" s="72"/>
      <c r="DZ297" s="72"/>
      <c r="EA297" s="72"/>
      <c r="EB297" s="72"/>
      <c r="EC297" s="72"/>
      <c r="ED297" s="72"/>
      <c r="EE297" s="72"/>
      <c r="EF297" s="72"/>
      <c r="EG297" s="72"/>
      <c r="EH297" s="72"/>
      <c r="EI297" s="72"/>
      <c r="EJ297" s="72"/>
      <c r="EK297" s="72"/>
      <c r="EL297" s="79"/>
      <c r="EM297" s="79"/>
      <c r="EN297" s="79"/>
      <c r="EO297" s="80"/>
      <c r="EP297" s="78"/>
    </row>
    <row r="298" spans="2:146" ht="11.25" customHeight="1" x14ac:dyDescent="0.2">
      <c r="B298" s="70"/>
      <c r="C298" s="71"/>
      <c r="D298" s="71"/>
      <c r="E298" s="71"/>
      <c r="F298" s="71"/>
      <c r="G298" s="71"/>
      <c r="H298" s="71" t="s">
        <v>432</v>
      </c>
      <c r="I298" s="71"/>
      <c r="J298" s="71"/>
      <c r="K298" s="71"/>
      <c r="L298" s="71"/>
      <c r="M298" s="71"/>
      <c r="N298" s="71"/>
      <c r="O298" s="71" t="s">
        <v>28</v>
      </c>
      <c r="P298" s="71"/>
      <c r="Q298" s="71"/>
      <c r="R298" s="71"/>
      <c r="S298" s="71"/>
      <c r="T298" s="71"/>
      <c r="U298" s="71"/>
      <c r="V298" s="71" t="s">
        <v>469</v>
      </c>
      <c r="W298" s="71"/>
      <c r="X298" s="71" t="s">
        <v>40</v>
      </c>
      <c r="Y298" s="71"/>
      <c r="Z298" s="71" t="s">
        <v>254</v>
      </c>
      <c r="AA298" s="71"/>
      <c r="AB298" s="71" t="s">
        <v>218</v>
      </c>
      <c r="AC298" s="71"/>
      <c r="AD298" s="71"/>
      <c r="AE298" s="71" t="s">
        <v>309</v>
      </c>
      <c r="AF298" s="71"/>
      <c r="AG298" s="71"/>
      <c r="AH298" s="71" t="str">
        <f>TEXT(8,"#,##0.#######")</f>
        <v>8.</v>
      </c>
      <c r="AI298" s="71" t="s">
        <v>467</v>
      </c>
      <c r="AJ298" s="71"/>
      <c r="AK298" s="71"/>
      <c r="AL298" s="71" t="s">
        <v>254</v>
      </c>
      <c r="AM298" s="71"/>
      <c r="AN298" s="71" t="str">
        <f>TEXT(Z296,"#,##0.#######")</f>
        <v>150.</v>
      </c>
      <c r="AO298" s="71"/>
      <c r="AP298" s="71"/>
      <c r="AQ298" s="71"/>
      <c r="AR298" s="71" t="s">
        <v>309</v>
      </c>
      <c r="AS298" s="71"/>
      <c r="AT298" s="71"/>
      <c r="AU298" s="71" t="str">
        <f>TEXT(AH298,"#,##0.#######")</f>
        <v>8.</v>
      </c>
      <c r="AV298" s="71"/>
      <c r="AW298" s="71" t="s">
        <v>254</v>
      </c>
      <c r="AX298" s="71"/>
      <c r="AY298" s="71"/>
      <c r="AZ298" s="71" t="str">
        <f>TEXT(ROUND(Z296/AH298,2),"#,##0.#######")</f>
        <v>18.75</v>
      </c>
      <c r="BA298" s="71"/>
      <c r="BB298" s="71"/>
      <c r="BC298" s="71"/>
      <c r="BD298" s="71"/>
      <c r="BE298" s="71"/>
      <c r="BF298" s="71"/>
      <c r="BG298" s="71"/>
      <c r="BH298" s="71" t="s">
        <v>452</v>
      </c>
      <c r="BI298" s="71"/>
      <c r="BJ298" s="71" t="s">
        <v>112</v>
      </c>
      <c r="BK298" s="71" t="s">
        <v>467</v>
      </c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2"/>
      <c r="CZ298" s="72"/>
      <c r="DA298" s="72"/>
      <c r="DB298" s="72"/>
      <c r="DC298" s="72"/>
      <c r="DD298" s="72"/>
      <c r="DE298" s="72"/>
      <c r="DF298" s="72"/>
      <c r="DG298" s="72"/>
      <c r="DH298" s="72"/>
      <c r="DI298" s="72"/>
      <c r="DJ298" s="72"/>
      <c r="DK298" s="72"/>
      <c r="DL298" s="72"/>
      <c r="DM298" s="72"/>
      <c r="DN298" s="72"/>
      <c r="DO298" s="72"/>
      <c r="DP298" s="72"/>
      <c r="DQ298" s="72"/>
      <c r="DR298" s="72"/>
      <c r="DS298" s="72"/>
      <c r="DT298" s="72"/>
      <c r="DU298" s="72"/>
      <c r="DV298" s="72"/>
      <c r="DW298" s="72"/>
      <c r="DX298" s="72"/>
      <c r="DY298" s="72"/>
      <c r="DZ298" s="72"/>
      <c r="EA298" s="72"/>
      <c r="EB298" s="72"/>
      <c r="EC298" s="72"/>
      <c r="ED298" s="72"/>
      <c r="EE298" s="72"/>
      <c r="EF298" s="72"/>
      <c r="EG298" s="72"/>
      <c r="EH298" s="72"/>
      <c r="EI298" s="72"/>
      <c r="EJ298" s="72"/>
      <c r="EK298" s="72"/>
      <c r="EL298" s="79"/>
      <c r="EM298" s="79"/>
      <c r="EN298" s="79"/>
      <c r="EO298" s="80"/>
      <c r="EP298" s="78"/>
    </row>
    <row r="299" spans="2:146" ht="11.25" customHeight="1" x14ac:dyDescent="0.2">
      <c r="B299" s="70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2"/>
      <c r="CZ299" s="72"/>
      <c r="DA299" s="72"/>
      <c r="DB299" s="72"/>
      <c r="DC299" s="72"/>
      <c r="DD299" s="72"/>
      <c r="DE299" s="72"/>
      <c r="DF299" s="72"/>
      <c r="DG299" s="72"/>
      <c r="DH299" s="72"/>
      <c r="DI299" s="72"/>
      <c r="DJ299" s="72"/>
      <c r="DK299" s="72"/>
      <c r="DL299" s="72"/>
      <c r="DM299" s="72"/>
      <c r="DN299" s="72"/>
      <c r="DO299" s="72"/>
      <c r="DP299" s="72"/>
      <c r="DQ299" s="72"/>
      <c r="DR299" s="72"/>
      <c r="DS299" s="72"/>
      <c r="DT299" s="72"/>
      <c r="DU299" s="72"/>
      <c r="DV299" s="72"/>
      <c r="DW299" s="72"/>
      <c r="DX299" s="72"/>
      <c r="DY299" s="72"/>
      <c r="DZ299" s="72"/>
      <c r="EA299" s="72"/>
      <c r="EB299" s="72"/>
      <c r="EC299" s="72"/>
      <c r="ED299" s="72"/>
      <c r="EE299" s="72"/>
      <c r="EF299" s="72"/>
      <c r="EG299" s="72"/>
      <c r="EH299" s="72"/>
      <c r="EI299" s="72"/>
      <c r="EJ299" s="72"/>
      <c r="EK299" s="72"/>
      <c r="EL299" s="79"/>
      <c r="EM299" s="79"/>
      <c r="EN299" s="79"/>
      <c r="EO299" s="80"/>
      <c r="EP299" s="78"/>
    </row>
    <row r="300" spans="2:146" ht="11.25" customHeight="1" x14ac:dyDescent="0.2">
      <c r="B300" s="70"/>
      <c r="C300" s="71"/>
      <c r="D300" s="71" t="s">
        <v>315</v>
      </c>
      <c r="E300" s="71"/>
      <c r="F300" s="71"/>
      <c r="G300" s="71" t="s">
        <v>139</v>
      </c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2"/>
      <c r="CZ300" s="72"/>
      <c r="DA300" s="72"/>
      <c r="DB300" s="72"/>
      <c r="DC300" s="72"/>
      <c r="DD300" s="72"/>
      <c r="DE300" s="72"/>
      <c r="DF300" s="72"/>
      <c r="DG300" s="72"/>
      <c r="DH300" s="72"/>
      <c r="DI300" s="72"/>
      <c r="DJ300" s="72"/>
      <c r="DK300" s="72"/>
      <c r="DL300" s="72"/>
      <c r="DM300" s="72"/>
      <c r="DN300" s="72"/>
      <c r="DO300" s="72"/>
      <c r="DP300" s="72"/>
      <c r="DQ300" s="72"/>
      <c r="DR300" s="72"/>
      <c r="DS300" s="72"/>
      <c r="DT300" s="72"/>
      <c r="DU300" s="72"/>
      <c r="DV300" s="72"/>
      <c r="DW300" s="72"/>
      <c r="DX300" s="72"/>
      <c r="DY300" s="72"/>
      <c r="DZ300" s="72"/>
      <c r="EA300" s="72"/>
      <c r="EB300" s="72"/>
      <c r="EC300" s="72"/>
      <c r="ED300" s="72"/>
      <c r="EE300" s="72"/>
      <c r="EF300" s="72"/>
      <c r="EG300" s="72"/>
      <c r="EH300" s="72"/>
      <c r="EI300" s="72"/>
      <c r="EJ300" s="72"/>
      <c r="EK300" s="72"/>
      <c r="EL300" s="79"/>
      <c r="EM300" s="79"/>
      <c r="EN300" s="79"/>
      <c r="EO300" s="80"/>
      <c r="EP300" s="78"/>
    </row>
    <row r="301" spans="2:146" ht="11.25" customHeight="1" x14ac:dyDescent="0.2">
      <c r="B301" s="70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2"/>
      <c r="CZ301" s="72"/>
      <c r="DA301" s="72"/>
      <c r="DB301" s="72"/>
      <c r="DC301" s="72"/>
      <c r="DD301" s="72"/>
      <c r="DE301" s="72"/>
      <c r="DF301" s="72"/>
      <c r="DG301" s="72"/>
      <c r="DH301" s="72"/>
      <c r="DI301" s="72"/>
      <c r="DJ301" s="72"/>
      <c r="DK301" s="72"/>
      <c r="DL301" s="72"/>
      <c r="DM301" s="72"/>
      <c r="DN301" s="72"/>
      <c r="DO301" s="72"/>
      <c r="DP301" s="72"/>
      <c r="DQ301" s="72"/>
      <c r="DR301" s="72"/>
      <c r="DS301" s="72"/>
      <c r="DT301" s="72"/>
      <c r="DU301" s="72"/>
      <c r="DV301" s="72"/>
      <c r="DW301" s="72"/>
      <c r="DX301" s="72"/>
      <c r="DY301" s="72"/>
      <c r="DZ301" s="72"/>
      <c r="EA301" s="72"/>
      <c r="EB301" s="72"/>
      <c r="EC301" s="72"/>
      <c r="ED301" s="72"/>
      <c r="EE301" s="72"/>
      <c r="EF301" s="72"/>
      <c r="EG301" s="72"/>
      <c r="EH301" s="72"/>
      <c r="EI301" s="72"/>
      <c r="EJ301" s="72"/>
      <c r="EK301" s="72"/>
      <c r="EL301" s="79"/>
      <c r="EM301" s="79"/>
      <c r="EN301" s="79"/>
      <c r="EO301" s="80"/>
      <c r="EP301" s="78"/>
    </row>
    <row r="302" spans="2:146" ht="11.25" customHeight="1" x14ac:dyDescent="0.2">
      <c r="B302" s="70"/>
      <c r="C302" s="71"/>
      <c r="D302" s="71"/>
      <c r="E302" s="71"/>
      <c r="F302" s="71"/>
      <c r="G302" s="71" t="s">
        <v>364</v>
      </c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 t="s">
        <v>469</v>
      </c>
      <c r="S302" s="71"/>
      <c r="T302" s="71" t="str">
        <f>TEXT(노임단가!F11,"#,##0")</f>
        <v>221,015</v>
      </c>
      <c r="U302" s="71"/>
      <c r="V302" s="71"/>
      <c r="W302" s="71"/>
      <c r="X302" s="71"/>
      <c r="Y302" s="71"/>
      <c r="Z302" s="71"/>
      <c r="AA302" s="71"/>
      <c r="AB302" s="71"/>
      <c r="AC302" s="71"/>
      <c r="AD302" s="71" t="s">
        <v>542</v>
      </c>
      <c r="AE302" s="71"/>
      <c r="AF302" s="71"/>
      <c r="AG302" s="71" t="str">
        <f>TEXT(2,"#,##0.#######")</f>
        <v>2.</v>
      </c>
      <c r="AH302" s="71"/>
      <c r="AI302" s="71"/>
      <c r="AJ302" s="71" t="s">
        <v>602</v>
      </c>
      <c r="AK302" s="71"/>
      <c r="AL302" s="71"/>
      <c r="AM302" s="71" t="s">
        <v>309</v>
      </c>
      <c r="AN302" s="71"/>
      <c r="AO302" s="71"/>
      <c r="AP302" s="71" t="s">
        <v>218</v>
      </c>
      <c r="AQ302" s="71"/>
      <c r="AR302" s="71"/>
      <c r="AS302" s="71" t="s">
        <v>254</v>
      </c>
      <c r="AT302" s="71"/>
      <c r="AU302" s="71" t="str">
        <f>TEXT(T302,"#,##0.#######")</f>
        <v>221,015.</v>
      </c>
      <c r="AV302" s="71"/>
      <c r="AW302" s="71"/>
      <c r="AX302" s="71"/>
      <c r="AY302" s="71"/>
      <c r="AZ302" s="71"/>
      <c r="BA302" s="71"/>
      <c r="BB302" s="71"/>
      <c r="BC302" s="71" t="s">
        <v>542</v>
      </c>
      <c r="BD302" s="71"/>
      <c r="BE302" s="71"/>
      <c r="BF302" s="71" t="str">
        <f>TEXT(AG302,"#,##0.#######")</f>
        <v>2.</v>
      </c>
      <c r="BG302" s="71"/>
      <c r="BH302" s="71" t="s">
        <v>309</v>
      </c>
      <c r="BI302" s="71"/>
      <c r="BJ302" s="71"/>
      <c r="BK302" s="71" t="str">
        <f>TEXT(Z296,"#,##0.#######")</f>
        <v>150.</v>
      </c>
      <c r="BL302" s="71"/>
      <c r="BM302" s="71"/>
      <c r="BN302" s="71"/>
      <c r="BO302" s="71" t="s">
        <v>254</v>
      </c>
      <c r="BP302" s="71"/>
      <c r="BQ302" s="71" t="str">
        <f>TEXT(TRUNC(T302*AG302/Z296,1),"#,##0.#######")</f>
        <v>2,946.8</v>
      </c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2"/>
      <c r="CZ302" s="72"/>
      <c r="DA302" s="72"/>
      <c r="DB302" s="72"/>
      <c r="DC302" s="72"/>
      <c r="DD302" s="72"/>
      <c r="DE302" s="72"/>
      <c r="DF302" s="72"/>
      <c r="DG302" s="72"/>
      <c r="DH302" s="72"/>
      <c r="DI302" s="72"/>
      <c r="DJ302" s="72"/>
      <c r="DK302" s="72"/>
      <c r="DL302" s="72"/>
      <c r="DM302" s="72"/>
      <c r="DN302" s="72"/>
      <c r="DO302" s="72"/>
      <c r="DP302" s="72"/>
      <c r="DQ302" s="72"/>
      <c r="DR302" s="72"/>
      <c r="DS302" s="72"/>
      <c r="DT302" s="72"/>
      <c r="DU302" s="72"/>
      <c r="DV302" s="72"/>
      <c r="DW302" s="72"/>
      <c r="DX302" s="72"/>
      <c r="DY302" s="72"/>
      <c r="DZ302" s="72"/>
      <c r="EA302" s="72"/>
      <c r="EB302" s="72"/>
      <c r="EC302" s="72"/>
      <c r="ED302" s="72"/>
      <c r="EE302" s="72"/>
      <c r="EF302" s="72"/>
      <c r="EG302" s="72"/>
      <c r="EH302" s="72"/>
      <c r="EI302" s="72"/>
      <c r="EJ302" s="72"/>
      <c r="EK302" s="72"/>
      <c r="EL302" s="79"/>
      <c r="EM302" s="79"/>
      <c r="EN302" s="79"/>
      <c r="EO302" s="80"/>
      <c r="EP302" s="78"/>
    </row>
    <row r="303" spans="2:146" ht="11.25" customHeight="1" x14ac:dyDescent="0.2">
      <c r="B303" s="70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2"/>
      <c r="CZ303" s="72"/>
      <c r="DA303" s="72"/>
      <c r="DB303" s="72"/>
      <c r="DC303" s="72"/>
      <c r="DD303" s="72"/>
      <c r="DE303" s="72"/>
      <c r="DF303" s="72"/>
      <c r="DG303" s="72"/>
      <c r="DH303" s="72"/>
      <c r="DI303" s="72"/>
      <c r="DJ303" s="72"/>
      <c r="DK303" s="72"/>
      <c r="DL303" s="72"/>
      <c r="DM303" s="72"/>
      <c r="DN303" s="72"/>
      <c r="DO303" s="72"/>
      <c r="DP303" s="72"/>
      <c r="DQ303" s="72"/>
      <c r="DR303" s="72"/>
      <c r="DS303" s="72"/>
      <c r="DT303" s="72"/>
      <c r="DU303" s="72"/>
      <c r="DV303" s="72"/>
      <c r="DW303" s="72"/>
      <c r="DX303" s="72"/>
      <c r="DY303" s="72"/>
      <c r="DZ303" s="72"/>
      <c r="EA303" s="72"/>
      <c r="EB303" s="72"/>
      <c r="EC303" s="72"/>
      <c r="ED303" s="72"/>
      <c r="EE303" s="72"/>
      <c r="EF303" s="72"/>
      <c r="EG303" s="72"/>
      <c r="EH303" s="72"/>
      <c r="EI303" s="72"/>
      <c r="EJ303" s="72"/>
      <c r="EK303" s="72"/>
      <c r="EL303" s="79"/>
      <c r="EM303" s="79"/>
      <c r="EN303" s="79"/>
      <c r="EO303" s="80"/>
      <c r="EP303" s="78"/>
    </row>
    <row r="304" spans="2:146" ht="11.25" customHeight="1" x14ac:dyDescent="0.2">
      <c r="B304" s="70"/>
      <c r="C304" s="71"/>
      <c r="D304" s="71"/>
      <c r="E304" s="71"/>
      <c r="F304" s="71"/>
      <c r="G304" s="71" t="s">
        <v>43</v>
      </c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 t="s">
        <v>469</v>
      </c>
      <c r="S304" s="71"/>
      <c r="T304" s="71" t="str">
        <f>TEXT(노임단가!F4,"#,##0")</f>
        <v>172,068</v>
      </c>
      <c r="U304" s="71"/>
      <c r="V304" s="71"/>
      <c r="W304" s="71"/>
      <c r="X304" s="71"/>
      <c r="Y304" s="71"/>
      <c r="Z304" s="71"/>
      <c r="AA304" s="71"/>
      <c r="AB304" s="71"/>
      <c r="AC304" s="71"/>
      <c r="AD304" s="71" t="s">
        <v>542</v>
      </c>
      <c r="AE304" s="71"/>
      <c r="AF304" s="71"/>
      <c r="AG304" s="71" t="str">
        <f>TEXT(2,"#,##0.#######")</f>
        <v>2.</v>
      </c>
      <c r="AH304" s="71"/>
      <c r="AI304" s="71"/>
      <c r="AJ304" s="71" t="s">
        <v>602</v>
      </c>
      <c r="AK304" s="71"/>
      <c r="AL304" s="71"/>
      <c r="AM304" s="71" t="s">
        <v>309</v>
      </c>
      <c r="AN304" s="71"/>
      <c r="AO304" s="71"/>
      <c r="AP304" s="71" t="s">
        <v>218</v>
      </c>
      <c r="AQ304" s="71"/>
      <c r="AR304" s="71"/>
      <c r="AS304" s="71" t="s">
        <v>254</v>
      </c>
      <c r="AT304" s="71"/>
      <c r="AU304" s="71" t="str">
        <f>TEXT(T304,"#,##0.#######")</f>
        <v>172,068.</v>
      </c>
      <c r="AV304" s="71"/>
      <c r="AW304" s="71"/>
      <c r="AX304" s="71"/>
      <c r="AY304" s="71"/>
      <c r="AZ304" s="71"/>
      <c r="BA304" s="71"/>
      <c r="BB304" s="71"/>
      <c r="BC304" s="71" t="s">
        <v>542</v>
      </c>
      <c r="BD304" s="71"/>
      <c r="BE304" s="71"/>
      <c r="BF304" s="71" t="str">
        <f>TEXT(AG304,"#,##0.#######")</f>
        <v>2.</v>
      </c>
      <c r="BG304" s="71"/>
      <c r="BH304" s="71" t="s">
        <v>309</v>
      </c>
      <c r="BI304" s="71"/>
      <c r="BJ304" s="71"/>
      <c r="BK304" s="71" t="str">
        <f>TEXT(Z296,"#,##0.#######")</f>
        <v>150.</v>
      </c>
      <c r="BL304" s="71"/>
      <c r="BM304" s="71"/>
      <c r="BN304" s="71"/>
      <c r="BO304" s="71" t="s">
        <v>254</v>
      </c>
      <c r="BP304" s="71"/>
      <c r="BQ304" s="71" t="str">
        <f>TEXT(TRUNC(T304*AG304/Z296,1),"#,##0.#######")</f>
        <v>2,294.2</v>
      </c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2"/>
      <c r="CZ304" s="72"/>
      <c r="DA304" s="72"/>
      <c r="DB304" s="72"/>
      <c r="DC304" s="72"/>
      <c r="DD304" s="72"/>
      <c r="DE304" s="72"/>
      <c r="DF304" s="72"/>
      <c r="DG304" s="72"/>
      <c r="DH304" s="72"/>
      <c r="DI304" s="72"/>
      <c r="DJ304" s="72"/>
      <c r="DK304" s="72"/>
      <c r="DL304" s="72"/>
      <c r="DM304" s="72"/>
      <c r="DN304" s="72"/>
      <c r="DO304" s="72"/>
      <c r="DP304" s="72"/>
      <c r="DQ304" s="72"/>
      <c r="DR304" s="72"/>
      <c r="DS304" s="72"/>
      <c r="DT304" s="72"/>
      <c r="DU304" s="72"/>
      <c r="DV304" s="72"/>
      <c r="DW304" s="72"/>
      <c r="DX304" s="72"/>
      <c r="DY304" s="72"/>
      <c r="DZ304" s="72"/>
      <c r="EA304" s="72"/>
      <c r="EB304" s="72"/>
      <c r="EC304" s="72"/>
      <c r="ED304" s="72"/>
      <c r="EE304" s="72"/>
      <c r="EF304" s="72"/>
      <c r="EG304" s="72"/>
      <c r="EH304" s="72"/>
      <c r="EI304" s="72"/>
      <c r="EJ304" s="72"/>
      <c r="EK304" s="72"/>
      <c r="EL304" s="79"/>
      <c r="EM304" s="79"/>
      <c r="EN304" s="79"/>
      <c r="EO304" s="80"/>
      <c r="EP304" s="78"/>
    </row>
    <row r="305" spans="2:146" ht="11.25" customHeight="1" x14ac:dyDescent="0.2">
      <c r="B305" s="70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2"/>
      <c r="CZ305" s="72"/>
      <c r="DA305" s="72"/>
      <c r="DB305" s="72"/>
      <c r="DC305" s="72"/>
      <c r="DD305" s="72"/>
      <c r="DE305" s="72"/>
      <c r="DF305" s="72"/>
      <c r="DG305" s="72"/>
      <c r="DH305" s="72"/>
      <c r="DI305" s="72"/>
      <c r="DJ305" s="72"/>
      <c r="DK305" s="72"/>
      <c r="DL305" s="72"/>
      <c r="DM305" s="72"/>
      <c r="DN305" s="72"/>
      <c r="DO305" s="72"/>
      <c r="DP305" s="72"/>
      <c r="DQ305" s="72"/>
      <c r="DR305" s="72"/>
      <c r="DS305" s="72"/>
      <c r="DT305" s="72"/>
      <c r="DU305" s="72"/>
      <c r="DV305" s="72"/>
      <c r="DW305" s="72"/>
      <c r="DX305" s="72"/>
      <c r="DY305" s="72"/>
      <c r="DZ305" s="72"/>
      <c r="EA305" s="72"/>
      <c r="EB305" s="72"/>
      <c r="EC305" s="72"/>
      <c r="ED305" s="72"/>
      <c r="EE305" s="72"/>
      <c r="EF305" s="72"/>
      <c r="EG305" s="72"/>
      <c r="EH305" s="72"/>
      <c r="EI305" s="72"/>
      <c r="EJ305" s="72"/>
      <c r="EK305" s="72"/>
      <c r="EL305" s="79"/>
      <c r="EM305" s="79"/>
      <c r="EN305" s="79"/>
      <c r="EO305" s="80"/>
      <c r="EP305" s="78"/>
    </row>
    <row r="306" spans="2:146" ht="11.25" customHeight="1" x14ac:dyDescent="0.2">
      <c r="B306" s="70"/>
      <c r="C306" s="71"/>
      <c r="D306" s="71"/>
      <c r="E306" s="71"/>
      <c r="F306" s="71"/>
      <c r="G306" s="71" t="s">
        <v>440</v>
      </c>
      <c r="H306" s="71"/>
      <c r="I306" s="71"/>
      <c r="J306" s="71"/>
      <c r="K306" s="71"/>
      <c r="L306" s="71"/>
      <c r="M306" s="71"/>
      <c r="N306" s="71"/>
      <c r="O306" s="71"/>
      <c r="P306" s="71" t="s">
        <v>469</v>
      </c>
      <c r="Q306" s="71"/>
      <c r="R306" s="71" t="str">
        <f>TEXT(TRUNC(BQ302+BQ304,1),"#,##0.#######")</f>
        <v>5,241.</v>
      </c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1"/>
      <c r="CV306" s="71"/>
      <c r="CW306" s="71"/>
      <c r="CX306" s="71"/>
      <c r="CY306" s="72"/>
      <c r="CZ306" s="72"/>
      <c r="DA306" s="72"/>
      <c r="DB306" s="72"/>
      <c r="DC306" s="72"/>
      <c r="DD306" s="72"/>
      <c r="DE306" s="72"/>
      <c r="DF306" s="72"/>
      <c r="DG306" s="72"/>
      <c r="DH306" s="72"/>
      <c r="DI306" s="72"/>
      <c r="DJ306" s="72"/>
      <c r="DK306" s="72"/>
      <c r="DL306" s="72"/>
      <c r="DM306" s="72"/>
      <c r="DN306" s="72"/>
      <c r="DO306" s="72"/>
      <c r="DP306" s="72"/>
      <c r="DQ306" s="72"/>
      <c r="DR306" s="72"/>
      <c r="DS306" s="72"/>
      <c r="DT306" s="72"/>
      <c r="DU306" s="72"/>
      <c r="DV306" s="72"/>
      <c r="DW306" s="72"/>
      <c r="DX306" s="72"/>
      <c r="DY306" s="72"/>
      <c r="DZ306" s="72"/>
      <c r="EA306" s="72"/>
      <c r="EB306" s="72"/>
      <c r="EC306" s="72"/>
      <c r="ED306" s="72"/>
      <c r="EE306" s="72"/>
      <c r="EF306" s="72"/>
      <c r="EG306" s="72"/>
      <c r="EH306" s="72"/>
      <c r="EI306" s="72"/>
      <c r="EJ306" s="72"/>
      <c r="EK306" s="72"/>
      <c r="EL306" s="79"/>
      <c r="EM306" s="79"/>
      <c r="EN306" s="79" t="str">
        <f>R306</f>
        <v>5,241.</v>
      </c>
      <c r="EO306" s="80"/>
      <c r="EP306" s="78"/>
    </row>
    <row r="307" spans="2:146" ht="11.25" customHeight="1" x14ac:dyDescent="0.2">
      <c r="B307" s="70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1"/>
      <c r="CV307" s="71"/>
      <c r="CW307" s="71"/>
      <c r="CX307" s="71"/>
      <c r="CY307" s="72"/>
      <c r="CZ307" s="72"/>
      <c r="DA307" s="72"/>
      <c r="DB307" s="72"/>
      <c r="DC307" s="72"/>
      <c r="DD307" s="72"/>
      <c r="DE307" s="72"/>
      <c r="DF307" s="72"/>
      <c r="DG307" s="72"/>
      <c r="DH307" s="72"/>
      <c r="DI307" s="72"/>
      <c r="DJ307" s="72"/>
      <c r="DK307" s="72"/>
      <c r="DL307" s="72"/>
      <c r="DM307" s="72"/>
      <c r="DN307" s="72"/>
      <c r="DO307" s="72"/>
      <c r="DP307" s="72"/>
      <c r="DQ307" s="72"/>
      <c r="DR307" s="72"/>
      <c r="DS307" s="72"/>
      <c r="DT307" s="72"/>
      <c r="DU307" s="72"/>
      <c r="DV307" s="72"/>
      <c r="DW307" s="72"/>
      <c r="DX307" s="72"/>
      <c r="DY307" s="72"/>
      <c r="DZ307" s="72"/>
      <c r="EA307" s="72"/>
      <c r="EB307" s="72"/>
      <c r="EC307" s="72"/>
      <c r="ED307" s="72"/>
      <c r="EE307" s="72"/>
      <c r="EF307" s="72"/>
      <c r="EG307" s="72"/>
      <c r="EH307" s="72"/>
      <c r="EI307" s="72"/>
      <c r="EJ307" s="72"/>
      <c r="EK307" s="72"/>
      <c r="EL307" s="79"/>
      <c r="EM307" s="79"/>
      <c r="EN307" s="79"/>
      <c r="EO307" s="80"/>
      <c r="EP307" s="78"/>
    </row>
    <row r="308" spans="2:146" ht="11.25" customHeight="1" x14ac:dyDescent="0.2">
      <c r="B308" s="70"/>
      <c r="C308" s="71"/>
      <c r="D308" s="71" t="s">
        <v>463</v>
      </c>
      <c r="E308" s="71"/>
      <c r="F308" s="71"/>
      <c r="G308" s="71" t="s">
        <v>353</v>
      </c>
      <c r="H308" s="71"/>
      <c r="I308" s="71"/>
      <c r="J308" s="71"/>
      <c r="K308" s="71" t="s">
        <v>323</v>
      </c>
      <c r="L308" s="71"/>
      <c r="M308" s="71"/>
      <c r="N308" s="71" t="s">
        <v>469</v>
      </c>
      <c r="O308" s="71"/>
      <c r="P308" s="71" t="s">
        <v>261</v>
      </c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 t="s">
        <v>287</v>
      </c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  <c r="CV308" s="71"/>
      <c r="CW308" s="71"/>
      <c r="CX308" s="71"/>
      <c r="CY308" s="72"/>
      <c r="CZ308" s="72"/>
      <c r="DA308" s="72"/>
      <c r="DB308" s="72"/>
      <c r="DC308" s="72"/>
      <c r="DD308" s="72"/>
      <c r="DE308" s="72"/>
      <c r="DF308" s="72"/>
      <c r="DG308" s="72"/>
      <c r="DH308" s="72"/>
      <c r="DI308" s="72"/>
      <c r="DJ308" s="72"/>
      <c r="DK308" s="72"/>
      <c r="DL308" s="72"/>
      <c r="DM308" s="72"/>
      <c r="DN308" s="72"/>
      <c r="DO308" s="72"/>
      <c r="DP308" s="72"/>
      <c r="DQ308" s="72"/>
      <c r="DR308" s="72"/>
      <c r="DS308" s="72"/>
      <c r="DT308" s="72"/>
      <c r="DU308" s="72"/>
      <c r="DV308" s="72"/>
      <c r="DW308" s="72"/>
      <c r="DX308" s="72"/>
      <c r="DY308" s="72"/>
      <c r="DZ308" s="72"/>
      <c r="EA308" s="72"/>
      <c r="EB308" s="72"/>
      <c r="EC308" s="72"/>
      <c r="ED308" s="72"/>
      <c r="EE308" s="72"/>
      <c r="EF308" s="72"/>
      <c r="EG308" s="72"/>
      <c r="EH308" s="72"/>
      <c r="EI308" s="72"/>
      <c r="EJ308" s="72"/>
      <c r="EK308" s="72"/>
      <c r="EL308" s="79"/>
      <c r="EM308" s="79"/>
      <c r="EN308" s="79"/>
      <c r="EO308" s="80"/>
      <c r="EP308" s="78"/>
    </row>
    <row r="309" spans="2:146" ht="11.25" customHeight="1" x14ac:dyDescent="0.2">
      <c r="B309" s="70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  <c r="CV309" s="71"/>
      <c r="CW309" s="71"/>
      <c r="CX309" s="71"/>
      <c r="CY309" s="72"/>
      <c r="CZ309" s="72"/>
      <c r="DA309" s="72"/>
      <c r="DB309" s="72"/>
      <c r="DC309" s="72"/>
      <c r="DD309" s="72"/>
      <c r="DE309" s="72"/>
      <c r="DF309" s="72"/>
      <c r="DG309" s="72"/>
      <c r="DH309" s="72"/>
      <c r="DI309" s="72"/>
      <c r="DJ309" s="72"/>
      <c r="DK309" s="72"/>
      <c r="DL309" s="72"/>
      <c r="DM309" s="72"/>
      <c r="DN309" s="72"/>
      <c r="DO309" s="72"/>
      <c r="DP309" s="72"/>
      <c r="DQ309" s="72"/>
      <c r="DR309" s="72"/>
      <c r="DS309" s="72"/>
      <c r="DT309" s="72"/>
      <c r="DU309" s="72"/>
      <c r="DV309" s="72"/>
      <c r="DW309" s="72"/>
      <c r="DX309" s="72"/>
      <c r="DY309" s="72"/>
      <c r="DZ309" s="72"/>
      <c r="EA309" s="72"/>
      <c r="EB309" s="72"/>
      <c r="EC309" s="72"/>
      <c r="ED309" s="72"/>
      <c r="EE309" s="72"/>
      <c r="EF309" s="72"/>
      <c r="EG309" s="72"/>
      <c r="EH309" s="72"/>
      <c r="EI309" s="72"/>
      <c r="EJ309" s="72"/>
      <c r="EK309" s="72"/>
      <c r="EL309" s="79"/>
      <c r="EM309" s="79"/>
      <c r="EN309" s="79"/>
      <c r="EO309" s="80"/>
      <c r="EP309" s="78"/>
    </row>
    <row r="310" spans="2:146" ht="11.25" customHeight="1" x14ac:dyDescent="0.2">
      <c r="B310" s="70"/>
      <c r="C310" s="71"/>
      <c r="D310" s="71"/>
      <c r="E310" s="71"/>
      <c r="F310" s="71"/>
      <c r="G310" s="71" t="s">
        <v>543</v>
      </c>
      <c r="H310" s="71"/>
      <c r="I310" s="71"/>
      <c r="J310" s="71"/>
      <c r="K310" s="71"/>
      <c r="L310" s="71"/>
      <c r="M310" s="71"/>
      <c r="N310" s="71" t="s">
        <v>469</v>
      </c>
      <c r="O310" s="71"/>
      <c r="P310" s="71" t="str">
        <f>TEXT(기계경비총괄표!H6,"#,##0")</f>
        <v>59,020</v>
      </c>
      <c r="Q310" s="71"/>
      <c r="R310" s="71"/>
      <c r="S310" s="71"/>
      <c r="T310" s="71"/>
      <c r="U310" s="71"/>
      <c r="V310" s="71"/>
      <c r="W310" s="71"/>
      <c r="X310" s="71"/>
      <c r="Y310" s="71" t="s">
        <v>309</v>
      </c>
      <c r="Z310" s="71"/>
      <c r="AA310" s="71"/>
      <c r="AB310" s="71" t="str">
        <f>TEXT(AZ298,"#,##0.#######")</f>
        <v>18.75</v>
      </c>
      <c r="AC310" s="71"/>
      <c r="AD310" s="71"/>
      <c r="AE310" s="71"/>
      <c r="AF310" s="71"/>
      <c r="AG310" s="71"/>
      <c r="AH310" s="71"/>
      <c r="AI310" s="71"/>
      <c r="AJ310" s="71" t="s">
        <v>254</v>
      </c>
      <c r="AK310" s="71"/>
      <c r="AL310" s="71" t="str">
        <f>TEXT(TRUNC(P310/AZ298,1),"#,##0.#")</f>
        <v>3,147.7</v>
      </c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2"/>
      <c r="CZ310" s="72"/>
      <c r="DA310" s="72"/>
      <c r="DB310" s="72"/>
      <c r="DC310" s="72"/>
      <c r="DD310" s="72"/>
      <c r="DE310" s="72"/>
      <c r="DF310" s="72"/>
      <c r="DG310" s="72"/>
      <c r="DH310" s="72"/>
      <c r="DI310" s="72"/>
      <c r="DJ310" s="72"/>
      <c r="DK310" s="72"/>
      <c r="DL310" s="72"/>
      <c r="DM310" s="72"/>
      <c r="DN310" s="72"/>
      <c r="DO310" s="72"/>
      <c r="DP310" s="72"/>
      <c r="DQ310" s="72"/>
      <c r="DR310" s="72"/>
      <c r="DS310" s="72"/>
      <c r="DT310" s="72"/>
      <c r="DU310" s="72"/>
      <c r="DV310" s="72"/>
      <c r="DW310" s="72"/>
      <c r="DX310" s="72"/>
      <c r="DY310" s="72"/>
      <c r="DZ310" s="72"/>
      <c r="EA310" s="72"/>
      <c r="EB310" s="72"/>
      <c r="EC310" s="72"/>
      <c r="ED310" s="72"/>
      <c r="EE310" s="72"/>
      <c r="EF310" s="72"/>
      <c r="EG310" s="72"/>
      <c r="EH310" s="72"/>
      <c r="EI310" s="72"/>
      <c r="EJ310" s="72"/>
      <c r="EK310" s="72"/>
      <c r="EL310" s="79"/>
      <c r="EM310" s="79"/>
      <c r="EN310" s="79"/>
      <c r="EO310" s="80"/>
      <c r="EP310" s="78"/>
    </row>
    <row r="311" spans="2:146" ht="11.25" customHeight="1" x14ac:dyDescent="0.2">
      <c r="B311" s="70"/>
      <c r="C311" s="71"/>
      <c r="D311" s="71"/>
      <c r="E311" s="71"/>
      <c r="F311" s="71"/>
      <c r="G311" s="71" t="s">
        <v>400</v>
      </c>
      <c r="H311" s="71"/>
      <c r="I311" s="71"/>
      <c r="J311" s="71"/>
      <c r="K311" s="71"/>
      <c r="L311" s="71"/>
      <c r="M311" s="71"/>
      <c r="N311" s="71" t="s">
        <v>469</v>
      </c>
      <c r="O311" s="71"/>
      <c r="P311" s="71" t="str">
        <f>TEXT(기계경비총괄표!G6,"#,##0")</f>
        <v>26,193</v>
      </c>
      <c r="Q311" s="71"/>
      <c r="R311" s="71"/>
      <c r="S311" s="71"/>
      <c r="T311" s="71"/>
      <c r="U311" s="71"/>
      <c r="V311" s="71"/>
      <c r="W311" s="71"/>
      <c r="X311" s="71"/>
      <c r="Y311" s="71" t="s">
        <v>309</v>
      </c>
      <c r="Z311" s="71"/>
      <c r="AA311" s="71"/>
      <c r="AB311" s="71" t="str">
        <f>TEXT(AZ298,"#,##0.#######")</f>
        <v>18.75</v>
      </c>
      <c r="AC311" s="71"/>
      <c r="AD311" s="71"/>
      <c r="AE311" s="71"/>
      <c r="AF311" s="71"/>
      <c r="AG311" s="71"/>
      <c r="AH311" s="71"/>
      <c r="AI311" s="71"/>
      <c r="AJ311" s="71" t="s">
        <v>254</v>
      </c>
      <c r="AK311" s="71"/>
      <c r="AL311" s="71"/>
      <c r="AM311" s="71"/>
      <c r="AN311" s="71" t="str">
        <f>TEXT(TRUNC(P311/AZ298,1),"#,##0.#")</f>
        <v>1,396.9</v>
      </c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2"/>
      <c r="CZ311" s="72"/>
      <c r="DA311" s="72"/>
      <c r="DB311" s="72"/>
      <c r="DC311" s="72"/>
      <c r="DD311" s="72"/>
      <c r="DE311" s="72"/>
      <c r="DF311" s="72"/>
      <c r="DG311" s="72"/>
      <c r="DH311" s="72"/>
      <c r="DI311" s="72"/>
      <c r="DJ311" s="72"/>
      <c r="DK311" s="72"/>
      <c r="DL311" s="72"/>
      <c r="DM311" s="72"/>
      <c r="DN311" s="72"/>
      <c r="DO311" s="72"/>
      <c r="DP311" s="72"/>
      <c r="DQ311" s="72"/>
      <c r="DR311" s="72"/>
      <c r="DS311" s="72"/>
      <c r="DT311" s="72"/>
      <c r="DU311" s="72"/>
      <c r="DV311" s="72"/>
      <c r="DW311" s="72"/>
      <c r="DX311" s="72"/>
      <c r="DY311" s="72"/>
      <c r="DZ311" s="72"/>
      <c r="EA311" s="72"/>
      <c r="EB311" s="72"/>
      <c r="EC311" s="72"/>
      <c r="ED311" s="72"/>
      <c r="EE311" s="72"/>
      <c r="EF311" s="72"/>
      <c r="EG311" s="72"/>
      <c r="EH311" s="72"/>
      <c r="EI311" s="72"/>
      <c r="EJ311" s="72"/>
      <c r="EK311" s="72"/>
      <c r="EL311" s="79"/>
      <c r="EM311" s="79"/>
      <c r="EN311" s="79"/>
      <c r="EO311" s="80"/>
      <c r="EP311" s="78"/>
    </row>
    <row r="312" spans="2:146" ht="11.25" customHeight="1" x14ac:dyDescent="0.2">
      <c r="B312" s="70"/>
      <c r="C312" s="71"/>
      <c r="D312" s="71"/>
      <c r="E312" s="71"/>
      <c r="F312" s="71"/>
      <c r="G312" s="71" t="s">
        <v>147</v>
      </c>
      <c r="H312" s="71"/>
      <c r="I312" s="71"/>
      <c r="J312" s="71"/>
      <c r="K312" s="71" t="s">
        <v>342</v>
      </c>
      <c r="L312" s="71"/>
      <c r="M312" s="71"/>
      <c r="N312" s="71" t="s">
        <v>469</v>
      </c>
      <c r="O312" s="71"/>
      <c r="P312" s="71" t="str">
        <f>TEXT(기계경비총괄표!I6,"#,##0")</f>
        <v>27,120</v>
      </c>
      <c r="Q312" s="71"/>
      <c r="R312" s="71"/>
      <c r="S312" s="71"/>
      <c r="T312" s="71"/>
      <c r="U312" s="71"/>
      <c r="V312" s="71"/>
      <c r="W312" s="71"/>
      <c r="X312" s="71"/>
      <c r="Y312" s="71" t="s">
        <v>309</v>
      </c>
      <c r="Z312" s="71"/>
      <c r="AA312" s="71"/>
      <c r="AB312" s="71" t="str">
        <f>TEXT(AZ298,"#,##0.#######")</f>
        <v>18.75</v>
      </c>
      <c r="AC312" s="71"/>
      <c r="AD312" s="71"/>
      <c r="AE312" s="71"/>
      <c r="AF312" s="71"/>
      <c r="AG312" s="71"/>
      <c r="AH312" s="71"/>
      <c r="AI312" s="71"/>
      <c r="AJ312" s="71" t="s">
        <v>254</v>
      </c>
      <c r="AK312" s="71"/>
      <c r="AL312" s="71" t="str">
        <f>TEXT(TRUNC(P312/AZ298,1),"#,##0.#")</f>
        <v>1,446.4</v>
      </c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9"/>
      <c r="EM312" s="79"/>
      <c r="EN312" s="79"/>
      <c r="EO312" s="80"/>
      <c r="EP312" s="78"/>
    </row>
    <row r="313" spans="2:146" ht="11.25" customHeight="1" x14ac:dyDescent="0.2">
      <c r="B313" s="70"/>
      <c r="C313" s="71"/>
      <c r="D313" s="71"/>
      <c r="E313" s="71"/>
      <c r="F313" s="71"/>
      <c r="G313" s="71" t="s">
        <v>252</v>
      </c>
      <c r="H313" s="71"/>
      <c r="I313" s="71"/>
      <c r="J313" s="71"/>
      <c r="K313" s="71" t="s">
        <v>341</v>
      </c>
      <c r="L313" s="71"/>
      <c r="M313" s="71"/>
      <c r="N313" s="71" t="s">
        <v>469</v>
      </c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 t="str">
        <f>TEXT(AL310+AN311+AL312,"#,##0.#######")</f>
        <v>5,991.</v>
      </c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9">
        <f>EN313+EM313+EO313</f>
        <v>5991</v>
      </c>
      <c r="EM313" s="79" t="str">
        <f>TEXT(AN311,"#,###.0")</f>
        <v>1,396.9</v>
      </c>
      <c r="EN313" s="79" t="str">
        <f>TEXT(AL310,"#,###.0")</f>
        <v>3,147.7</v>
      </c>
      <c r="EO313" s="80" t="str">
        <f>TEXT(AL312,"#,###.0")</f>
        <v>1,446.4</v>
      </c>
      <c r="EP313" s="78"/>
    </row>
    <row r="314" spans="2:146" ht="11.25" customHeight="1" x14ac:dyDescent="0.2">
      <c r="B314" s="70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9"/>
      <c r="EM314" s="79"/>
      <c r="EN314" s="79"/>
      <c r="EO314" s="80"/>
      <c r="EP314" s="78"/>
    </row>
    <row r="315" spans="2:146" ht="11.25" customHeight="1" x14ac:dyDescent="0.2">
      <c r="B315" s="70"/>
      <c r="C315" s="71"/>
      <c r="D315" s="71" t="s">
        <v>655</v>
      </c>
      <c r="E315" s="71"/>
      <c r="F315" s="71"/>
      <c r="G315" s="71" t="s">
        <v>186</v>
      </c>
      <c r="H315" s="71"/>
      <c r="I315" s="71"/>
      <c r="J315" s="71"/>
      <c r="K315" s="71" t="s">
        <v>31</v>
      </c>
      <c r="L315" s="71"/>
      <c r="M315" s="71"/>
      <c r="N315" s="71" t="s">
        <v>469</v>
      </c>
      <c r="O315" s="71"/>
      <c r="P315" s="71" t="s">
        <v>454</v>
      </c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 t="s">
        <v>234</v>
      </c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72"/>
      <c r="DP315" s="72"/>
      <c r="DQ315" s="72"/>
      <c r="DR315" s="72"/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  <c r="EE315" s="72"/>
      <c r="EF315" s="72"/>
      <c r="EG315" s="72"/>
      <c r="EH315" s="72"/>
      <c r="EI315" s="72"/>
      <c r="EJ315" s="72"/>
      <c r="EK315" s="72"/>
      <c r="EL315" s="79"/>
      <c r="EM315" s="79"/>
      <c r="EN315" s="79"/>
      <c r="EO315" s="80"/>
      <c r="EP315" s="78"/>
    </row>
    <row r="316" spans="2:146" ht="11.25" customHeight="1" x14ac:dyDescent="0.2">
      <c r="B316" s="70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2"/>
      <c r="CZ316" s="72"/>
      <c r="DA316" s="72"/>
      <c r="DB316" s="72"/>
      <c r="DC316" s="72"/>
      <c r="DD316" s="72"/>
      <c r="DE316" s="72"/>
      <c r="DF316" s="72"/>
      <c r="DG316" s="72"/>
      <c r="DH316" s="72"/>
      <c r="DI316" s="72"/>
      <c r="DJ316" s="72"/>
      <c r="DK316" s="72"/>
      <c r="DL316" s="72"/>
      <c r="DM316" s="72"/>
      <c r="DN316" s="72"/>
      <c r="DO316" s="72"/>
      <c r="DP316" s="72"/>
      <c r="DQ316" s="72"/>
      <c r="DR316" s="72"/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  <c r="EE316" s="72"/>
      <c r="EF316" s="72"/>
      <c r="EG316" s="72"/>
      <c r="EH316" s="72"/>
      <c r="EI316" s="72"/>
      <c r="EJ316" s="72"/>
      <c r="EK316" s="72"/>
      <c r="EL316" s="79"/>
      <c r="EM316" s="79"/>
      <c r="EN316" s="79"/>
      <c r="EO316" s="80"/>
      <c r="EP316" s="78"/>
    </row>
    <row r="317" spans="2:146" ht="11.25" customHeight="1" x14ac:dyDescent="0.2">
      <c r="B317" s="70"/>
      <c r="C317" s="71"/>
      <c r="D317" s="71"/>
      <c r="E317" s="71"/>
      <c r="F317" s="71"/>
      <c r="G317" s="71" t="s">
        <v>543</v>
      </c>
      <c r="H317" s="71"/>
      <c r="I317" s="71"/>
      <c r="J317" s="71"/>
      <c r="K317" s="71"/>
      <c r="L317" s="71"/>
      <c r="M317" s="71"/>
      <c r="N317" s="71" t="s">
        <v>469</v>
      </c>
      <c r="O317" s="71"/>
      <c r="P317" s="71" t="str">
        <f>TEXT(기계경비총괄표!H9,"#,##0")</f>
        <v>36,248</v>
      </c>
      <c r="Q317" s="71"/>
      <c r="R317" s="71"/>
      <c r="S317" s="71"/>
      <c r="T317" s="71"/>
      <c r="U317" s="71"/>
      <c r="V317" s="71"/>
      <c r="W317" s="71"/>
      <c r="X317" s="71"/>
      <c r="Y317" s="71" t="s">
        <v>309</v>
      </c>
      <c r="Z317" s="71"/>
      <c r="AA317" s="71"/>
      <c r="AB317" s="71" t="str">
        <f>TEXT(AZ298,"#,##0.#######")</f>
        <v>18.75</v>
      </c>
      <c r="AC317" s="71"/>
      <c r="AD317" s="71"/>
      <c r="AE317" s="71"/>
      <c r="AF317" s="71"/>
      <c r="AG317" s="71"/>
      <c r="AH317" s="71"/>
      <c r="AI317" s="71"/>
      <c r="AJ317" s="71" t="s">
        <v>254</v>
      </c>
      <c r="AK317" s="71"/>
      <c r="AL317" s="71" t="str">
        <f>TEXT(TRUNC(P317/AZ298,1),"#,##0.#")</f>
        <v>1,933.2</v>
      </c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2"/>
      <c r="CZ317" s="72"/>
      <c r="DA317" s="72"/>
      <c r="DB317" s="72"/>
      <c r="DC317" s="72"/>
      <c r="DD317" s="72"/>
      <c r="DE317" s="72"/>
      <c r="DF317" s="72"/>
      <c r="DG317" s="72"/>
      <c r="DH317" s="72"/>
      <c r="DI317" s="72"/>
      <c r="DJ317" s="72"/>
      <c r="DK317" s="72"/>
      <c r="DL317" s="72"/>
      <c r="DM317" s="72"/>
      <c r="DN317" s="72"/>
      <c r="DO317" s="72"/>
      <c r="DP317" s="72"/>
      <c r="DQ317" s="72"/>
      <c r="DR317" s="72"/>
      <c r="DS317" s="72"/>
      <c r="DT317" s="72"/>
      <c r="DU317" s="72"/>
      <c r="DV317" s="72"/>
      <c r="DW317" s="72"/>
      <c r="DX317" s="72"/>
      <c r="DY317" s="72"/>
      <c r="DZ317" s="72"/>
      <c r="EA317" s="72"/>
      <c r="EB317" s="72"/>
      <c r="EC317" s="72"/>
      <c r="ED317" s="72"/>
      <c r="EE317" s="72"/>
      <c r="EF317" s="72"/>
      <c r="EG317" s="72"/>
      <c r="EH317" s="72"/>
      <c r="EI317" s="72"/>
      <c r="EJ317" s="72"/>
      <c r="EK317" s="72"/>
      <c r="EL317" s="79"/>
      <c r="EM317" s="79"/>
      <c r="EN317" s="79"/>
      <c r="EO317" s="80"/>
      <c r="EP317" s="78"/>
    </row>
    <row r="318" spans="2:146" ht="11.25" customHeight="1" x14ac:dyDescent="0.2">
      <c r="B318" s="70"/>
      <c r="C318" s="71"/>
      <c r="D318" s="71"/>
      <c r="E318" s="71"/>
      <c r="F318" s="71"/>
      <c r="G318" s="71" t="s">
        <v>400</v>
      </c>
      <c r="H318" s="71"/>
      <c r="I318" s="71"/>
      <c r="J318" s="71"/>
      <c r="K318" s="71"/>
      <c r="L318" s="71"/>
      <c r="M318" s="71"/>
      <c r="N318" s="71" t="s">
        <v>469</v>
      </c>
      <c r="O318" s="71"/>
      <c r="P318" s="71"/>
      <c r="Q318" s="71" t="str">
        <f>TEXT(기계경비총괄표!G9,"#,##0")</f>
        <v>4,527</v>
      </c>
      <c r="R318" s="71"/>
      <c r="S318" s="71"/>
      <c r="T318" s="71"/>
      <c r="U318" s="71"/>
      <c r="V318" s="71"/>
      <c r="W318" s="71"/>
      <c r="X318" s="71"/>
      <c r="Y318" s="71" t="s">
        <v>309</v>
      </c>
      <c r="Z318" s="71"/>
      <c r="AA318" s="71"/>
      <c r="AB318" s="71" t="str">
        <f>TEXT(AZ298,"#,##0.#######")</f>
        <v>18.75</v>
      </c>
      <c r="AC318" s="71"/>
      <c r="AD318" s="71"/>
      <c r="AE318" s="71"/>
      <c r="AF318" s="71"/>
      <c r="AG318" s="71"/>
      <c r="AH318" s="71"/>
      <c r="AI318" s="71"/>
      <c r="AJ318" s="71" t="s">
        <v>254</v>
      </c>
      <c r="AK318" s="71"/>
      <c r="AL318" s="71"/>
      <c r="AM318" s="71"/>
      <c r="AN318" s="71" t="str">
        <f>TEXT(TRUNC(Q318/AZ298,1),"#,##0.#")</f>
        <v>241.4</v>
      </c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2"/>
      <c r="CZ318" s="72"/>
      <c r="DA318" s="72"/>
      <c r="DB318" s="72"/>
      <c r="DC318" s="72"/>
      <c r="DD318" s="72"/>
      <c r="DE318" s="72"/>
      <c r="DF318" s="72"/>
      <c r="DG318" s="72"/>
      <c r="DH318" s="72"/>
      <c r="DI318" s="72"/>
      <c r="DJ318" s="72"/>
      <c r="DK318" s="72"/>
      <c r="DL318" s="72"/>
      <c r="DM318" s="72"/>
      <c r="DN318" s="72"/>
      <c r="DO318" s="72"/>
      <c r="DP318" s="72"/>
      <c r="DQ318" s="72"/>
      <c r="DR318" s="72"/>
      <c r="DS318" s="72"/>
      <c r="DT318" s="72"/>
      <c r="DU318" s="72"/>
      <c r="DV318" s="72"/>
      <c r="DW318" s="72"/>
      <c r="DX318" s="72"/>
      <c r="DY318" s="72"/>
      <c r="DZ318" s="72"/>
      <c r="EA318" s="72"/>
      <c r="EB318" s="72"/>
      <c r="EC318" s="72"/>
      <c r="ED318" s="72"/>
      <c r="EE318" s="72"/>
      <c r="EF318" s="72"/>
      <c r="EG318" s="72"/>
      <c r="EH318" s="72"/>
      <c r="EI318" s="72"/>
      <c r="EJ318" s="72"/>
      <c r="EK318" s="72"/>
      <c r="EL318" s="79"/>
      <c r="EM318" s="79"/>
      <c r="EN318" s="79"/>
      <c r="EO318" s="80"/>
      <c r="EP318" s="78"/>
    </row>
    <row r="319" spans="2:146" ht="11.25" customHeight="1" x14ac:dyDescent="0.2">
      <c r="B319" s="70"/>
      <c r="C319" s="71"/>
      <c r="D319" s="71"/>
      <c r="E319" s="71"/>
      <c r="F319" s="71"/>
      <c r="G319" s="71" t="s">
        <v>147</v>
      </c>
      <c r="H319" s="71"/>
      <c r="I319" s="71"/>
      <c r="J319" s="71"/>
      <c r="K319" s="71" t="s">
        <v>342</v>
      </c>
      <c r="L319" s="71"/>
      <c r="M319" s="71"/>
      <c r="N319" s="71" t="s">
        <v>469</v>
      </c>
      <c r="O319" s="71"/>
      <c r="P319" s="71"/>
      <c r="Q319" s="71" t="str">
        <f>TEXT(기계경비총괄표!I9,"#,##0")</f>
        <v>1,967</v>
      </c>
      <c r="R319" s="71"/>
      <c r="S319" s="71"/>
      <c r="T319" s="71"/>
      <c r="U319" s="71"/>
      <c r="V319" s="71"/>
      <c r="W319" s="71"/>
      <c r="X319" s="71"/>
      <c r="Y319" s="71" t="s">
        <v>309</v>
      </c>
      <c r="Z319" s="71"/>
      <c r="AA319" s="71"/>
      <c r="AB319" s="71" t="str">
        <f>TEXT(AZ298,"#,##0.#######")</f>
        <v>18.75</v>
      </c>
      <c r="AC319" s="71"/>
      <c r="AD319" s="71"/>
      <c r="AE319" s="71"/>
      <c r="AF319" s="71"/>
      <c r="AG319" s="71"/>
      <c r="AH319" s="71"/>
      <c r="AI319" s="71"/>
      <c r="AJ319" s="71" t="s">
        <v>254</v>
      </c>
      <c r="AK319" s="71"/>
      <c r="AL319" s="71"/>
      <c r="AM319" s="71"/>
      <c r="AN319" s="71" t="str">
        <f>TEXT(TRUNC(Q319/AZ298,1),"#,##0.#")</f>
        <v>104.9</v>
      </c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2"/>
      <c r="CZ319" s="72"/>
      <c r="DA319" s="72"/>
      <c r="DB319" s="72"/>
      <c r="DC319" s="72"/>
      <c r="DD319" s="72"/>
      <c r="DE319" s="72"/>
      <c r="DF319" s="72"/>
      <c r="DG319" s="72"/>
      <c r="DH319" s="72"/>
      <c r="DI319" s="72"/>
      <c r="DJ319" s="72"/>
      <c r="DK319" s="72"/>
      <c r="DL319" s="72"/>
      <c r="DM319" s="72"/>
      <c r="DN319" s="72"/>
      <c r="DO319" s="72"/>
      <c r="DP319" s="72"/>
      <c r="DQ319" s="72"/>
      <c r="DR319" s="72"/>
      <c r="DS319" s="72"/>
      <c r="DT319" s="72"/>
      <c r="DU319" s="72"/>
      <c r="DV319" s="72"/>
      <c r="DW319" s="72"/>
      <c r="DX319" s="72"/>
      <c r="DY319" s="72"/>
      <c r="DZ319" s="72"/>
      <c r="EA319" s="72"/>
      <c r="EB319" s="72"/>
      <c r="EC319" s="72"/>
      <c r="ED319" s="72"/>
      <c r="EE319" s="72"/>
      <c r="EF319" s="72"/>
      <c r="EG319" s="72"/>
      <c r="EH319" s="72"/>
      <c r="EI319" s="72"/>
      <c r="EJ319" s="72"/>
      <c r="EK319" s="72"/>
      <c r="EL319" s="79"/>
      <c r="EM319" s="79"/>
      <c r="EN319" s="79"/>
      <c r="EO319" s="80"/>
      <c r="EP319" s="78"/>
    </row>
    <row r="320" spans="2:146" ht="11.25" customHeight="1" x14ac:dyDescent="0.2">
      <c r="B320" s="70"/>
      <c r="C320" s="71"/>
      <c r="D320" s="71"/>
      <c r="E320" s="71"/>
      <c r="F320" s="71"/>
      <c r="G320" s="71" t="s">
        <v>252</v>
      </c>
      <c r="H320" s="71"/>
      <c r="I320" s="71"/>
      <c r="J320" s="71"/>
      <c r="K320" s="71" t="s">
        <v>341</v>
      </c>
      <c r="L320" s="71"/>
      <c r="M320" s="71"/>
      <c r="N320" s="71" t="s">
        <v>469</v>
      </c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  <c r="AC320" s="71"/>
      <c r="AD320" s="71"/>
      <c r="AE320" s="71"/>
      <c r="AF320" s="71"/>
      <c r="AG320" s="71"/>
      <c r="AH320" s="71" t="str">
        <f>TEXT(AL317+AN318+AN319,"#,##0.#######")</f>
        <v>2,279.5</v>
      </c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2"/>
      <c r="CZ320" s="72"/>
      <c r="DA320" s="72"/>
      <c r="DB320" s="72"/>
      <c r="DC320" s="72"/>
      <c r="DD320" s="72"/>
      <c r="DE320" s="72"/>
      <c r="DF320" s="72"/>
      <c r="DG320" s="72"/>
      <c r="DH320" s="72"/>
      <c r="DI320" s="72"/>
      <c r="DJ320" s="72"/>
      <c r="DK320" s="72"/>
      <c r="DL320" s="72"/>
      <c r="DM320" s="72"/>
      <c r="DN320" s="72"/>
      <c r="DO320" s="72"/>
      <c r="DP320" s="72"/>
      <c r="DQ320" s="72"/>
      <c r="DR320" s="72"/>
      <c r="DS320" s="72"/>
      <c r="DT320" s="72"/>
      <c r="DU320" s="72"/>
      <c r="DV320" s="72"/>
      <c r="DW320" s="72"/>
      <c r="DX320" s="72"/>
      <c r="DY320" s="72"/>
      <c r="DZ320" s="72"/>
      <c r="EA320" s="72"/>
      <c r="EB320" s="72"/>
      <c r="EC320" s="72"/>
      <c r="ED320" s="72"/>
      <c r="EE320" s="72"/>
      <c r="EF320" s="72"/>
      <c r="EG320" s="72"/>
      <c r="EH320" s="72"/>
      <c r="EI320" s="72"/>
      <c r="EJ320" s="72"/>
      <c r="EK320" s="72"/>
      <c r="EL320" s="79">
        <f>EN320+EM320+EO320</f>
        <v>2279.5</v>
      </c>
      <c r="EM320" s="79" t="str">
        <f>TEXT(AN318,"#,###.0")</f>
        <v>241.4</v>
      </c>
      <c r="EN320" s="79" t="str">
        <f>TEXT(AL317,"#,###.0")</f>
        <v>1,933.2</v>
      </c>
      <c r="EO320" s="80" t="str">
        <f>TEXT(AN319,"#,###.0")</f>
        <v>104.9</v>
      </c>
      <c r="EP320" s="78"/>
    </row>
    <row r="321" spans="2:146" ht="11.25" customHeight="1" x14ac:dyDescent="0.2">
      <c r="B321" s="70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  <c r="AZ321" s="71"/>
      <c r="BA321" s="71"/>
      <c r="BB321" s="71"/>
      <c r="BC321" s="71"/>
      <c r="BD321" s="71"/>
      <c r="BE321" s="71"/>
      <c r="BF321" s="71"/>
      <c r="BG321" s="71"/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2"/>
      <c r="CZ321" s="72"/>
      <c r="DA321" s="72"/>
      <c r="DB321" s="72"/>
      <c r="DC321" s="72"/>
      <c r="DD321" s="72"/>
      <c r="DE321" s="72"/>
      <c r="DF321" s="72"/>
      <c r="DG321" s="72"/>
      <c r="DH321" s="72"/>
      <c r="DI321" s="72"/>
      <c r="DJ321" s="72"/>
      <c r="DK321" s="72"/>
      <c r="DL321" s="72"/>
      <c r="DM321" s="72"/>
      <c r="DN321" s="72"/>
      <c r="DO321" s="72"/>
      <c r="DP321" s="72"/>
      <c r="DQ321" s="72"/>
      <c r="DR321" s="72"/>
      <c r="DS321" s="72"/>
      <c r="DT321" s="72"/>
      <c r="DU321" s="72"/>
      <c r="DV321" s="72"/>
      <c r="DW321" s="72"/>
      <c r="DX321" s="72"/>
      <c r="DY321" s="72"/>
      <c r="DZ321" s="72"/>
      <c r="EA321" s="72"/>
      <c r="EB321" s="72"/>
      <c r="EC321" s="72"/>
      <c r="ED321" s="72"/>
      <c r="EE321" s="72"/>
      <c r="EF321" s="72"/>
      <c r="EG321" s="72"/>
      <c r="EH321" s="72"/>
      <c r="EI321" s="72"/>
      <c r="EJ321" s="72"/>
      <c r="EK321" s="72"/>
      <c r="EL321" s="79"/>
      <c r="EM321" s="79"/>
      <c r="EN321" s="79"/>
      <c r="EO321" s="80"/>
      <c r="EP321" s="78"/>
    </row>
    <row r="322" spans="2:146" ht="11.25" customHeight="1" x14ac:dyDescent="0.2">
      <c r="B322" s="70"/>
      <c r="C322" s="71"/>
      <c r="D322" s="71" t="s">
        <v>150</v>
      </c>
      <c r="E322" s="71"/>
      <c r="F322" s="71"/>
      <c r="G322" s="71" t="s">
        <v>34</v>
      </c>
      <c r="H322" s="71"/>
      <c r="I322" s="71"/>
      <c r="J322" s="71"/>
      <c r="K322" s="71" t="s">
        <v>482</v>
      </c>
      <c r="L322" s="71"/>
      <c r="M322" s="71"/>
      <c r="N322" s="71" t="s">
        <v>469</v>
      </c>
      <c r="O322" s="71"/>
      <c r="P322" s="71" t="s">
        <v>10</v>
      </c>
      <c r="Q322" s="71"/>
      <c r="R322" s="71"/>
      <c r="S322" s="71"/>
      <c r="T322" s="71"/>
      <c r="U322" s="71"/>
      <c r="V322" s="71"/>
      <c r="W322" s="71"/>
      <c r="X322" s="71"/>
      <c r="Y322" s="71" t="s">
        <v>90</v>
      </c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2"/>
      <c r="CZ322" s="72"/>
      <c r="DA322" s="72"/>
      <c r="DB322" s="72"/>
      <c r="DC322" s="72"/>
      <c r="DD322" s="72"/>
      <c r="DE322" s="72"/>
      <c r="DF322" s="72"/>
      <c r="DG322" s="72"/>
      <c r="DH322" s="72"/>
      <c r="DI322" s="72"/>
      <c r="DJ322" s="72"/>
      <c r="DK322" s="72"/>
      <c r="DL322" s="72"/>
      <c r="DM322" s="72"/>
      <c r="DN322" s="72"/>
      <c r="DO322" s="72"/>
      <c r="DP322" s="72"/>
      <c r="DQ322" s="72"/>
      <c r="DR322" s="72"/>
      <c r="DS322" s="72"/>
      <c r="DT322" s="72"/>
      <c r="DU322" s="72"/>
      <c r="DV322" s="72"/>
      <c r="DW322" s="72"/>
      <c r="DX322" s="72"/>
      <c r="DY322" s="72"/>
      <c r="DZ322" s="72"/>
      <c r="EA322" s="72"/>
      <c r="EB322" s="72"/>
      <c r="EC322" s="72"/>
      <c r="ED322" s="72"/>
      <c r="EE322" s="72"/>
      <c r="EF322" s="72"/>
      <c r="EG322" s="72"/>
      <c r="EH322" s="72"/>
      <c r="EI322" s="72"/>
      <c r="EJ322" s="72"/>
      <c r="EK322" s="72"/>
      <c r="EL322" s="79"/>
      <c r="EM322" s="79"/>
      <c r="EN322" s="79"/>
      <c r="EO322" s="80"/>
      <c r="EP322" s="78"/>
    </row>
    <row r="323" spans="2:146" ht="11.25" customHeight="1" x14ac:dyDescent="0.2">
      <c r="B323" s="70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2"/>
      <c r="CZ323" s="72"/>
      <c r="DA323" s="72"/>
      <c r="DB323" s="72"/>
      <c r="DC323" s="72"/>
      <c r="DD323" s="72"/>
      <c r="DE323" s="72"/>
      <c r="DF323" s="72"/>
      <c r="DG323" s="72"/>
      <c r="DH323" s="72"/>
      <c r="DI323" s="72"/>
      <c r="DJ323" s="72"/>
      <c r="DK323" s="72"/>
      <c r="DL323" s="72"/>
      <c r="DM323" s="72"/>
      <c r="DN323" s="72"/>
      <c r="DO323" s="72"/>
      <c r="DP323" s="72"/>
      <c r="DQ323" s="72"/>
      <c r="DR323" s="72"/>
      <c r="DS323" s="72"/>
      <c r="DT323" s="72"/>
      <c r="DU323" s="72"/>
      <c r="DV323" s="72"/>
      <c r="DW323" s="72"/>
      <c r="DX323" s="72"/>
      <c r="DY323" s="72"/>
      <c r="DZ323" s="72"/>
      <c r="EA323" s="72"/>
      <c r="EB323" s="72"/>
      <c r="EC323" s="72"/>
      <c r="ED323" s="72"/>
      <c r="EE323" s="72"/>
      <c r="EF323" s="72"/>
      <c r="EG323" s="72"/>
      <c r="EH323" s="72"/>
      <c r="EI323" s="72"/>
      <c r="EJ323" s="72"/>
      <c r="EK323" s="72"/>
      <c r="EL323" s="79"/>
      <c r="EM323" s="79"/>
      <c r="EN323" s="79"/>
      <c r="EO323" s="80"/>
      <c r="EP323" s="78"/>
    </row>
    <row r="324" spans="2:146" ht="11.25" customHeight="1" x14ac:dyDescent="0.2">
      <c r="B324" s="70"/>
      <c r="C324" s="71"/>
      <c r="D324" s="71"/>
      <c r="E324" s="71"/>
      <c r="F324" s="71"/>
      <c r="G324" s="71" t="s">
        <v>543</v>
      </c>
      <c r="H324" s="71"/>
      <c r="I324" s="71"/>
      <c r="J324" s="71"/>
      <c r="K324" s="71"/>
      <c r="L324" s="71"/>
      <c r="M324" s="71"/>
      <c r="N324" s="71" t="s">
        <v>469</v>
      </c>
      <c r="O324" s="71"/>
      <c r="P324" s="71" t="str">
        <f>TEXT(기계경비총괄표!H10,"#,##0")</f>
        <v>49,778</v>
      </c>
      <c r="Q324" s="71"/>
      <c r="R324" s="71"/>
      <c r="S324" s="71"/>
      <c r="T324" s="71"/>
      <c r="U324" s="71"/>
      <c r="V324" s="71"/>
      <c r="W324" s="71"/>
      <c r="X324" s="71"/>
      <c r="Y324" s="71" t="s">
        <v>309</v>
      </c>
      <c r="Z324" s="71"/>
      <c r="AA324" s="71"/>
      <c r="AB324" s="71" t="str">
        <f>TEXT(AZ298,"#,##0.#######")</f>
        <v>18.75</v>
      </c>
      <c r="AC324" s="71"/>
      <c r="AD324" s="71"/>
      <c r="AE324" s="71"/>
      <c r="AF324" s="71"/>
      <c r="AG324" s="71"/>
      <c r="AH324" s="71"/>
      <c r="AI324" s="71"/>
      <c r="AJ324" s="71" t="s">
        <v>542</v>
      </c>
      <c r="AK324" s="71"/>
      <c r="AL324" s="71"/>
      <c r="AM324" s="71" t="str">
        <f>TEXT(0.5,"#,##0.#######")</f>
        <v>0.5</v>
      </c>
      <c r="AN324" s="71"/>
      <c r="AO324" s="71"/>
      <c r="AP324" s="71" t="s">
        <v>146</v>
      </c>
      <c r="AQ324" s="71"/>
      <c r="AR324" s="71"/>
      <c r="AS324" s="71" t="s">
        <v>254</v>
      </c>
      <c r="AT324" s="71"/>
      <c r="AU324" s="71"/>
      <c r="AV324" s="71"/>
      <c r="AW324" s="71" t="str">
        <f>TEXT(TRUNC(P324/AZ298*AM324,1),"#,##0.#")</f>
        <v>1,327.4</v>
      </c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2"/>
      <c r="CZ324" s="72"/>
      <c r="DA324" s="72"/>
      <c r="DB324" s="72"/>
      <c r="DC324" s="72"/>
      <c r="DD324" s="72"/>
      <c r="DE324" s="72"/>
      <c r="DF324" s="72"/>
      <c r="DG324" s="72"/>
      <c r="DH324" s="72"/>
      <c r="DI324" s="72"/>
      <c r="DJ324" s="72"/>
      <c r="DK324" s="72"/>
      <c r="DL324" s="72"/>
      <c r="DM324" s="72"/>
      <c r="DN324" s="72"/>
      <c r="DO324" s="72"/>
      <c r="DP324" s="72"/>
      <c r="DQ324" s="72"/>
      <c r="DR324" s="72"/>
      <c r="DS324" s="72"/>
      <c r="DT324" s="72"/>
      <c r="DU324" s="72"/>
      <c r="DV324" s="72"/>
      <c r="DW324" s="72"/>
      <c r="DX324" s="72"/>
      <c r="DY324" s="72"/>
      <c r="DZ324" s="72"/>
      <c r="EA324" s="72"/>
      <c r="EB324" s="72"/>
      <c r="EC324" s="72"/>
      <c r="ED324" s="72"/>
      <c r="EE324" s="72"/>
      <c r="EF324" s="72"/>
      <c r="EG324" s="72"/>
      <c r="EH324" s="72"/>
      <c r="EI324" s="72"/>
      <c r="EJ324" s="72"/>
      <c r="EK324" s="72"/>
      <c r="EL324" s="79"/>
      <c r="EM324" s="79"/>
      <c r="EN324" s="79"/>
      <c r="EO324" s="80"/>
      <c r="EP324" s="78"/>
    </row>
    <row r="325" spans="2:146" ht="11.25" customHeight="1" x14ac:dyDescent="0.2">
      <c r="B325" s="70"/>
      <c r="C325" s="71"/>
      <c r="D325" s="71"/>
      <c r="E325" s="71"/>
      <c r="F325" s="71"/>
      <c r="G325" s="71" t="s">
        <v>400</v>
      </c>
      <c r="H325" s="71"/>
      <c r="I325" s="71"/>
      <c r="J325" s="71"/>
      <c r="K325" s="71"/>
      <c r="L325" s="71"/>
      <c r="M325" s="71"/>
      <c r="N325" s="71" t="s">
        <v>469</v>
      </c>
      <c r="O325" s="71"/>
      <c r="P325" s="71" t="str">
        <f>TEXT(기계경비총괄표!G10,"#,##0")</f>
        <v>22,015</v>
      </c>
      <c r="Q325" s="71"/>
      <c r="R325" s="71"/>
      <c r="S325" s="71"/>
      <c r="T325" s="71"/>
      <c r="U325" s="71"/>
      <c r="V325" s="71"/>
      <c r="W325" s="71"/>
      <c r="X325" s="71"/>
      <c r="Y325" s="71" t="s">
        <v>309</v>
      </c>
      <c r="Z325" s="71"/>
      <c r="AA325" s="71"/>
      <c r="AB325" s="71" t="str">
        <f>TEXT(AZ298,"#,##0.#######")</f>
        <v>18.75</v>
      </c>
      <c r="AC325" s="71"/>
      <c r="AD325" s="71"/>
      <c r="AE325" s="71"/>
      <c r="AF325" s="71"/>
      <c r="AG325" s="71"/>
      <c r="AH325" s="71"/>
      <c r="AI325" s="71"/>
      <c r="AJ325" s="71" t="s">
        <v>542</v>
      </c>
      <c r="AK325" s="71"/>
      <c r="AL325" s="71"/>
      <c r="AM325" s="71" t="str">
        <f>TEXT(0.5,"#,##0.#######")</f>
        <v>0.5</v>
      </c>
      <c r="AN325" s="71"/>
      <c r="AO325" s="71"/>
      <c r="AP325" s="71" t="s">
        <v>146</v>
      </c>
      <c r="AQ325" s="71"/>
      <c r="AR325" s="71"/>
      <c r="AS325" s="71" t="s">
        <v>254</v>
      </c>
      <c r="AT325" s="71"/>
      <c r="AU325" s="71"/>
      <c r="AV325" s="71"/>
      <c r="AW325" s="71" t="str">
        <f>TEXT(TRUNC(P325/AZ298*AM325,1),"#,##0.#")</f>
        <v>587.</v>
      </c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2"/>
      <c r="CZ325" s="72"/>
      <c r="DA325" s="72"/>
      <c r="DB325" s="72"/>
      <c r="DC325" s="72"/>
      <c r="DD325" s="72"/>
      <c r="DE325" s="72"/>
      <c r="DF325" s="72"/>
      <c r="DG325" s="72"/>
      <c r="DH325" s="72"/>
      <c r="DI325" s="72"/>
      <c r="DJ325" s="72"/>
      <c r="DK325" s="72"/>
      <c r="DL325" s="72"/>
      <c r="DM325" s="72"/>
      <c r="DN325" s="72"/>
      <c r="DO325" s="72"/>
      <c r="DP325" s="72"/>
      <c r="DQ325" s="72"/>
      <c r="DR325" s="72"/>
      <c r="DS325" s="72"/>
      <c r="DT325" s="72"/>
      <c r="DU325" s="72"/>
      <c r="DV325" s="72"/>
      <c r="DW325" s="72"/>
      <c r="DX325" s="72"/>
      <c r="DY325" s="72"/>
      <c r="DZ325" s="72"/>
      <c r="EA325" s="72"/>
      <c r="EB325" s="72"/>
      <c r="EC325" s="72"/>
      <c r="ED325" s="72"/>
      <c r="EE325" s="72"/>
      <c r="EF325" s="72"/>
      <c r="EG325" s="72"/>
      <c r="EH325" s="72"/>
      <c r="EI325" s="72"/>
      <c r="EJ325" s="72"/>
      <c r="EK325" s="72"/>
      <c r="EL325" s="79"/>
      <c r="EM325" s="79"/>
      <c r="EN325" s="79"/>
      <c r="EO325" s="80"/>
      <c r="EP325" s="78"/>
    </row>
    <row r="326" spans="2:146" ht="11.25" customHeight="1" x14ac:dyDescent="0.2">
      <c r="B326" s="70"/>
      <c r="C326" s="71"/>
      <c r="D326" s="71"/>
      <c r="E326" s="71"/>
      <c r="F326" s="71"/>
      <c r="G326" s="71" t="s">
        <v>147</v>
      </c>
      <c r="H326" s="71"/>
      <c r="I326" s="71"/>
      <c r="J326" s="71"/>
      <c r="K326" s="71" t="s">
        <v>342</v>
      </c>
      <c r="L326" s="71"/>
      <c r="M326" s="71"/>
      <c r="N326" s="71" t="s">
        <v>469</v>
      </c>
      <c r="O326" s="71"/>
      <c r="P326" s="71"/>
      <c r="Q326" s="71" t="str">
        <f>TEXT(기계경비총괄표!I10,"#,##0")</f>
        <v>9,986</v>
      </c>
      <c r="R326" s="71"/>
      <c r="S326" s="71"/>
      <c r="T326" s="71"/>
      <c r="U326" s="71"/>
      <c r="V326" s="71"/>
      <c r="W326" s="71"/>
      <c r="X326" s="71"/>
      <c r="Y326" s="71" t="s">
        <v>309</v>
      </c>
      <c r="Z326" s="71"/>
      <c r="AA326" s="71"/>
      <c r="AB326" s="71" t="str">
        <f>TEXT(AZ298,"#,##0.#######")</f>
        <v>18.75</v>
      </c>
      <c r="AC326" s="71"/>
      <c r="AD326" s="71"/>
      <c r="AE326" s="71"/>
      <c r="AF326" s="71"/>
      <c r="AG326" s="71"/>
      <c r="AH326" s="71"/>
      <c r="AI326" s="71"/>
      <c r="AJ326" s="71" t="s">
        <v>542</v>
      </c>
      <c r="AK326" s="71"/>
      <c r="AL326" s="71"/>
      <c r="AM326" s="71" t="str">
        <f>TEXT(0.5,"#,##0.#######")</f>
        <v>0.5</v>
      </c>
      <c r="AN326" s="71"/>
      <c r="AO326" s="71"/>
      <c r="AP326" s="71" t="s">
        <v>146</v>
      </c>
      <c r="AQ326" s="71"/>
      <c r="AR326" s="71"/>
      <c r="AS326" s="71" t="s">
        <v>254</v>
      </c>
      <c r="AT326" s="71"/>
      <c r="AU326" s="71"/>
      <c r="AV326" s="71"/>
      <c r="AW326" s="71" t="str">
        <f>TEXT(TRUNC(Q326/AZ298*AM326,1),"#,##0.#")</f>
        <v>266.2</v>
      </c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1"/>
      <c r="CG326" s="71"/>
      <c r="CH326" s="71"/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1"/>
      <c r="CV326" s="71"/>
      <c r="CW326" s="71"/>
      <c r="CX326" s="71"/>
      <c r="CY326" s="72"/>
      <c r="CZ326" s="72"/>
      <c r="DA326" s="72"/>
      <c r="DB326" s="72"/>
      <c r="DC326" s="72"/>
      <c r="DD326" s="72"/>
      <c r="DE326" s="72"/>
      <c r="DF326" s="72"/>
      <c r="DG326" s="72"/>
      <c r="DH326" s="72"/>
      <c r="DI326" s="72"/>
      <c r="DJ326" s="72"/>
      <c r="DK326" s="72"/>
      <c r="DL326" s="72"/>
      <c r="DM326" s="72"/>
      <c r="DN326" s="72"/>
      <c r="DO326" s="72"/>
      <c r="DP326" s="72"/>
      <c r="DQ326" s="72"/>
      <c r="DR326" s="72"/>
      <c r="DS326" s="72"/>
      <c r="DT326" s="72"/>
      <c r="DU326" s="72"/>
      <c r="DV326" s="72"/>
      <c r="DW326" s="72"/>
      <c r="DX326" s="72"/>
      <c r="DY326" s="72"/>
      <c r="DZ326" s="72"/>
      <c r="EA326" s="72"/>
      <c r="EB326" s="72"/>
      <c r="EC326" s="72"/>
      <c r="ED326" s="72"/>
      <c r="EE326" s="72"/>
      <c r="EF326" s="72"/>
      <c r="EG326" s="72"/>
      <c r="EH326" s="72"/>
      <c r="EI326" s="72"/>
      <c r="EJ326" s="72"/>
      <c r="EK326" s="72"/>
      <c r="EL326" s="79"/>
      <c r="EM326" s="79"/>
      <c r="EN326" s="79"/>
      <c r="EO326" s="80"/>
      <c r="EP326" s="78"/>
    </row>
    <row r="327" spans="2:146" ht="11.25" customHeight="1" x14ac:dyDescent="0.2">
      <c r="B327" s="70"/>
      <c r="C327" s="71"/>
      <c r="D327" s="71"/>
      <c r="E327" s="71"/>
      <c r="F327" s="71"/>
      <c r="G327" s="71" t="s">
        <v>252</v>
      </c>
      <c r="H327" s="71"/>
      <c r="I327" s="71"/>
      <c r="J327" s="71"/>
      <c r="K327" s="71" t="s">
        <v>341</v>
      </c>
      <c r="L327" s="71"/>
      <c r="M327" s="71"/>
      <c r="N327" s="71" t="s">
        <v>469</v>
      </c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 t="str">
        <f>TEXT(AW324+AW325+AW326,"#,##0.#######")</f>
        <v>2,180.6</v>
      </c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2"/>
      <c r="CZ327" s="72"/>
      <c r="DA327" s="72"/>
      <c r="DB327" s="72"/>
      <c r="DC327" s="72"/>
      <c r="DD327" s="72"/>
      <c r="DE327" s="72"/>
      <c r="DF327" s="72"/>
      <c r="DG327" s="72"/>
      <c r="DH327" s="72"/>
      <c r="DI327" s="72"/>
      <c r="DJ327" s="72"/>
      <c r="DK327" s="72"/>
      <c r="DL327" s="72"/>
      <c r="DM327" s="72"/>
      <c r="DN327" s="72"/>
      <c r="DO327" s="72"/>
      <c r="DP327" s="72"/>
      <c r="DQ327" s="72"/>
      <c r="DR327" s="72"/>
      <c r="DS327" s="72"/>
      <c r="DT327" s="72"/>
      <c r="DU327" s="72"/>
      <c r="DV327" s="72"/>
      <c r="DW327" s="72"/>
      <c r="DX327" s="72"/>
      <c r="DY327" s="72"/>
      <c r="DZ327" s="72"/>
      <c r="EA327" s="72"/>
      <c r="EB327" s="72"/>
      <c r="EC327" s="72"/>
      <c r="ED327" s="72"/>
      <c r="EE327" s="72"/>
      <c r="EF327" s="72"/>
      <c r="EG327" s="72"/>
      <c r="EH327" s="72"/>
      <c r="EI327" s="72"/>
      <c r="EJ327" s="72"/>
      <c r="EK327" s="72"/>
      <c r="EL327" s="79">
        <f>EN327+EM327+EO327</f>
        <v>2180.6</v>
      </c>
      <c r="EM327" s="79" t="str">
        <f>TEXT(AW325,"#,###.0")</f>
        <v>587.0</v>
      </c>
      <c r="EN327" s="79" t="str">
        <f>TEXT(AW324,"#,###.0")</f>
        <v>1,327.4</v>
      </c>
      <c r="EO327" s="80" t="str">
        <f>TEXT(AW326,"#,###.0")</f>
        <v>266.2</v>
      </c>
      <c r="EP327" s="78"/>
    </row>
    <row r="328" spans="2:146" ht="11.25" customHeight="1" x14ac:dyDescent="0.2">
      <c r="B328" s="70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1"/>
      <c r="CV328" s="71"/>
      <c r="CW328" s="71"/>
      <c r="CX328" s="71"/>
      <c r="CY328" s="72"/>
      <c r="CZ328" s="72"/>
      <c r="DA328" s="72"/>
      <c r="DB328" s="72"/>
      <c r="DC328" s="72"/>
      <c r="DD328" s="72"/>
      <c r="DE328" s="72"/>
      <c r="DF328" s="72"/>
      <c r="DG328" s="72"/>
      <c r="DH328" s="72"/>
      <c r="DI328" s="72"/>
      <c r="DJ328" s="72"/>
      <c r="DK328" s="72"/>
      <c r="DL328" s="72"/>
      <c r="DM328" s="72"/>
      <c r="DN328" s="72"/>
      <c r="DO328" s="72"/>
      <c r="DP328" s="72"/>
      <c r="DQ328" s="72"/>
      <c r="DR328" s="72"/>
      <c r="DS328" s="72"/>
      <c r="DT328" s="72"/>
      <c r="DU328" s="72"/>
      <c r="DV328" s="72"/>
      <c r="DW328" s="72"/>
      <c r="DX328" s="72"/>
      <c r="DY328" s="72"/>
      <c r="DZ328" s="72"/>
      <c r="EA328" s="72"/>
      <c r="EB328" s="72"/>
      <c r="EC328" s="72"/>
      <c r="ED328" s="72"/>
      <c r="EE328" s="72"/>
      <c r="EF328" s="72"/>
      <c r="EG328" s="72"/>
      <c r="EH328" s="72"/>
      <c r="EI328" s="72"/>
      <c r="EJ328" s="72"/>
      <c r="EK328" s="72"/>
      <c r="EL328" s="79"/>
      <c r="EM328" s="79"/>
      <c r="EN328" s="79"/>
      <c r="EO328" s="80"/>
      <c r="EP328" s="78"/>
    </row>
    <row r="329" spans="2:146" ht="11.25" customHeight="1" x14ac:dyDescent="0.2">
      <c r="B329" s="70"/>
      <c r="C329" s="71"/>
      <c r="D329" s="71" t="s">
        <v>305</v>
      </c>
      <c r="E329" s="71"/>
      <c r="F329" s="71"/>
      <c r="G329" s="71" t="s">
        <v>437</v>
      </c>
      <c r="H329" s="71"/>
      <c r="I329" s="71"/>
      <c r="J329" s="71"/>
      <c r="K329" s="71" t="s">
        <v>341</v>
      </c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/>
      <c r="AE329" s="71"/>
      <c r="AF329" s="71"/>
      <c r="AG329" s="71"/>
      <c r="AH329" s="71"/>
      <c r="AI329" s="71"/>
      <c r="AJ329" s="71"/>
      <c r="AK329" s="71"/>
      <c r="AL329" s="71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  <c r="CV329" s="71"/>
      <c r="CW329" s="71"/>
      <c r="CX329" s="71"/>
      <c r="CY329" s="72"/>
      <c r="CZ329" s="72"/>
      <c r="DA329" s="72"/>
      <c r="DB329" s="72"/>
      <c r="DC329" s="72"/>
      <c r="DD329" s="72"/>
      <c r="DE329" s="72"/>
      <c r="DF329" s="72"/>
      <c r="DG329" s="72"/>
      <c r="DH329" s="72"/>
      <c r="DI329" s="72"/>
      <c r="DJ329" s="72"/>
      <c r="DK329" s="72"/>
      <c r="DL329" s="72"/>
      <c r="DM329" s="72"/>
      <c r="DN329" s="72"/>
      <c r="DO329" s="72"/>
      <c r="DP329" s="72"/>
      <c r="DQ329" s="72"/>
      <c r="DR329" s="72"/>
      <c r="DS329" s="72"/>
      <c r="DT329" s="72"/>
      <c r="DU329" s="72"/>
      <c r="DV329" s="72"/>
      <c r="DW329" s="72"/>
      <c r="DX329" s="72"/>
      <c r="DY329" s="72"/>
      <c r="DZ329" s="72"/>
      <c r="EA329" s="72"/>
      <c r="EB329" s="72"/>
      <c r="EC329" s="72"/>
      <c r="ED329" s="72"/>
      <c r="EE329" s="72"/>
      <c r="EF329" s="72"/>
      <c r="EG329" s="72"/>
      <c r="EH329" s="72"/>
      <c r="EI329" s="72"/>
      <c r="EJ329" s="72"/>
      <c r="EK329" s="72"/>
      <c r="EL329" s="79"/>
      <c r="EM329" s="79"/>
      <c r="EN329" s="79"/>
      <c r="EO329" s="80"/>
      <c r="EP329" s="78"/>
    </row>
    <row r="330" spans="2:146" ht="11.25" customHeight="1" x14ac:dyDescent="0.2">
      <c r="B330" s="70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  <c r="CV330" s="71"/>
      <c r="CW330" s="71"/>
      <c r="CX330" s="71"/>
      <c r="CY330" s="72"/>
      <c r="CZ330" s="72"/>
      <c r="DA330" s="72"/>
      <c r="DB330" s="72"/>
      <c r="DC330" s="72"/>
      <c r="DD330" s="72"/>
      <c r="DE330" s="72"/>
      <c r="DF330" s="72"/>
      <c r="DG330" s="72"/>
      <c r="DH330" s="72"/>
      <c r="DI330" s="72"/>
      <c r="DJ330" s="72"/>
      <c r="DK330" s="72"/>
      <c r="DL330" s="72"/>
      <c r="DM330" s="72"/>
      <c r="DN330" s="72"/>
      <c r="DO330" s="72"/>
      <c r="DP330" s="72"/>
      <c r="DQ330" s="72"/>
      <c r="DR330" s="72"/>
      <c r="DS330" s="72"/>
      <c r="DT330" s="72"/>
      <c r="DU330" s="72"/>
      <c r="DV330" s="72"/>
      <c r="DW330" s="72"/>
      <c r="DX330" s="72"/>
      <c r="DY330" s="72"/>
      <c r="DZ330" s="72"/>
      <c r="EA330" s="72"/>
      <c r="EB330" s="72"/>
      <c r="EC330" s="72"/>
      <c r="ED330" s="72"/>
      <c r="EE330" s="72"/>
      <c r="EF330" s="72"/>
      <c r="EG330" s="72"/>
      <c r="EH330" s="72"/>
      <c r="EI330" s="72"/>
      <c r="EJ330" s="72"/>
      <c r="EK330" s="72"/>
      <c r="EL330" s="79"/>
      <c r="EM330" s="79"/>
      <c r="EN330" s="79"/>
      <c r="EO330" s="80"/>
      <c r="EP330" s="78"/>
    </row>
    <row r="331" spans="2:146" ht="11.25" customHeight="1" x14ac:dyDescent="0.2">
      <c r="B331" s="70"/>
      <c r="C331" s="71"/>
      <c r="D331" s="71"/>
      <c r="E331" s="71"/>
      <c r="F331" s="71"/>
      <c r="G331" s="71"/>
      <c r="H331" s="71" t="s">
        <v>543</v>
      </c>
      <c r="I331" s="71"/>
      <c r="J331" s="71"/>
      <c r="K331" s="71"/>
      <c r="L331" s="71"/>
      <c r="M331" s="71"/>
      <c r="N331" s="71"/>
      <c r="O331" s="71" t="s">
        <v>469</v>
      </c>
      <c r="P331" s="71"/>
      <c r="Q331" s="71" t="str">
        <f>TEXT(EN306,"#,###.##")</f>
        <v>5,241.</v>
      </c>
      <c r="R331" s="71"/>
      <c r="S331" s="71"/>
      <c r="T331" s="71"/>
      <c r="U331" s="71"/>
      <c r="V331" s="71"/>
      <c r="W331" s="71" t="s">
        <v>133</v>
      </c>
      <c r="X331" s="71"/>
      <c r="Y331" s="71" t="str">
        <f>TEXT(EN313,"#,###.##")</f>
        <v>3,147.7</v>
      </c>
      <c r="Z331" s="71"/>
      <c r="AA331" s="71"/>
      <c r="AB331" s="71"/>
      <c r="AC331" s="71"/>
      <c r="AD331" s="71"/>
      <c r="AE331" s="71"/>
      <c r="AF331" s="71"/>
      <c r="AG331" s="71" t="s">
        <v>133</v>
      </c>
      <c r="AH331" s="71"/>
      <c r="AI331" s="71" t="str">
        <f>TEXT(EN320,"#,###.##")</f>
        <v>1,933.2</v>
      </c>
      <c r="AJ331" s="71"/>
      <c r="AK331" s="71"/>
      <c r="AL331" s="71"/>
      <c r="AM331" s="71"/>
      <c r="AN331" s="71"/>
      <c r="AO331" s="71"/>
      <c r="AP331" s="71"/>
      <c r="AQ331" s="71" t="s">
        <v>133</v>
      </c>
      <c r="AR331" s="71"/>
      <c r="AS331" s="71" t="str">
        <f>TEXT(EN327,"#,###.##")</f>
        <v>1,327.4</v>
      </c>
      <c r="AT331" s="71"/>
      <c r="AU331" s="71"/>
      <c r="AV331" s="71"/>
      <c r="AW331" s="71"/>
      <c r="AX331" s="71"/>
      <c r="AY331" s="71"/>
      <c r="AZ331" s="71"/>
      <c r="BA331" s="71" t="s">
        <v>254</v>
      </c>
      <c r="BB331" s="71"/>
      <c r="BC331" s="71"/>
      <c r="BD331" s="71" t="str">
        <f>TEXT(TRUNC(EN306+EN313+EN320+EN327,0),"#,##0")</f>
        <v>11,649</v>
      </c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  <c r="CM331" s="71"/>
      <c r="CN331" s="71"/>
      <c r="CO331" s="71"/>
      <c r="CP331" s="71"/>
      <c r="CQ331" s="71"/>
      <c r="CR331" s="71"/>
      <c r="CS331" s="71"/>
      <c r="CT331" s="71"/>
      <c r="CU331" s="71"/>
      <c r="CV331" s="71"/>
      <c r="CW331" s="71"/>
      <c r="CX331" s="71"/>
      <c r="CY331" s="72"/>
      <c r="CZ331" s="72"/>
      <c r="DA331" s="72"/>
      <c r="DB331" s="72"/>
      <c r="DC331" s="72"/>
      <c r="DD331" s="72"/>
      <c r="DE331" s="72"/>
      <c r="DF331" s="72"/>
      <c r="DG331" s="72"/>
      <c r="DH331" s="72"/>
      <c r="DI331" s="72"/>
      <c r="DJ331" s="72"/>
      <c r="DK331" s="72"/>
      <c r="DL331" s="72"/>
      <c r="DM331" s="72"/>
      <c r="DN331" s="72"/>
      <c r="DO331" s="72"/>
      <c r="DP331" s="72"/>
      <c r="DQ331" s="72"/>
      <c r="DR331" s="72"/>
      <c r="DS331" s="72"/>
      <c r="DT331" s="72"/>
      <c r="DU331" s="72"/>
      <c r="DV331" s="72"/>
      <c r="DW331" s="72"/>
      <c r="DX331" s="72"/>
      <c r="DY331" s="72"/>
      <c r="DZ331" s="72"/>
      <c r="EA331" s="72"/>
      <c r="EB331" s="72"/>
      <c r="EC331" s="72"/>
      <c r="ED331" s="72"/>
      <c r="EE331" s="72"/>
      <c r="EF331" s="72"/>
      <c r="EG331" s="72"/>
      <c r="EH331" s="72"/>
      <c r="EI331" s="72"/>
      <c r="EJ331" s="72"/>
      <c r="EK331" s="72"/>
      <c r="EL331" s="79"/>
      <c r="EM331" s="79"/>
      <c r="EN331" s="79"/>
      <c r="EO331" s="80"/>
      <c r="EP331" s="78"/>
    </row>
    <row r="332" spans="2:146" ht="11.25" customHeight="1" x14ac:dyDescent="0.2">
      <c r="B332" s="70"/>
      <c r="C332" s="71"/>
      <c r="D332" s="71"/>
      <c r="E332" s="71"/>
      <c r="F332" s="71"/>
      <c r="G332" s="71"/>
      <c r="H332" s="71" t="s">
        <v>400</v>
      </c>
      <c r="I332" s="71"/>
      <c r="J332" s="71"/>
      <c r="K332" s="71"/>
      <c r="L332" s="71"/>
      <c r="M332" s="71"/>
      <c r="N332" s="71"/>
      <c r="O332" s="71" t="s">
        <v>469</v>
      </c>
      <c r="P332" s="71"/>
      <c r="Q332" s="71" t="str">
        <f>TEXT(EM313,"#,###.##")</f>
        <v>1,396.9</v>
      </c>
      <c r="R332" s="71"/>
      <c r="S332" s="71"/>
      <c r="T332" s="71"/>
      <c r="U332" s="71"/>
      <c r="V332" s="71"/>
      <c r="W332" s="71"/>
      <c r="X332" s="71"/>
      <c r="Y332" s="71" t="s">
        <v>133</v>
      </c>
      <c r="Z332" s="71"/>
      <c r="AA332" s="71" t="str">
        <f>TEXT(EM320,"#,###.##")</f>
        <v>241.4</v>
      </c>
      <c r="AB332" s="71"/>
      <c r="AC332" s="71"/>
      <c r="AD332" s="71"/>
      <c r="AE332" s="71"/>
      <c r="AF332" s="71"/>
      <c r="AG332" s="71" t="s">
        <v>133</v>
      </c>
      <c r="AH332" s="71"/>
      <c r="AI332" s="71" t="str">
        <f>TEXT(EM327,"#,###.##")</f>
        <v>587.</v>
      </c>
      <c r="AJ332" s="71"/>
      <c r="AK332" s="71"/>
      <c r="AL332" s="71"/>
      <c r="AM332" s="71" t="s">
        <v>254</v>
      </c>
      <c r="AN332" s="71"/>
      <c r="AO332" s="71"/>
      <c r="AP332" s="71" t="str">
        <f>TEXT(TRUNC(EM313+EM320+EM327,0),"#,##0")</f>
        <v>2,225</v>
      </c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  <c r="CV332" s="71"/>
      <c r="CW332" s="71"/>
      <c r="CX332" s="71"/>
      <c r="CY332" s="72"/>
      <c r="CZ332" s="72"/>
      <c r="DA332" s="72"/>
      <c r="DB332" s="72"/>
      <c r="DC332" s="72"/>
      <c r="DD332" s="72"/>
      <c r="DE332" s="72"/>
      <c r="DF332" s="72"/>
      <c r="DG332" s="72"/>
      <c r="DH332" s="72"/>
      <c r="DI332" s="72"/>
      <c r="DJ332" s="72"/>
      <c r="DK332" s="72"/>
      <c r="DL332" s="72"/>
      <c r="DM332" s="72"/>
      <c r="DN332" s="72"/>
      <c r="DO332" s="72"/>
      <c r="DP332" s="72"/>
      <c r="DQ332" s="72"/>
      <c r="DR332" s="72"/>
      <c r="DS332" s="72"/>
      <c r="DT332" s="72"/>
      <c r="DU332" s="72"/>
      <c r="DV332" s="72"/>
      <c r="DW332" s="72"/>
      <c r="DX332" s="72"/>
      <c r="DY332" s="72"/>
      <c r="DZ332" s="72"/>
      <c r="EA332" s="72"/>
      <c r="EB332" s="72"/>
      <c r="EC332" s="72"/>
      <c r="ED332" s="72"/>
      <c r="EE332" s="72"/>
      <c r="EF332" s="72"/>
      <c r="EG332" s="72"/>
      <c r="EH332" s="72"/>
      <c r="EI332" s="72"/>
      <c r="EJ332" s="72"/>
      <c r="EK332" s="72"/>
      <c r="EL332" s="79"/>
      <c r="EM332" s="79"/>
      <c r="EN332" s="79"/>
      <c r="EO332" s="80"/>
      <c r="EP332" s="78"/>
    </row>
    <row r="333" spans="2:146" ht="11.25" customHeight="1" x14ac:dyDescent="0.2">
      <c r="B333" s="70"/>
      <c r="C333" s="71"/>
      <c r="D333" s="71"/>
      <c r="E333" s="71"/>
      <c r="F333" s="71"/>
      <c r="G333" s="71"/>
      <c r="H333" s="71" t="s">
        <v>147</v>
      </c>
      <c r="I333" s="71"/>
      <c r="J333" s="71"/>
      <c r="K333" s="71"/>
      <c r="L333" s="71" t="s">
        <v>342</v>
      </c>
      <c r="M333" s="71"/>
      <c r="N333" s="71"/>
      <c r="O333" s="71" t="s">
        <v>469</v>
      </c>
      <c r="P333" s="71"/>
      <c r="Q333" s="71" t="str">
        <f>TEXT(EO313,"#,###.##")</f>
        <v>1,446.4</v>
      </c>
      <c r="R333" s="71"/>
      <c r="S333" s="71"/>
      <c r="T333" s="71"/>
      <c r="U333" s="71"/>
      <c r="V333" s="71"/>
      <c r="W333" s="71"/>
      <c r="X333" s="71"/>
      <c r="Y333" s="71" t="s">
        <v>133</v>
      </c>
      <c r="Z333" s="71"/>
      <c r="AA333" s="71" t="str">
        <f>TEXT(EO320,"#,###.##")</f>
        <v>104.9</v>
      </c>
      <c r="AB333" s="71"/>
      <c r="AC333" s="71"/>
      <c r="AD333" s="71"/>
      <c r="AE333" s="71"/>
      <c r="AF333" s="71"/>
      <c r="AG333" s="71" t="s">
        <v>133</v>
      </c>
      <c r="AH333" s="71"/>
      <c r="AI333" s="71" t="str">
        <f>TEXT(EO327,"#,###.##")</f>
        <v>266.2</v>
      </c>
      <c r="AJ333" s="71"/>
      <c r="AK333" s="71"/>
      <c r="AL333" s="71"/>
      <c r="AM333" s="71"/>
      <c r="AN333" s="71"/>
      <c r="AO333" s="71" t="s">
        <v>254</v>
      </c>
      <c r="AP333" s="71"/>
      <c r="AQ333" s="71"/>
      <c r="AR333" s="71" t="str">
        <f>TEXT(TRUNC(EO313+EO320+EO327,0),"#,##0")</f>
        <v>1,817</v>
      </c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  <c r="CV333" s="71"/>
      <c r="CW333" s="71"/>
      <c r="CX333" s="71"/>
      <c r="CY333" s="72"/>
      <c r="CZ333" s="72"/>
      <c r="DA333" s="72"/>
      <c r="DB333" s="72"/>
      <c r="DC333" s="72"/>
      <c r="DD333" s="72"/>
      <c r="DE333" s="72"/>
      <c r="DF333" s="72"/>
      <c r="DG333" s="72"/>
      <c r="DH333" s="72"/>
      <c r="DI333" s="72"/>
      <c r="DJ333" s="72"/>
      <c r="DK333" s="72"/>
      <c r="DL333" s="72"/>
      <c r="DM333" s="72"/>
      <c r="DN333" s="72"/>
      <c r="DO333" s="72"/>
      <c r="DP333" s="72"/>
      <c r="DQ333" s="72"/>
      <c r="DR333" s="72"/>
      <c r="DS333" s="72"/>
      <c r="DT333" s="72"/>
      <c r="DU333" s="72"/>
      <c r="DV333" s="72"/>
      <c r="DW333" s="72"/>
      <c r="DX333" s="72"/>
      <c r="DY333" s="72"/>
      <c r="DZ333" s="72"/>
      <c r="EA333" s="72"/>
      <c r="EB333" s="72"/>
      <c r="EC333" s="72"/>
      <c r="ED333" s="72"/>
      <c r="EE333" s="72"/>
      <c r="EF333" s="72"/>
      <c r="EG333" s="72"/>
      <c r="EH333" s="72"/>
      <c r="EI333" s="72"/>
      <c r="EJ333" s="72"/>
      <c r="EK333" s="72"/>
      <c r="EL333" s="79"/>
      <c r="EM333" s="79"/>
      <c r="EN333" s="79"/>
      <c r="EO333" s="80"/>
      <c r="EP333" s="78"/>
    </row>
    <row r="334" spans="2:146" ht="11.25" customHeight="1" x14ac:dyDescent="0.2">
      <c r="B334" s="70"/>
      <c r="C334" s="71"/>
      <c r="D334" s="71"/>
      <c r="E334" s="71"/>
      <c r="F334" s="71"/>
      <c r="G334" s="71"/>
      <c r="H334" s="71"/>
      <c r="I334" s="71"/>
      <c r="J334" s="71" t="s">
        <v>341</v>
      </c>
      <c r="K334" s="71"/>
      <c r="L334" s="71"/>
      <c r="M334" s="71"/>
      <c r="N334" s="71"/>
      <c r="O334" s="71" t="s">
        <v>469</v>
      </c>
      <c r="P334" s="71"/>
      <c r="Q334" s="71"/>
      <c r="R334" s="71" t="str">
        <f>TEXT(BD331+AP332+AR333,"#,##0")</f>
        <v>15,691</v>
      </c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/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  <c r="CV334" s="71"/>
      <c r="CW334" s="71"/>
      <c r="CX334" s="71"/>
      <c r="CY334" s="72"/>
      <c r="CZ334" s="72"/>
      <c r="DA334" s="72"/>
      <c r="DB334" s="72"/>
      <c r="DC334" s="72"/>
      <c r="DD334" s="72"/>
      <c r="DE334" s="72"/>
      <c r="DF334" s="72"/>
      <c r="DG334" s="72"/>
      <c r="DH334" s="72"/>
      <c r="DI334" s="72"/>
      <c r="DJ334" s="72"/>
      <c r="DK334" s="72"/>
      <c r="DL334" s="72"/>
      <c r="DM334" s="72"/>
      <c r="DN334" s="72"/>
      <c r="DO334" s="72"/>
      <c r="DP334" s="72"/>
      <c r="DQ334" s="72"/>
      <c r="DR334" s="72"/>
      <c r="DS334" s="72"/>
      <c r="DT334" s="72"/>
      <c r="DU334" s="72"/>
      <c r="DV334" s="72"/>
      <c r="DW334" s="72"/>
      <c r="DX334" s="72"/>
      <c r="DY334" s="72"/>
      <c r="DZ334" s="72"/>
      <c r="EA334" s="72"/>
      <c r="EB334" s="72"/>
      <c r="EC334" s="72"/>
      <c r="ED334" s="72"/>
      <c r="EE334" s="72"/>
      <c r="EF334" s="72"/>
      <c r="EG334" s="72"/>
      <c r="EH334" s="72"/>
      <c r="EI334" s="72"/>
      <c r="EJ334" s="72"/>
      <c r="EK334" s="72"/>
      <c r="EL334" s="81">
        <f>EN334+EM334+EO334</f>
        <v>15691</v>
      </c>
      <c r="EM334" s="79" t="str">
        <f>TEXT(AP332,"#,##0")</f>
        <v>2,225</v>
      </c>
      <c r="EN334" s="79" t="str">
        <f>TEXT(BD331,"#,##0")</f>
        <v>11,649</v>
      </c>
      <c r="EO334" s="80" t="str">
        <f>TEXT(AR333,"#,##0")</f>
        <v>1,817</v>
      </c>
      <c r="EP334" s="78"/>
    </row>
    <row r="335" spans="2:146" ht="11.25" customHeight="1" x14ac:dyDescent="0.2">
      <c r="B335" s="70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1"/>
      <c r="CV335" s="71"/>
      <c r="CW335" s="71"/>
      <c r="CX335" s="71"/>
      <c r="CY335" s="72"/>
      <c r="CZ335" s="72"/>
      <c r="DA335" s="72"/>
      <c r="DB335" s="72"/>
      <c r="DC335" s="72"/>
      <c r="DD335" s="72"/>
      <c r="DE335" s="72"/>
      <c r="DF335" s="72"/>
      <c r="DG335" s="72"/>
      <c r="DH335" s="72"/>
      <c r="DI335" s="72"/>
      <c r="DJ335" s="72"/>
      <c r="DK335" s="72"/>
      <c r="DL335" s="72"/>
      <c r="DM335" s="72"/>
      <c r="DN335" s="72"/>
      <c r="DO335" s="72"/>
      <c r="DP335" s="72"/>
      <c r="DQ335" s="72"/>
      <c r="DR335" s="72"/>
      <c r="DS335" s="72"/>
      <c r="DT335" s="72"/>
      <c r="DU335" s="72"/>
      <c r="DV335" s="72"/>
      <c r="DW335" s="72"/>
      <c r="DX335" s="72"/>
      <c r="DY335" s="72"/>
      <c r="DZ335" s="72"/>
      <c r="EA335" s="72"/>
      <c r="EB335" s="72"/>
      <c r="EC335" s="72"/>
      <c r="ED335" s="72"/>
      <c r="EE335" s="72"/>
      <c r="EF335" s="72"/>
      <c r="EG335" s="72"/>
      <c r="EH335" s="72"/>
      <c r="EI335" s="72"/>
      <c r="EJ335" s="72"/>
      <c r="EK335" s="72"/>
      <c r="EL335" s="79"/>
      <c r="EM335" s="79"/>
      <c r="EN335" s="79"/>
      <c r="EO335" s="80"/>
      <c r="EP335" s="78"/>
    </row>
    <row r="336" spans="2:146" ht="11.25" customHeight="1" x14ac:dyDescent="0.2">
      <c r="B336" s="75" t="s">
        <v>143</v>
      </c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2"/>
      <c r="CZ336" s="72"/>
      <c r="DA336" s="72"/>
      <c r="DB336" s="72"/>
      <c r="DC336" s="72"/>
      <c r="DD336" s="72"/>
      <c r="DE336" s="72"/>
      <c r="DF336" s="72"/>
      <c r="DG336" s="72"/>
      <c r="DH336" s="72"/>
      <c r="DI336" s="72"/>
      <c r="DJ336" s="72"/>
      <c r="DK336" s="72"/>
      <c r="DL336" s="72"/>
      <c r="DM336" s="72"/>
      <c r="DN336" s="72"/>
      <c r="DO336" s="72"/>
      <c r="DP336" s="72"/>
      <c r="DQ336" s="72"/>
      <c r="DR336" s="72"/>
      <c r="DS336" s="72"/>
      <c r="DT336" s="72"/>
      <c r="DU336" s="72"/>
      <c r="DV336" s="72"/>
      <c r="DW336" s="72"/>
      <c r="DX336" s="72"/>
      <c r="DY336" s="72"/>
      <c r="DZ336" s="72"/>
      <c r="EA336" s="72"/>
      <c r="EB336" s="72"/>
      <c r="EC336" s="72"/>
      <c r="ED336" s="72"/>
      <c r="EE336" s="72"/>
      <c r="EF336" s="72"/>
      <c r="EG336" s="72"/>
      <c r="EH336" s="72"/>
      <c r="EI336" s="72"/>
      <c r="EJ336" s="72"/>
      <c r="EK336" s="72"/>
      <c r="EL336" s="76">
        <f>EL385</f>
        <v>22957</v>
      </c>
      <c r="EM336" s="76" t="str">
        <f>EM385</f>
        <v>7,639</v>
      </c>
      <c r="EN336" s="76" t="str">
        <f>EN385</f>
        <v>11,284</v>
      </c>
      <c r="EO336" s="77" t="str">
        <f>EO385</f>
        <v>4,034</v>
      </c>
      <c r="EP336" s="78"/>
    </row>
    <row r="337" spans="2:146" ht="11.25" customHeight="1" x14ac:dyDescent="0.2">
      <c r="B337" s="70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1"/>
      <c r="CH337" s="71"/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1"/>
      <c r="CV337" s="71"/>
      <c r="CW337" s="71"/>
      <c r="CX337" s="71"/>
      <c r="CY337" s="72"/>
      <c r="CZ337" s="72"/>
      <c r="DA337" s="72"/>
      <c r="DB337" s="72"/>
      <c r="DC337" s="72"/>
      <c r="DD337" s="72"/>
      <c r="DE337" s="72"/>
      <c r="DF337" s="72"/>
      <c r="DG337" s="72"/>
      <c r="DH337" s="72"/>
      <c r="DI337" s="72"/>
      <c r="DJ337" s="72"/>
      <c r="DK337" s="72"/>
      <c r="DL337" s="72"/>
      <c r="DM337" s="72"/>
      <c r="DN337" s="72"/>
      <c r="DO337" s="72"/>
      <c r="DP337" s="72"/>
      <c r="DQ337" s="72"/>
      <c r="DR337" s="72"/>
      <c r="DS337" s="72"/>
      <c r="DT337" s="72"/>
      <c r="DU337" s="72"/>
      <c r="DV337" s="72"/>
      <c r="DW337" s="72"/>
      <c r="DX337" s="72"/>
      <c r="DY337" s="72"/>
      <c r="DZ337" s="72"/>
      <c r="EA337" s="72"/>
      <c r="EB337" s="72"/>
      <c r="EC337" s="72"/>
      <c r="ED337" s="72"/>
      <c r="EE337" s="72"/>
      <c r="EF337" s="72"/>
      <c r="EG337" s="72"/>
      <c r="EH337" s="72"/>
      <c r="EI337" s="72"/>
      <c r="EJ337" s="72"/>
      <c r="EK337" s="72"/>
      <c r="EL337" s="79"/>
      <c r="EM337" s="79"/>
      <c r="EN337" s="79"/>
      <c r="EO337" s="80"/>
      <c r="EP337" s="78"/>
    </row>
    <row r="338" spans="2:146" ht="11.25" customHeight="1" x14ac:dyDescent="0.2">
      <c r="B338" s="70"/>
      <c r="C338" s="71"/>
      <c r="D338" s="71" t="s">
        <v>315</v>
      </c>
      <c r="E338" s="71"/>
      <c r="F338" s="71"/>
      <c r="G338" s="71" t="s">
        <v>272</v>
      </c>
      <c r="H338" s="71"/>
      <c r="I338" s="71"/>
      <c r="J338" s="71"/>
      <c r="K338" s="71"/>
      <c r="L338" s="71"/>
      <c r="M338" s="71" t="s">
        <v>336</v>
      </c>
      <c r="N338" s="71" t="s">
        <v>83</v>
      </c>
      <c r="O338" s="71"/>
      <c r="P338" s="71"/>
      <c r="Q338" s="71"/>
      <c r="R338" s="71"/>
      <c r="S338" s="71"/>
      <c r="T338" s="71" t="s">
        <v>80</v>
      </c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2"/>
      <c r="CZ338" s="72"/>
      <c r="DA338" s="72"/>
      <c r="DB338" s="72"/>
      <c r="DC338" s="72"/>
      <c r="DD338" s="72"/>
      <c r="DE338" s="72"/>
      <c r="DF338" s="72"/>
      <c r="DG338" s="72"/>
      <c r="DH338" s="72"/>
      <c r="DI338" s="72"/>
      <c r="DJ338" s="72"/>
      <c r="DK338" s="72"/>
      <c r="DL338" s="72"/>
      <c r="DM338" s="72"/>
      <c r="DN338" s="72"/>
      <c r="DO338" s="72"/>
      <c r="DP338" s="72"/>
      <c r="DQ338" s="72"/>
      <c r="DR338" s="72"/>
      <c r="DS338" s="72"/>
      <c r="DT338" s="72"/>
      <c r="DU338" s="72"/>
      <c r="DV338" s="72"/>
      <c r="DW338" s="72"/>
      <c r="DX338" s="72"/>
      <c r="DY338" s="72"/>
      <c r="DZ338" s="72"/>
      <c r="EA338" s="72"/>
      <c r="EB338" s="72"/>
      <c r="EC338" s="72"/>
      <c r="ED338" s="72"/>
      <c r="EE338" s="72"/>
      <c r="EF338" s="72"/>
      <c r="EG338" s="72"/>
      <c r="EH338" s="72"/>
      <c r="EI338" s="72"/>
      <c r="EJ338" s="72"/>
      <c r="EK338" s="72"/>
      <c r="EL338" s="79"/>
      <c r="EM338" s="79"/>
      <c r="EN338" s="79"/>
      <c r="EO338" s="80"/>
      <c r="EP338" s="78"/>
    </row>
    <row r="339" spans="2:146" ht="11.25" customHeight="1" x14ac:dyDescent="0.2">
      <c r="B339" s="70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  <c r="AC339" s="71"/>
      <c r="AD339" s="71"/>
      <c r="AE339" s="71"/>
      <c r="AF339" s="71"/>
      <c r="AG339" s="71"/>
      <c r="AH339" s="71"/>
      <c r="AI339" s="71"/>
      <c r="AJ339" s="71"/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  <c r="CV339" s="71"/>
      <c r="CW339" s="71"/>
      <c r="CX339" s="71"/>
      <c r="CY339" s="72"/>
      <c r="CZ339" s="72"/>
      <c r="DA339" s="72"/>
      <c r="DB339" s="72"/>
      <c r="DC339" s="72"/>
      <c r="DD339" s="72"/>
      <c r="DE339" s="72"/>
      <c r="DF339" s="72"/>
      <c r="DG339" s="72"/>
      <c r="DH339" s="72"/>
      <c r="DI339" s="72"/>
      <c r="DJ339" s="72"/>
      <c r="DK339" s="72"/>
      <c r="DL339" s="72"/>
      <c r="DM339" s="72"/>
      <c r="DN339" s="72"/>
      <c r="DO339" s="72"/>
      <c r="DP339" s="72"/>
      <c r="DQ339" s="72"/>
      <c r="DR339" s="72"/>
      <c r="DS339" s="72"/>
      <c r="DT339" s="72"/>
      <c r="DU339" s="72"/>
      <c r="DV339" s="72"/>
      <c r="DW339" s="72"/>
      <c r="DX339" s="72"/>
      <c r="DY339" s="72"/>
      <c r="DZ339" s="72"/>
      <c r="EA339" s="72"/>
      <c r="EB339" s="72"/>
      <c r="EC339" s="72"/>
      <c r="ED339" s="72"/>
      <c r="EE339" s="72"/>
      <c r="EF339" s="72"/>
      <c r="EG339" s="72"/>
      <c r="EH339" s="72"/>
      <c r="EI339" s="72"/>
      <c r="EJ339" s="72"/>
      <c r="EK339" s="72"/>
      <c r="EL339" s="79"/>
      <c r="EM339" s="79"/>
      <c r="EN339" s="79"/>
      <c r="EO339" s="80"/>
      <c r="EP339" s="78"/>
    </row>
    <row r="340" spans="2:146" ht="11.25" customHeight="1" x14ac:dyDescent="0.2">
      <c r="B340" s="70"/>
      <c r="C340" s="71"/>
      <c r="D340" s="71"/>
      <c r="E340" s="71"/>
      <c r="F340" s="71"/>
      <c r="G340" s="71" t="s">
        <v>469</v>
      </c>
      <c r="H340" s="71"/>
      <c r="I340" s="71" t="s">
        <v>12</v>
      </c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  <c r="AC340" s="71"/>
      <c r="AD340" s="71"/>
      <c r="AE340" s="71"/>
      <c r="AF340" s="71"/>
      <c r="AG340" s="71"/>
      <c r="AH340" s="71"/>
      <c r="AI340" s="71"/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  <c r="CV340" s="71"/>
      <c r="CW340" s="71"/>
      <c r="CX340" s="71"/>
      <c r="CY340" s="72"/>
      <c r="CZ340" s="72"/>
      <c r="DA340" s="72"/>
      <c r="DB340" s="72"/>
      <c r="DC340" s="72"/>
      <c r="DD340" s="72"/>
      <c r="DE340" s="72"/>
      <c r="DF340" s="72"/>
      <c r="DG340" s="72"/>
      <c r="DH340" s="72"/>
      <c r="DI340" s="72"/>
      <c r="DJ340" s="72"/>
      <c r="DK340" s="72"/>
      <c r="DL340" s="72"/>
      <c r="DM340" s="72"/>
      <c r="DN340" s="72"/>
      <c r="DO340" s="72"/>
      <c r="DP340" s="72"/>
      <c r="DQ340" s="72"/>
      <c r="DR340" s="72"/>
      <c r="DS340" s="72"/>
      <c r="DT340" s="72"/>
      <c r="DU340" s="72"/>
      <c r="DV340" s="72"/>
      <c r="DW340" s="72"/>
      <c r="DX340" s="72"/>
      <c r="DY340" s="72"/>
      <c r="DZ340" s="72"/>
      <c r="EA340" s="72"/>
      <c r="EB340" s="72"/>
      <c r="EC340" s="72"/>
      <c r="ED340" s="72"/>
      <c r="EE340" s="72"/>
      <c r="EF340" s="72"/>
      <c r="EG340" s="72"/>
      <c r="EH340" s="72"/>
      <c r="EI340" s="72"/>
      <c r="EJ340" s="72"/>
      <c r="EK340" s="72"/>
      <c r="EL340" s="79"/>
      <c r="EM340" s="79"/>
      <c r="EN340" s="79"/>
      <c r="EO340" s="80"/>
      <c r="EP340" s="78"/>
    </row>
    <row r="341" spans="2:146" ht="11.25" customHeight="1" x14ac:dyDescent="0.2">
      <c r="B341" s="70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9"/>
      <c r="EM341" s="79"/>
      <c r="EN341" s="79"/>
      <c r="EO341" s="80"/>
      <c r="EP341" s="78"/>
    </row>
    <row r="342" spans="2:146" ht="11.25" customHeight="1" x14ac:dyDescent="0.2">
      <c r="B342" s="70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9"/>
      <c r="EM342" s="79"/>
      <c r="EN342" s="79"/>
      <c r="EO342" s="80"/>
      <c r="EP342" s="78"/>
    </row>
    <row r="343" spans="2:146" ht="11.25" customHeight="1" x14ac:dyDescent="0.2">
      <c r="B343" s="70"/>
      <c r="C343" s="71"/>
      <c r="D343" s="71" t="s">
        <v>463</v>
      </c>
      <c r="E343" s="71"/>
      <c r="F343" s="71"/>
      <c r="G343" s="71" t="s">
        <v>151</v>
      </c>
      <c r="H343" s="71"/>
      <c r="I343" s="71"/>
      <c r="J343" s="71" t="s">
        <v>651</v>
      </c>
      <c r="K343" s="71"/>
      <c r="L343" s="71"/>
      <c r="M343" s="71" t="s">
        <v>469</v>
      </c>
      <c r="N343" s="71"/>
      <c r="O343" s="71" t="s">
        <v>498</v>
      </c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 t="s">
        <v>105</v>
      </c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9"/>
      <c r="EM343" s="79"/>
      <c r="EN343" s="79"/>
      <c r="EO343" s="80"/>
      <c r="EP343" s="78"/>
    </row>
    <row r="344" spans="2:146" ht="11.25" customHeight="1" x14ac:dyDescent="0.2">
      <c r="B344" s="70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  <c r="CV344" s="71"/>
      <c r="CW344" s="71"/>
      <c r="CX344" s="71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  <c r="DJ344" s="72"/>
      <c r="DK344" s="72"/>
      <c r="DL344" s="72"/>
      <c r="DM344" s="72"/>
      <c r="DN344" s="72"/>
      <c r="DO344" s="72"/>
      <c r="DP344" s="72"/>
      <c r="DQ344" s="72"/>
      <c r="DR344" s="72"/>
      <c r="DS344" s="72"/>
      <c r="DT344" s="72"/>
      <c r="DU344" s="72"/>
      <c r="DV344" s="72"/>
      <c r="DW344" s="72"/>
      <c r="DX344" s="72"/>
      <c r="DY344" s="72"/>
      <c r="DZ344" s="72"/>
      <c r="EA344" s="72"/>
      <c r="EB344" s="72"/>
      <c r="EC344" s="72"/>
      <c r="ED344" s="72"/>
      <c r="EE344" s="72"/>
      <c r="EF344" s="72"/>
      <c r="EG344" s="72"/>
      <c r="EH344" s="72"/>
      <c r="EI344" s="72"/>
      <c r="EJ344" s="72"/>
      <c r="EK344" s="72"/>
      <c r="EL344" s="79"/>
      <c r="EM344" s="79"/>
      <c r="EN344" s="79"/>
      <c r="EO344" s="80"/>
      <c r="EP344" s="78"/>
    </row>
    <row r="345" spans="2:146" ht="11.25" customHeight="1" x14ac:dyDescent="0.2">
      <c r="B345" s="70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 t="s">
        <v>336</v>
      </c>
      <c r="Q345" s="71" t="s">
        <v>436</v>
      </c>
      <c r="R345" s="71"/>
      <c r="S345" s="71"/>
      <c r="T345" s="71"/>
      <c r="U345" s="71" t="s">
        <v>80</v>
      </c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 t="s">
        <v>336</v>
      </c>
      <c r="AO345" s="71" t="s">
        <v>18</v>
      </c>
      <c r="AP345" s="71"/>
      <c r="AQ345" s="71"/>
      <c r="AR345" s="71"/>
      <c r="AS345" s="71"/>
      <c r="AT345" s="71"/>
      <c r="AU345" s="71" t="s">
        <v>80</v>
      </c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1"/>
      <c r="CV345" s="71"/>
      <c r="CW345" s="71"/>
      <c r="CX345" s="71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  <c r="DJ345" s="72"/>
      <c r="DK345" s="72"/>
      <c r="DL345" s="72"/>
      <c r="DM345" s="72"/>
      <c r="DN345" s="72"/>
      <c r="DO345" s="72"/>
      <c r="DP345" s="72"/>
      <c r="DQ345" s="72"/>
      <c r="DR345" s="72"/>
      <c r="DS345" s="72"/>
      <c r="DT345" s="72"/>
      <c r="DU345" s="72"/>
      <c r="DV345" s="72"/>
      <c r="DW345" s="72"/>
      <c r="DX345" s="72"/>
      <c r="DY345" s="72"/>
      <c r="DZ345" s="72"/>
      <c r="EA345" s="72"/>
      <c r="EB345" s="72"/>
      <c r="EC345" s="72"/>
      <c r="ED345" s="72"/>
      <c r="EE345" s="72"/>
      <c r="EF345" s="72"/>
      <c r="EG345" s="72"/>
      <c r="EH345" s="72"/>
      <c r="EI345" s="72"/>
      <c r="EJ345" s="72"/>
      <c r="EK345" s="72"/>
      <c r="EL345" s="79"/>
      <c r="EM345" s="79"/>
      <c r="EN345" s="79"/>
      <c r="EO345" s="80"/>
      <c r="EP345" s="78"/>
    </row>
    <row r="346" spans="2:146" ht="11.25" customHeight="1" x14ac:dyDescent="0.2">
      <c r="B346" s="73"/>
      <c r="C346" s="64"/>
      <c r="D346" s="64"/>
      <c r="E346" s="64"/>
      <c r="F346" s="64" t="s">
        <v>568</v>
      </c>
      <c r="G346" s="64"/>
      <c r="H346" s="64"/>
      <c r="I346" s="64"/>
      <c r="J346" s="64"/>
      <c r="K346" s="64"/>
      <c r="L346" s="64"/>
      <c r="M346" s="64"/>
      <c r="N346" s="64"/>
      <c r="O346" s="64"/>
      <c r="P346" s="64" t="s">
        <v>138</v>
      </c>
      <c r="Q346" s="64"/>
      <c r="R346" s="64" t="s">
        <v>254</v>
      </c>
      <c r="S346" s="64" t="str">
        <f>TEXT(20,"#,##0.#######")</f>
        <v>20.</v>
      </c>
      <c r="T346" s="64"/>
      <c r="U346" s="64"/>
      <c r="V346" s="64"/>
      <c r="W346" s="64" t="s">
        <v>340</v>
      </c>
      <c r="X346" s="64"/>
      <c r="Y346" s="64"/>
      <c r="Z346" s="64"/>
      <c r="AA346" s="64"/>
      <c r="AB346" s="64"/>
      <c r="AC346" s="64"/>
      <c r="AD346" s="64"/>
      <c r="AE346" s="64" t="s">
        <v>444</v>
      </c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 t="s">
        <v>339</v>
      </c>
      <c r="AR346" s="64"/>
      <c r="AS346" s="64" t="s">
        <v>254</v>
      </c>
      <c r="AT346" s="64" t="str">
        <f>TEXT(0.5,"#,##0.#######")</f>
        <v>0.5</v>
      </c>
      <c r="AU346" s="64"/>
      <c r="AV346" s="64"/>
      <c r="AW346" s="64" t="s">
        <v>340</v>
      </c>
      <c r="AX346" s="64"/>
      <c r="AY346" s="64"/>
      <c r="AZ346" s="64"/>
      <c r="BA346" s="64"/>
      <c r="BB346" s="64"/>
      <c r="BC346" s="64"/>
      <c r="BD346" s="64" t="s">
        <v>338</v>
      </c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64"/>
      <c r="CD346" s="64"/>
      <c r="CE346" s="64"/>
      <c r="CF346" s="64"/>
      <c r="CG346" s="64"/>
      <c r="CH346" s="64"/>
      <c r="CI346" s="64"/>
      <c r="CJ346" s="64"/>
      <c r="CK346" s="64"/>
      <c r="CL346" s="64"/>
      <c r="CM346" s="64"/>
      <c r="CN346" s="64"/>
      <c r="CO346" s="64"/>
      <c r="CP346" s="64"/>
      <c r="CQ346" s="64"/>
      <c r="CR346" s="64"/>
      <c r="CS346" s="64"/>
      <c r="CT346" s="64"/>
      <c r="CU346" s="64"/>
      <c r="CV346" s="64"/>
      <c r="CW346" s="64"/>
      <c r="CX346" s="6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  <c r="DK346" s="74"/>
      <c r="DL346" s="74"/>
      <c r="DM346" s="74"/>
      <c r="DN346" s="74"/>
      <c r="DO346" s="74"/>
      <c r="DP346" s="74"/>
      <c r="DQ346" s="74"/>
      <c r="DR346" s="74"/>
      <c r="DS346" s="74"/>
      <c r="DT346" s="74"/>
      <c r="DU346" s="74"/>
      <c r="DV346" s="74"/>
      <c r="DW346" s="74"/>
      <c r="DX346" s="74"/>
      <c r="DY346" s="74"/>
      <c r="DZ346" s="74"/>
      <c r="EA346" s="74"/>
      <c r="EB346" s="74"/>
      <c r="EC346" s="74"/>
      <c r="ED346" s="74"/>
      <c r="EE346" s="74"/>
      <c r="EF346" s="74"/>
      <c r="EG346" s="74"/>
      <c r="EH346" s="74"/>
      <c r="EI346" s="74"/>
      <c r="EJ346" s="74"/>
      <c r="EK346" s="74"/>
      <c r="EL346" s="82"/>
      <c r="EM346" s="82"/>
      <c r="EN346" s="82"/>
      <c r="EO346" s="83"/>
      <c r="EP346" s="78"/>
    </row>
    <row r="347" spans="2:146" ht="11.25" customHeight="1" x14ac:dyDescent="0.2">
      <c r="B347" s="70"/>
      <c r="C347" s="71"/>
      <c r="D347" s="71"/>
      <c r="E347" s="71"/>
      <c r="F347" s="71"/>
      <c r="G347" s="71"/>
      <c r="H347" s="71" t="s">
        <v>443</v>
      </c>
      <c r="I347" s="71"/>
      <c r="J347" s="71"/>
      <c r="K347" s="71" t="s">
        <v>22</v>
      </c>
      <c r="L347" s="71" t="s">
        <v>22</v>
      </c>
      <c r="M347" s="71" t="s">
        <v>22</v>
      </c>
      <c r="N347" s="71" t="s">
        <v>22</v>
      </c>
      <c r="O347" s="71" t="s">
        <v>22</v>
      </c>
      <c r="P347" s="71" t="s">
        <v>22</v>
      </c>
      <c r="Q347" s="71" t="s">
        <v>22</v>
      </c>
      <c r="R347" s="71" t="s">
        <v>22</v>
      </c>
      <c r="S347" s="71" t="s">
        <v>22</v>
      </c>
      <c r="T347" s="71" t="s">
        <v>22</v>
      </c>
      <c r="U347" s="71" t="s">
        <v>22</v>
      </c>
      <c r="V347" s="71" t="s">
        <v>22</v>
      </c>
      <c r="W347" s="71" t="s">
        <v>22</v>
      </c>
      <c r="X347" s="71" t="s">
        <v>22</v>
      </c>
      <c r="Y347" s="71" t="s">
        <v>22</v>
      </c>
      <c r="Z347" s="71" t="s">
        <v>22</v>
      </c>
      <c r="AA347" s="71" t="s">
        <v>22</v>
      </c>
      <c r="AB347" s="71" t="s">
        <v>22</v>
      </c>
      <c r="AC347" s="71" t="s">
        <v>22</v>
      </c>
      <c r="AD347" s="71" t="s">
        <v>22</v>
      </c>
      <c r="AE347" s="71"/>
      <c r="AF347" s="71" t="s">
        <v>443</v>
      </c>
      <c r="AG347" s="71"/>
      <c r="AH347" s="71"/>
      <c r="AI347" s="71" t="s">
        <v>22</v>
      </c>
      <c r="AJ347" s="71" t="s">
        <v>22</v>
      </c>
      <c r="AK347" s="71" t="s">
        <v>22</v>
      </c>
      <c r="AL347" s="71" t="s">
        <v>22</v>
      </c>
      <c r="AM347" s="71" t="s">
        <v>22</v>
      </c>
      <c r="AN347" s="71" t="s">
        <v>22</v>
      </c>
      <c r="AO347" s="71" t="s">
        <v>22</v>
      </c>
      <c r="AP347" s="71" t="s">
        <v>22</v>
      </c>
      <c r="AQ347" s="71" t="s">
        <v>22</v>
      </c>
      <c r="AR347" s="71" t="s">
        <v>22</v>
      </c>
      <c r="AS347" s="71" t="s">
        <v>22</v>
      </c>
      <c r="AT347" s="71" t="s">
        <v>22</v>
      </c>
      <c r="AU347" s="71" t="s">
        <v>22</v>
      </c>
      <c r="AV347" s="71" t="s">
        <v>22</v>
      </c>
      <c r="AW347" s="71" t="s">
        <v>22</v>
      </c>
      <c r="AX347" s="71" t="s">
        <v>22</v>
      </c>
      <c r="AY347" s="71" t="s">
        <v>22</v>
      </c>
      <c r="AZ347" s="71" t="s">
        <v>22</v>
      </c>
      <c r="BA347" s="71" t="s">
        <v>22</v>
      </c>
      <c r="BB347" s="71" t="s">
        <v>22</v>
      </c>
      <c r="BC347" s="71"/>
      <c r="BD347" s="71" t="s">
        <v>443</v>
      </c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1"/>
      <c r="CV347" s="71"/>
      <c r="CW347" s="71"/>
      <c r="CX347" s="71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  <c r="DJ347" s="72"/>
      <c r="DK347" s="72"/>
      <c r="DL347" s="72"/>
      <c r="DM347" s="72"/>
      <c r="DN347" s="72"/>
      <c r="DO347" s="72"/>
      <c r="DP347" s="72"/>
      <c r="DQ347" s="72"/>
      <c r="DR347" s="72"/>
      <c r="DS347" s="72"/>
      <c r="DT347" s="72"/>
      <c r="DU347" s="72"/>
      <c r="DV347" s="72"/>
      <c r="DW347" s="72"/>
      <c r="DX347" s="72"/>
      <c r="DY347" s="72"/>
      <c r="DZ347" s="72"/>
      <c r="EA347" s="72"/>
      <c r="EB347" s="72"/>
      <c r="EC347" s="72"/>
      <c r="ED347" s="72"/>
      <c r="EE347" s="72"/>
      <c r="EF347" s="72"/>
      <c r="EG347" s="72"/>
      <c r="EH347" s="72"/>
      <c r="EI347" s="72"/>
      <c r="EJ347" s="72"/>
      <c r="EK347" s="72"/>
      <c r="EL347" s="79"/>
      <c r="EM347" s="79"/>
      <c r="EN347" s="79"/>
      <c r="EO347" s="80"/>
      <c r="EP347" s="78"/>
    </row>
    <row r="348" spans="2:146" ht="11.25" customHeight="1" x14ac:dyDescent="0.2">
      <c r="B348" s="70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 t="s">
        <v>584</v>
      </c>
      <c r="P348" s="71"/>
      <c r="Q348" s="71" t="s">
        <v>254</v>
      </c>
      <c r="R348" s="71" t="str">
        <f>TEXT(30,"#,##0.#######")</f>
        <v>30.</v>
      </c>
      <c r="S348" s="71"/>
      <c r="T348" s="71" t="s">
        <v>340</v>
      </c>
      <c r="U348" s="71"/>
      <c r="V348" s="71" t="s">
        <v>112</v>
      </c>
      <c r="W348" s="71" t="s">
        <v>467</v>
      </c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 t="s">
        <v>479</v>
      </c>
      <c r="AO348" s="71"/>
      <c r="AP348" s="71" t="s">
        <v>254</v>
      </c>
      <c r="AQ348" s="71" t="str">
        <f>TEXT(10,"#,##0.#######")</f>
        <v>10.</v>
      </c>
      <c r="AR348" s="71"/>
      <c r="AS348" s="71" t="s">
        <v>340</v>
      </c>
      <c r="AT348" s="71"/>
      <c r="AU348" s="71" t="s">
        <v>112</v>
      </c>
      <c r="AV348" s="71" t="s">
        <v>467</v>
      </c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  <c r="CV348" s="71"/>
      <c r="CW348" s="71"/>
      <c r="CX348" s="71"/>
      <c r="CY348" s="72"/>
      <c r="CZ348" s="72"/>
      <c r="DA348" s="72"/>
      <c r="DB348" s="72"/>
      <c r="DC348" s="72"/>
      <c r="DD348" s="72"/>
      <c r="DE348" s="72"/>
      <c r="DF348" s="72"/>
      <c r="DG348" s="72"/>
      <c r="DH348" s="72"/>
      <c r="DI348" s="72"/>
      <c r="DJ348" s="72"/>
      <c r="DK348" s="72"/>
      <c r="DL348" s="72"/>
      <c r="DM348" s="72"/>
      <c r="DN348" s="72"/>
      <c r="DO348" s="72"/>
      <c r="DP348" s="72"/>
      <c r="DQ348" s="72"/>
      <c r="DR348" s="72"/>
      <c r="DS348" s="72"/>
      <c r="DT348" s="72"/>
      <c r="DU348" s="72"/>
      <c r="DV348" s="72"/>
      <c r="DW348" s="72"/>
      <c r="DX348" s="72"/>
      <c r="DY348" s="72"/>
      <c r="DZ348" s="72"/>
      <c r="EA348" s="72"/>
      <c r="EB348" s="72"/>
      <c r="EC348" s="72"/>
      <c r="ED348" s="72"/>
      <c r="EE348" s="72"/>
      <c r="EF348" s="72"/>
      <c r="EG348" s="72"/>
      <c r="EH348" s="72"/>
      <c r="EI348" s="72"/>
      <c r="EJ348" s="72"/>
      <c r="EK348" s="72"/>
      <c r="EL348" s="79"/>
      <c r="EM348" s="79"/>
      <c r="EN348" s="79"/>
      <c r="EO348" s="80"/>
      <c r="EP348" s="78"/>
    </row>
    <row r="349" spans="2:146" ht="11.25" customHeight="1" x14ac:dyDescent="0.2">
      <c r="B349" s="70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 t="s">
        <v>215</v>
      </c>
      <c r="P349" s="71"/>
      <c r="Q349" s="71" t="s">
        <v>254</v>
      </c>
      <c r="R349" s="71" t="str">
        <f>TEXT(35,"#,##0.#######")</f>
        <v>35.</v>
      </c>
      <c r="S349" s="71"/>
      <c r="T349" s="71" t="s">
        <v>340</v>
      </c>
      <c r="U349" s="71"/>
      <c r="V349" s="71" t="s">
        <v>112</v>
      </c>
      <c r="W349" s="71" t="s">
        <v>467</v>
      </c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 t="s">
        <v>264</v>
      </c>
      <c r="AO349" s="71"/>
      <c r="AP349" s="71" t="s">
        <v>254</v>
      </c>
      <c r="AQ349" s="71" t="str">
        <f>TEXT(15,"#,##0.#######")</f>
        <v>15.</v>
      </c>
      <c r="AR349" s="71"/>
      <c r="AS349" s="71" t="s">
        <v>340</v>
      </c>
      <c r="AT349" s="71"/>
      <c r="AU349" s="71" t="s">
        <v>112</v>
      </c>
      <c r="AV349" s="71" t="s">
        <v>467</v>
      </c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  <c r="CV349" s="71"/>
      <c r="CW349" s="71"/>
      <c r="CX349" s="71"/>
      <c r="CY349" s="72"/>
      <c r="CZ349" s="72"/>
      <c r="DA349" s="72"/>
      <c r="DB349" s="72"/>
      <c r="DC349" s="72"/>
      <c r="DD349" s="72"/>
      <c r="DE349" s="72"/>
      <c r="DF349" s="72"/>
      <c r="DG349" s="72"/>
      <c r="DH349" s="72"/>
      <c r="DI349" s="72"/>
      <c r="DJ349" s="72"/>
      <c r="DK349" s="72"/>
      <c r="DL349" s="72"/>
      <c r="DM349" s="72"/>
      <c r="DN349" s="72"/>
      <c r="DO349" s="72"/>
      <c r="DP349" s="72"/>
      <c r="DQ349" s="72"/>
      <c r="DR349" s="72"/>
      <c r="DS349" s="72"/>
      <c r="DT349" s="72"/>
      <c r="DU349" s="72"/>
      <c r="DV349" s="72"/>
      <c r="DW349" s="72"/>
      <c r="DX349" s="72"/>
      <c r="DY349" s="72"/>
      <c r="DZ349" s="72"/>
      <c r="EA349" s="72"/>
      <c r="EB349" s="72"/>
      <c r="EC349" s="72"/>
      <c r="ED349" s="72"/>
      <c r="EE349" s="72"/>
      <c r="EF349" s="72"/>
      <c r="EG349" s="72"/>
      <c r="EH349" s="72"/>
      <c r="EI349" s="72"/>
      <c r="EJ349" s="72"/>
      <c r="EK349" s="72"/>
      <c r="EL349" s="79"/>
      <c r="EM349" s="79"/>
      <c r="EN349" s="79"/>
      <c r="EO349" s="80"/>
      <c r="EP349" s="78"/>
    </row>
    <row r="350" spans="2:146" ht="11.25" customHeight="1" x14ac:dyDescent="0.2">
      <c r="B350" s="70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2"/>
      <c r="CZ350" s="72"/>
      <c r="DA350" s="72"/>
      <c r="DB350" s="72"/>
      <c r="DC350" s="72"/>
      <c r="DD350" s="72"/>
      <c r="DE350" s="72"/>
      <c r="DF350" s="72"/>
      <c r="DG350" s="72"/>
      <c r="DH350" s="72"/>
      <c r="DI350" s="72"/>
      <c r="DJ350" s="72"/>
      <c r="DK350" s="72"/>
      <c r="DL350" s="72"/>
      <c r="DM350" s="72"/>
      <c r="DN350" s="72"/>
      <c r="DO350" s="72"/>
      <c r="DP350" s="72"/>
      <c r="DQ350" s="72"/>
      <c r="DR350" s="72"/>
      <c r="DS350" s="72"/>
      <c r="DT350" s="72"/>
      <c r="DU350" s="72"/>
      <c r="DV350" s="72"/>
      <c r="DW350" s="72"/>
      <c r="DX350" s="72"/>
      <c r="DY350" s="72"/>
      <c r="DZ350" s="72"/>
      <c r="EA350" s="72"/>
      <c r="EB350" s="72"/>
      <c r="EC350" s="72"/>
      <c r="ED350" s="72"/>
      <c r="EE350" s="72"/>
      <c r="EF350" s="72"/>
      <c r="EG350" s="72"/>
      <c r="EH350" s="72"/>
      <c r="EI350" s="72"/>
      <c r="EJ350" s="72"/>
      <c r="EK350" s="72"/>
      <c r="EL350" s="79"/>
      <c r="EM350" s="79"/>
      <c r="EN350" s="79"/>
      <c r="EO350" s="80"/>
      <c r="EP350" s="78"/>
    </row>
    <row r="351" spans="2:146" ht="11.25" customHeight="1" x14ac:dyDescent="0.2">
      <c r="B351" s="70"/>
      <c r="C351" s="71"/>
      <c r="D351" s="71"/>
      <c r="E351" s="71"/>
      <c r="F351" s="71"/>
      <c r="G351" s="71" t="s">
        <v>402</v>
      </c>
      <c r="H351" s="71"/>
      <c r="I351" s="71" t="s">
        <v>254</v>
      </c>
      <c r="J351" s="71"/>
      <c r="K351" s="71" t="str">
        <f>TEXT(15,"#,##0.#######")</f>
        <v>15.</v>
      </c>
      <c r="L351" s="71"/>
      <c r="M351" s="71" t="s">
        <v>222</v>
      </c>
      <c r="N351" s="71"/>
      <c r="O351" s="71"/>
      <c r="P351" s="71" t="s">
        <v>112</v>
      </c>
      <c r="Q351" s="71" t="s">
        <v>146</v>
      </c>
      <c r="R351" s="71"/>
      <c r="S351" s="71"/>
      <c r="T351" s="71"/>
      <c r="U351" s="71"/>
      <c r="V351" s="71"/>
      <c r="W351" s="71" t="s">
        <v>207</v>
      </c>
      <c r="X351" s="71"/>
      <c r="Y351" s="71"/>
      <c r="Z351" s="71" t="s">
        <v>254</v>
      </c>
      <c r="AA351" s="71"/>
      <c r="AB351" s="71" t="str">
        <f>TEXT(1.75,"#,##0.#######")</f>
        <v>1.75</v>
      </c>
      <c r="AC351" s="71"/>
      <c r="AD351" s="71"/>
      <c r="AE351" s="71"/>
      <c r="AF351" s="71" t="s">
        <v>222</v>
      </c>
      <c r="AG351" s="71"/>
      <c r="AH351" s="71"/>
      <c r="AI351" s="71" t="s">
        <v>112</v>
      </c>
      <c r="AJ351" s="71" t="s">
        <v>452</v>
      </c>
      <c r="AK351" s="71"/>
      <c r="AL351" s="71"/>
      <c r="AM351" s="71"/>
      <c r="AN351" s="71"/>
      <c r="AO351" s="71"/>
      <c r="AP351" s="71"/>
      <c r="AQ351" s="71" t="s">
        <v>84</v>
      </c>
      <c r="AR351" s="71"/>
      <c r="AS351" s="71" t="s">
        <v>254</v>
      </c>
      <c r="AT351" s="71"/>
      <c r="AU351" s="71" t="str">
        <f>TEXT(1,"#,##0.#######")</f>
        <v>1.</v>
      </c>
      <c r="AV351" s="71"/>
      <c r="AW351" s="71"/>
      <c r="AX351" s="71"/>
      <c r="AY351" s="71"/>
      <c r="AZ351" s="71"/>
      <c r="BA351" s="71"/>
      <c r="BB351" s="71"/>
      <c r="BC351" s="71"/>
      <c r="BD351" s="71"/>
      <c r="BE351" s="71"/>
      <c r="BF351" s="71"/>
      <c r="BG351" s="71"/>
      <c r="BH351" s="71"/>
      <c r="BI351" s="71"/>
      <c r="BJ351" s="71"/>
      <c r="BK351" s="71"/>
      <c r="BL351" s="71"/>
      <c r="BM351" s="71"/>
      <c r="BN351" s="71"/>
      <c r="BO351" s="71"/>
      <c r="BP351" s="71"/>
      <c r="BQ351" s="71"/>
      <c r="BR351" s="71"/>
      <c r="BS351" s="71"/>
      <c r="BT351" s="71"/>
      <c r="BU351" s="71"/>
      <c r="BV351" s="71"/>
      <c r="BW351" s="71"/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2"/>
      <c r="CZ351" s="72"/>
      <c r="DA351" s="72"/>
      <c r="DB351" s="72"/>
      <c r="DC351" s="72"/>
      <c r="DD351" s="72"/>
      <c r="DE351" s="72"/>
      <c r="DF351" s="72"/>
      <c r="DG351" s="72"/>
      <c r="DH351" s="72"/>
      <c r="DI351" s="72"/>
      <c r="DJ351" s="72"/>
      <c r="DK351" s="72"/>
      <c r="DL351" s="72"/>
      <c r="DM351" s="72"/>
      <c r="DN351" s="72"/>
      <c r="DO351" s="72"/>
      <c r="DP351" s="72"/>
      <c r="DQ351" s="72"/>
      <c r="DR351" s="72"/>
      <c r="DS351" s="72"/>
      <c r="DT351" s="72"/>
      <c r="DU351" s="72"/>
      <c r="DV351" s="72"/>
      <c r="DW351" s="72"/>
      <c r="DX351" s="72"/>
      <c r="DY351" s="72"/>
      <c r="DZ351" s="72"/>
      <c r="EA351" s="72"/>
      <c r="EB351" s="72"/>
      <c r="EC351" s="72"/>
      <c r="ED351" s="72"/>
      <c r="EE351" s="72"/>
      <c r="EF351" s="72"/>
      <c r="EG351" s="72"/>
      <c r="EH351" s="72"/>
      <c r="EI351" s="72"/>
      <c r="EJ351" s="72"/>
      <c r="EK351" s="72"/>
      <c r="EL351" s="79"/>
      <c r="EM351" s="79"/>
      <c r="EN351" s="79"/>
      <c r="EO351" s="80"/>
      <c r="EP351" s="78"/>
    </row>
    <row r="352" spans="2:146" ht="11.25" customHeight="1" x14ac:dyDescent="0.2">
      <c r="B352" s="70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2"/>
      <c r="CZ352" s="72"/>
      <c r="DA352" s="72"/>
      <c r="DB352" s="72"/>
      <c r="DC352" s="72"/>
      <c r="DD352" s="72"/>
      <c r="DE352" s="72"/>
      <c r="DF352" s="72"/>
      <c r="DG352" s="72"/>
      <c r="DH352" s="72"/>
      <c r="DI352" s="72"/>
      <c r="DJ352" s="72"/>
      <c r="DK352" s="72"/>
      <c r="DL352" s="72"/>
      <c r="DM352" s="72"/>
      <c r="DN352" s="72"/>
      <c r="DO352" s="72"/>
      <c r="DP352" s="72"/>
      <c r="DQ352" s="72"/>
      <c r="DR352" s="72"/>
      <c r="DS352" s="72"/>
      <c r="DT352" s="72"/>
      <c r="DU352" s="72"/>
      <c r="DV352" s="72"/>
      <c r="DW352" s="72"/>
      <c r="DX352" s="72"/>
      <c r="DY352" s="72"/>
      <c r="DZ352" s="72"/>
      <c r="EA352" s="72"/>
      <c r="EB352" s="72"/>
      <c r="EC352" s="72"/>
      <c r="ED352" s="72"/>
      <c r="EE352" s="72"/>
      <c r="EF352" s="72"/>
      <c r="EG352" s="72"/>
      <c r="EH352" s="72"/>
      <c r="EI352" s="72"/>
      <c r="EJ352" s="72"/>
      <c r="EK352" s="72"/>
      <c r="EL352" s="79"/>
      <c r="EM352" s="79"/>
      <c r="EN352" s="79"/>
      <c r="EO352" s="80"/>
      <c r="EP352" s="78"/>
    </row>
    <row r="353" spans="2:146" ht="11.25" customHeight="1" x14ac:dyDescent="0.2">
      <c r="B353" s="70"/>
      <c r="C353" s="71"/>
      <c r="D353" s="71"/>
      <c r="E353" s="71"/>
      <c r="F353" s="71"/>
      <c r="G353" s="71" t="s">
        <v>540</v>
      </c>
      <c r="H353" s="71"/>
      <c r="I353" s="71" t="s">
        <v>254</v>
      </c>
      <c r="J353" s="71"/>
      <c r="K353" s="71" t="s">
        <v>402</v>
      </c>
      <c r="L353" s="71" t="s">
        <v>112</v>
      </c>
      <c r="M353" s="71" t="s">
        <v>207</v>
      </c>
      <c r="N353" s="71"/>
      <c r="O353" s="71" t="s">
        <v>542</v>
      </c>
      <c r="P353" s="71"/>
      <c r="Q353" s="71" t="str">
        <f>TEXT(1,"#,##0.#######")</f>
        <v>1.</v>
      </c>
      <c r="R353" s="71"/>
      <c r="S353" s="71"/>
      <c r="T353" s="71"/>
      <c r="U353" s="71" t="s">
        <v>254</v>
      </c>
      <c r="V353" s="71"/>
      <c r="W353" s="71" t="str">
        <f>TEXT(K351,"#,##0.#######")</f>
        <v>15.</v>
      </c>
      <c r="X353" s="71"/>
      <c r="Y353" s="71" t="s">
        <v>112</v>
      </c>
      <c r="Z353" s="71" t="str">
        <f>TEXT(AB351,"#,##0.#######")</f>
        <v>1.75</v>
      </c>
      <c r="AA353" s="71"/>
      <c r="AB353" s="71"/>
      <c r="AC353" s="71"/>
      <c r="AD353" s="71" t="s">
        <v>542</v>
      </c>
      <c r="AE353" s="71"/>
      <c r="AF353" s="71" t="str">
        <f>TEXT(Q353,"#,##0.#######")</f>
        <v>1.</v>
      </c>
      <c r="AG353" s="71"/>
      <c r="AH353" s="71" t="s">
        <v>254</v>
      </c>
      <c r="AI353" s="71"/>
      <c r="AJ353" s="71" t="str">
        <f>TEXT(ROUND(K351/AB351*Q353,2),"#,##0.#######")</f>
        <v>8.57</v>
      </c>
      <c r="AK353" s="71"/>
      <c r="AL353" s="71"/>
      <c r="AM353" s="71"/>
      <c r="AN353" s="71"/>
      <c r="AO353" s="71"/>
      <c r="AP353" s="71" t="s">
        <v>452</v>
      </c>
      <c r="AQ353" s="71"/>
      <c r="AR353" s="71"/>
      <c r="AS353" s="71"/>
      <c r="AT353" s="71"/>
      <c r="AU353" s="71" t="s">
        <v>282</v>
      </c>
      <c r="AV353" s="71"/>
      <c r="AW353" s="71" t="s">
        <v>254</v>
      </c>
      <c r="AX353" s="71"/>
      <c r="AY353" s="71" t="str">
        <f>TEXT(0.9,"#,##0.#######")</f>
        <v>0.9</v>
      </c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2"/>
      <c r="CZ353" s="72"/>
      <c r="DA353" s="72"/>
      <c r="DB353" s="72"/>
      <c r="DC353" s="72"/>
      <c r="DD353" s="72"/>
      <c r="DE353" s="72"/>
      <c r="DF353" s="72"/>
      <c r="DG353" s="72"/>
      <c r="DH353" s="72"/>
      <c r="DI353" s="72"/>
      <c r="DJ353" s="72"/>
      <c r="DK353" s="72"/>
      <c r="DL353" s="72"/>
      <c r="DM353" s="72"/>
      <c r="DN353" s="72"/>
      <c r="DO353" s="72"/>
      <c r="DP353" s="72"/>
      <c r="DQ353" s="72"/>
      <c r="DR353" s="72"/>
      <c r="DS353" s="72"/>
      <c r="DT353" s="72"/>
      <c r="DU353" s="72"/>
      <c r="DV353" s="72"/>
      <c r="DW353" s="72"/>
      <c r="DX353" s="72"/>
      <c r="DY353" s="72"/>
      <c r="DZ353" s="72"/>
      <c r="EA353" s="72"/>
      <c r="EB353" s="72"/>
      <c r="EC353" s="72"/>
      <c r="ED353" s="72"/>
      <c r="EE353" s="72"/>
      <c r="EF353" s="72"/>
      <c r="EG353" s="72"/>
      <c r="EH353" s="72"/>
      <c r="EI353" s="72"/>
      <c r="EJ353" s="72"/>
      <c r="EK353" s="72"/>
      <c r="EL353" s="79"/>
      <c r="EM353" s="79"/>
      <c r="EN353" s="79"/>
      <c r="EO353" s="80"/>
      <c r="EP353" s="78"/>
    </row>
    <row r="354" spans="2:146" ht="11.25" customHeight="1" x14ac:dyDescent="0.2">
      <c r="B354" s="70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2"/>
      <c r="CZ354" s="72"/>
      <c r="DA354" s="72"/>
      <c r="DB354" s="72"/>
      <c r="DC354" s="72"/>
      <c r="DD354" s="72"/>
      <c r="DE354" s="72"/>
      <c r="DF354" s="72"/>
      <c r="DG354" s="72"/>
      <c r="DH354" s="72"/>
      <c r="DI354" s="72"/>
      <c r="DJ354" s="72"/>
      <c r="DK354" s="72"/>
      <c r="DL354" s="72"/>
      <c r="DM354" s="72"/>
      <c r="DN354" s="72"/>
      <c r="DO354" s="72"/>
      <c r="DP354" s="72"/>
      <c r="DQ354" s="72"/>
      <c r="DR354" s="72"/>
      <c r="DS354" s="72"/>
      <c r="DT354" s="72"/>
      <c r="DU354" s="72"/>
      <c r="DV354" s="72"/>
      <c r="DW354" s="72"/>
      <c r="DX354" s="72"/>
      <c r="DY354" s="72"/>
      <c r="DZ354" s="72"/>
      <c r="EA354" s="72"/>
      <c r="EB354" s="72"/>
      <c r="EC354" s="72"/>
      <c r="ED354" s="72"/>
      <c r="EE354" s="72"/>
      <c r="EF354" s="72"/>
      <c r="EG354" s="72"/>
      <c r="EH354" s="72"/>
      <c r="EI354" s="72"/>
      <c r="EJ354" s="72"/>
      <c r="EK354" s="72"/>
      <c r="EL354" s="79"/>
      <c r="EM354" s="79"/>
      <c r="EN354" s="79"/>
      <c r="EO354" s="80"/>
      <c r="EP354" s="78"/>
    </row>
    <row r="355" spans="2:146" ht="11.25" customHeight="1" x14ac:dyDescent="0.2">
      <c r="B355" s="70"/>
      <c r="C355" s="71"/>
      <c r="D355" s="71"/>
      <c r="E355" s="71"/>
      <c r="F355" s="71"/>
      <c r="G355" s="71" t="s">
        <v>131</v>
      </c>
      <c r="H355" s="71"/>
      <c r="I355" s="71"/>
      <c r="J355" s="71" t="s">
        <v>254</v>
      </c>
      <c r="K355" s="71"/>
      <c r="L355" s="71" t="str">
        <f>TEXT(1.72,"#,##0.#######")</f>
        <v>1.72</v>
      </c>
      <c r="M355" s="71"/>
      <c r="N355" s="71"/>
      <c r="O355" s="71"/>
      <c r="P355" s="71" t="s">
        <v>452</v>
      </c>
      <c r="Q355" s="71"/>
      <c r="R355" s="71"/>
      <c r="S355" s="71"/>
      <c r="T355" s="71"/>
      <c r="U355" s="71"/>
      <c r="V355" s="71" t="s">
        <v>405</v>
      </c>
      <c r="W355" s="71"/>
      <c r="X355" s="71" t="s">
        <v>254</v>
      </c>
      <c r="Y355" s="71"/>
      <c r="Z355" s="71" t="str">
        <f>TEXT(0.7,"#,##0.#######")</f>
        <v>0.7</v>
      </c>
      <c r="AA355" s="71"/>
      <c r="AB355" s="71"/>
      <c r="AC355" s="71"/>
      <c r="AD355" s="71"/>
      <c r="AE355" s="71"/>
      <c r="AF355" s="71"/>
      <c r="AG355" s="71"/>
      <c r="AH355" s="71" t="s">
        <v>489</v>
      </c>
      <c r="AI355" s="71"/>
      <c r="AJ355" s="71"/>
      <c r="AK355" s="71" t="s">
        <v>254</v>
      </c>
      <c r="AL355" s="71"/>
      <c r="AM355" s="71" t="str">
        <f>TEXT(0.6,"#,##0.#######")</f>
        <v>0.6</v>
      </c>
      <c r="AN355" s="71"/>
      <c r="AO355" s="71"/>
      <c r="AP355" s="71"/>
      <c r="AQ355" s="71"/>
      <c r="AR355" s="71"/>
      <c r="AS355" s="71"/>
      <c r="AT355" s="71"/>
      <c r="AU355" s="71" t="s">
        <v>62</v>
      </c>
      <c r="AV355" s="71"/>
      <c r="AW355" s="71"/>
      <c r="AX355" s="71"/>
      <c r="AY355" s="71" t="s">
        <v>254</v>
      </c>
      <c r="AZ355" s="71"/>
      <c r="BA355" s="71" t="str">
        <f>TEXT(37.4,"#,##0.#######")</f>
        <v>37.4</v>
      </c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2"/>
      <c r="CZ355" s="72"/>
      <c r="DA355" s="72"/>
      <c r="DB355" s="72"/>
      <c r="DC355" s="72"/>
      <c r="DD355" s="72"/>
      <c r="DE355" s="72"/>
      <c r="DF355" s="72"/>
      <c r="DG355" s="72"/>
      <c r="DH355" s="72"/>
      <c r="DI355" s="72"/>
      <c r="DJ355" s="72"/>
      <c r="DK355" s="72"/>
      <c r="DL355" s="72"/>
      <c r="DM355" s="72"/>
      <c r="DN355" s="72"/>
      <c r="DO355" s="72"/>
      <c r="DP355" s="72"/>
      <c r="DQ355" s="72"/>
      <c r="DR355" s="72"/>
      <c r="DS355" s="72"/>
      <c r="DT355" s="72"/>
      <c r="DU355" s="72"/>
      <c r="DV355" s="72"/>
      <c r="DW355" s="72"/>
      <c r="DX355" s="72"/>
      <c r="DY355" s="72"/>
      <c r="DZ355" s="72"/>
      <c r="EA355" s="72"/>
      <c r="EB355" s="72"/>
      <c r="EC355" s="72"/>
      <c r="ED355" s="72"/>
      <c r="EE355" s="72"/>
      <c r="EF355" s="72"/>
      <c r="EG355" s="72"/>
      <c r="EH355" s="72"/>
      <c r="EI355" s="72"/>
      <c r="EJ355" s="72"/>
      <c r="EK355" s="72"/>
      <c r="EL355" s="79"/>
      <c r="EM355" s="79"/>
      <c r="EN355" s="79"/>
      <c r="EO355" s="80"/>
      <c r="EP355" s="78"/>
    </row>
    <row r="356" spans="2:146" ht="11.25" customHeight="1" x14ac:dyDescent="0.2">
      <c r="B356" s="70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  <c r="AC356" s="71"/>
      <c r="AD356" s="71"/>
      <c r="AE356" s="71"/>
      <c r="AF356" s="71"/>
      <c r="AG356" s="71"/>
      <c r="AH356" s="71"/>
      <c r="AI356" s="71"/>
      <c r="AJ356" s="71"/>
      <c r="AK356" s="71"/>
      <c r="AL356" s="71"/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1"/>
      <c r="CV356" s="71"/>
      <c r="CW356" s="71"/>
      <c r="CX356" s="71"/>
      <c r="CY356" s="72"/>
      <c r="CZ356" s="72"/>
      <c r="DA356" s="72"/>
      <c r="DB356" s="72"/>
      <c r="DC356" s="72"/>
      <c r="DD356" s="72"/>
      <c r="DE356" s="72"/>
      <c r="DF356" s="72"/>
      <c r="DG356" s="72"/>
      <c r="DH356" s="72"/>
      <c r="DI356" s="72"/>
      <c r="DJ356" s="72"/>
      <c r="DK356" s="72"/>
      <c r="DL356" s="72"/>
      <c r="DM356" s="72"/>
      <c r="DN356" s="72"/>
      <c r="DO356" s="72"/>
      <c r="DP356" s="72"/>
      <c r="DQ356" s="72"/>
      <c r="DR356" s="72"/>
      <c r="DS356" s="72"/>
      <c r="DT356" s="72"/>
      <c r="DU356" s="72"/>
      <c r="DV356" s="72"/>
      <c r="DW356" s="72"/>
      <c r="DX356" s="72"/>
      <c r="DY356" s="72"/>
      <c r="DZ356" s="72"/>
      <c r="EA356" s="72"/>
      <c r="EB356" s="72"/>
      <c r="EC356" s="72"/>
      <c r="ED356" s="72"/>
      <c r="EE356" s="72"/>
      <c r="EF356" s="72"/>
      <c r="EG356" s="72"/>
      <c r="EH356" s="72"/>
      <c r="EI356" s="72"/>
      <c r="EJ356" s="72"/>
      <c r="EK356" s="72"/>
      <c r="EL356" s="79"/>
      <c r="EM356" s="79"/>
      <c r="EN356" s="79"/>
      <c r="EO356" s="80"/>
      <c r="EP356" s="78"/>
    </row>
    <row r="357" spans="2:146" ht="11.25" customHeight="1" x14ac:dyDescent="0.2">
      <c r="B357" s="70"/>
      <c r="C357" s="71"/>
      <c r="D357" s="71"/>
      <c r="E357" s="71"/>
      <c r="F357" s="71"/>
      <c r="G357" s="71" t="s">
        <v>120</v>
      </c>
      <c r="H357" s="71"/>
      <c r="I357" s="71" t="s">
        <v>254</v>
      </c>
      <c r="J357" s="71"/>
      <c r="K357" s="71" t="s">
        <v>540</v>
      </c>
      <c r="L357" s="71"/>
      <c r="M357" s="71" t="s">
        <v>112</v>
      </c>
      <c r="N357" s="71"/>
      <c r="O357" s="71" t="s">
        <v>336</v>
      </c>
      <c r="P357" s="71"/>
      <c r="Q357" s="71" t="s">
        <v>131</v>
      </c>
      <c r="R357" s="71"/>
      <c r="S357" s="71"/>
      <c r="T357" s="71" t="s">
        <v>542</v>
      </c>
      <c r="U357" s="71"/>
      <c r="V357" s="71"/>
      <c r="W357" s="71" t="s">
        <v>405</v>
      </c>
      <c r="X357" s="71"/>
      <c r="Y357" s="71" t="s">
        <v>80</v>
      </c>
      <c r="Z357" s="71"/>
      <c r="AA357" s="71" t="s">
        <v>254</v>
      </c>
      <c r="AB357" s="71"/>
      <c r="AC357" s="71" t="str">
        <f>TEXT(AJ353,"#,##0.#######")</f>
        <v>8.57</v>
      </c>
      <c r="AD357" s="71"/>
      <c r="AE357" s="71"/>
      <c r="AF357" s="71"/>
      <c r="AG357" s="71"/>
      <c r="AH357" s="71" t="s">
        <v>112</v>
      </c>
      <c r="AI357" s="71"/>
      <c r="AJ357" s="71" t="s">
        <v>336</v>
      </c>
      <c r="AK357" s="71"/>
      <c r="AL357" s="71" t="str">
        <f>TEXT(L355,"#,##0.#######")</f>
        <v>1.72</v>
      </c>
      <c r="AM357" s="71"/>
      <c r="AN357" s="71"/>
      <c r="AO357" s="71"/>
      <c r="AP357" s="71"/>
      <c r="AQ357" s="71" t="s">
        <v>542</v>
      </c>
      <c r="AR357" s="71"/>
      <c r="AS357" s="71"/>
      <c r="AT357" s="71" t="str">
        <f>TEXT(Z355,"#,##0.#######")</f>
        <v>0.7</v>
      </c>
      <c r="AU357" s="71"/>
      <c r="AV357" s="71"/>
      <c r="AW357" s="71"/>
      <c r="AX357" s="71" t="s">
        <v>80</v>
      </c>
      <c r="AY357" s="71"/>
      <c r="AZ357" s="71" t="s">
        <v>254</v>
      </c>
      <c r="BA357" s="71"/>
      <c r="BB357" s="71" t="str">
        <f>TEXT(ROUND(AJ353/(L355*Z355),2),"#,##0.#######")</f>
        <v>7.12</v>
      </c>
      <c r="BC357" s="71"/>
      <c r="BD357" s="71"/>
      <c r="BE357" s="71"/>
      <c r="BF357" s="71"/>
      <c r="BG357" s="71"/>
      <c r="BH357" s="71" t="s">
        <v>414</v>
      </c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2"/>
      <c r="CZ357" s="72"/>
      <c r="DA357" s="72"/>
      <c r="DB357" s="72"/>
      <c r="DC357" s="72"/>
      <c r="DD357" s="72"/>
      <c r="DE357" s="72"/>
      <c r="DF357" s="72"/>
      <c r="DG357" s="72"/>
      <c r="DH357" s="72"/>
      <c r="DI357" s="72"/>
      <c r="DJ357" s="72"/>
      <c r="DK357" s="72"/>
      <c r="DL357" s="72"/>
      <c r="DM357" s="72"/>
      <c r="DN357" s="72"/>
      <c r="DO357" s="72"/>
      <c r="DP357" s="72"/>
      <c r="DQ357" s="72"/>
      <c r="DR357" s="72"/>
      <c r="DS357" s="72"/>
      <c r="DT357" s="72"/>
      <c r="DU357" s="72"/>
      <c r="DV357" s="72"/>
      <c r="DW357" s="72"/>
      <c r="DX357" s="72"/>
      <c r="DY357" s="72"/>
      <c r="DZ357" s="72"/>
      <c r="EA357" s="72"/>
      <c r="EB357" s="72"/>
      <c r="EC357" s="72"/>
      <c r="ED357" s="72"/>
      <c r="EE357" s="72"/>
      <c r="EF357" s="72"/>
      <c r="EG357" s="72"/>
      <c r="EH357" s="72"/>
      <c r="EI357" s="72"/>
      <c r="EJ357" s="72"/>
      <c r="EK357" s="72"/>
      <c r="EL357" s="79"/>
      <c r="EM357" s="79"/>
      <c r="EN357" s="79"/>
      <c r="EO357" s="80"/>
      <c r="EP357" s="78"/>
    </row>
    <row r="358" spans="2:146" ht="11.25" customHeight="1" x14ac:dyDescent="0.2">
      <c r="B358" s="70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2"/>
      <c r="CZ358" s="72"/>
      <c r="DA358" s="72"/>
      <c r="DB358" s="72"/>
      <c r="DC358" s="72"/>
      <c r="DD358" s="72"/>
      <c r="DE358" s="72"/>
      <c r="DF358" s="72"/>
      <c r="DG358" s="72"/>
      <c r="DH358" s="72"/>
      <c r="DI358" s="72"/>
      <c r="DJ358" s="72"/>
      <c r="DK358" s="72"/>
      <c r="DL358" s="72"/>
      <c r="DM358" s="72"/>
      <c r="DN358" s="72"/>
      <c r="DO358" s="72"/>
      <c r="DP358" s="72"/>
      <c r="DQ358" s="72"/>
      <c r="DR358" s="72"/>
      <c r="DS358" s="72"/>
      <c r="DT358" s="72"/>
      <c r="DU358" s="72"/>
      <c r="DV358" s="72"/>
      <c r="DW358" s="72"/>
      <c r="DX358" s="72"/>
      <c r="DY358" s="72"/>
      <c r="DZ358" s="72"/>
      <c r="EA358" s="72"/>
      <c r="EB358" s="72"/>
      <c r="EC358" s="72"/>
      <c r="ED358" s="72"/>
      <c r="EE358" s="72"/>
      <c r="EF358" s="72"/>
      <c r="EG358" s="72"/>
      <c r="EH358" s="72"/>
      <c r="EI358" s="72"/>
      <c r="EJ358" s="72"/>
      <c r="EK358" s="72"/>
      <c r="EL358" s="79"/>
      <c r="EM358" s="79"/>
      <c r="EN358" s="79"/>
      <c r="EO358" s="80"/>
      <c r="EP358" s="78"/>
    </row>
    <row r="359" spans="2:146" ht="11.25" customHeight="1" x14ac:dyDescent="0.2">
      <c r="B359" s="70"/>
      <c r="C359" s="71"/>
      <c r="D359" s="71"/>
      <c r="E359" s="71"/>
      <c r="F359" s="71"/>
      <c r="G359" s="71" t="s">
        <v>497</v>
      </c>
      <c r="H359" s="71"/>
      <c r="I359" s="71"/>
      <c r="J359" s="71" t="s">
        <v>254</v>
      </c>
      <c r="K359" s="71"/>
      <c r="L359" s="71" t="s">
        <v>62</v>
      </c>
      <c r="M359" s="71"/>
      <c r="N359" s="71"/>
      <c r="O359" s="71"/>
      <c r="P359" s="71" t="s">
        <v>542</v>
      </c>
      <c r="Q359" s="71"/>
      <c r="R359" s="71"/>
      <c r="S359" s="71" t="s">
        <v>120</v>
      </c>
      <c r="T359" s="71"/>
      <c r="U359" s="71" t="s">
        <v>112</v>
      </c>
      <c r="V359" s="71"/>
      <c r="W359" s="71" t="s">
        <v>336</v>
      </c>
      <c r="X359" s="71"/>
      <c r="Y359" s="71" t="str">
        <f>TEXT(60,"#,##0.#######")</f>
        <v>60.</v>
      </c>
      <c r="Z359" s="71"/>
      <c r="AA359" s="71"/>
      <c r="AB359" s="71" t="s">
        <v>542</v>
      </c>
      <c r="AC359" s="71"/>
      <c r="AD359" s="71"/>
      <c r="AE359" s="71" t="s">
        <v>489</v>
      </c>
      <c r="AF359" s="71"/>
      <c r="AG359" s="71"/>
      <c r="AH359" s="71" t="s">
        <v>80</v>
      </c>
      <c r="AI359" s="71"/>
      <c r="AJ359" s="71" t="s">
        <v>254</v>
      </c>
      <c r="AK359" s="71"/>
      <c r="AL359" s="71" t="str">
        <f>TEXT(BA355,"#,##0.#######")</f>
        <v>37.4</v>
      </c>
      <c r="AM359" s="71"/>
      <c r="AN359" s="71"/>
      <c r="AO359" s="71"/>
      <c r="AP359" s="71"/>
      <c r="AQ359" s="71" t="s">
        <v>542</v>
      </c>
      <c r="AR359" s="71"/>
      <c r="AS359" s="71"/>
      <c r="AT359" s="71" t="str">
        <f>TEXT(BB357,"#,##0.#######")</f>
        <v>7.12</v>
      </c>
      <c r="AU359" s="71"/>
      <c r="AV359" s="71"/>
      <c r="AW359" s="71"/>
      <c r="AX359" s="71"/>
      <c r="AY359" s="71" t="s">
        <v>112</v>
      </c>
      <c r="AZ359" s="71"/>
      <c r="BA359" s="71" t="s">
        <v>336</v>
      </c>
      <c r="BB359" s="71"/>
      <c r="BC359" s="71" t="str">
        <f>TEXT(Y359,"#,##0.#######")</f>
        <v>60.</v>
      </c>
      <c r="BD359" s="71"/>
      <c r="BE359" s="71"/>
      <c r="BF359" s="71" t="s">
        <v>542</v>
      </c>
      <c r="BG359" s="71"/>
      <c r="BH359" s="71"/>
      <c r="BI359" s="71" t="str">
        <f>TEXT(AM355,"#,##0.#######")</f>
        <v>0.6</v>
      </c>
      <c r="BJ359" s="71"/>
      <c r="BK359" s="71"/>
      <c r="BL359" s="71"/>
      <c r="BM359" s="71" t="s">
        <v>80</v>
      </c>
      <c r="BN359" s="71"/>
      <c r="BO359" s="71" t="s">
        <v>254</v>
      </c>
      <c r="BP359" s="71"/>
      <c r="BQ359" s="71" t="str">
        <f>TEXT(ROUND(BA355*BB357/(Y359*AM355),2),"#,##0.#######")</f>
        <v>7.4</v>
      </c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2"/>
      <c r="CZ359" s="72"/>
      <c r="DA359" s="72"/>
      <c r="DB359" s="72"/>
      <c r="DC359" s="72"/>
      <c r="DD359" s="72"/>
      <c r="DE359" s="72"/>
      <c r="DF359" s="72"/>
      <c r="DG359" s="72"/>
      <c r="DH359" s="72"/>
      <c r="DI359" s="72"/>
      <c r="DJ359" s="72"/>
      <c r="DK359" s="72"/>
      <c r="DL359" s="72"/>
      <c r="DM359" s="72"/>
      <c r="DN359" s="72"/>
      <c r="DO359" s="72"/>
      <c r="DP359" s="72"/>
      <c r="DQ359" s="72"/>
      <c r="DR359" s="72"/>
      <c r="DS359" s="72"/>
      <c r="DT359" s="72"/>
      <c r="DU359" s="72"/>
      <c r="DV359" s="72"/>
      <c r="DW359" s="72"/>
      <c r="DX359" s="72"/>
      <c r="DY359" s="72"/>
      <c r="DZ359" s="72"/>
      <c r="EA359" s="72"/>
      <c r="EB359" s="72"/>
      <c r="EC359" s="72"/>
      <c r="ED359" s="72"/>
      <c r="EE359" s="72"/>
      <c r="EF359" s="72"/>
      <c r="EG359" s="72"/>
      <c r="EH359" s="72"/>
      <c r="EI359" s="72"/>
      <c r="EJ359" s="72"/>
      <c r="EK359" s="72"/>
      <c r="EL359" s="79"/>
      <c r="EM359" s="79"/>
      <c r="EN359" s="79"/>
      <c r="EO359" s="80"/>
      <c r="EP359" s="78"/>
    </row>
    <row r="360" spans="2:146" ht="11.25" customHeight="1" x14ac:dyDescent="0.2">
      <c r="B360" s="70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2"/>
      <c r="CZ360" s="72"/>
      <c r="DA360" s="72"/>
      <c r="DB360" s="72"/>
      <c r="DC360" s="72"/>
      <c r="DD360" s="72"/>
      <c r="DE360" s="72"/>
      <c r="DF360" s="72"/>
      <c r="DG360" s="72"/>
      <c r="DH360" s="72"/>
      <c r="DI360" s="72"/>
      <c r="DJ360" s="72"/>
      <c r="DK360" s="72"/>
      <c r="DL360" s="72"/>
      <c r="DM360" s="72"/>
      <c r="DN360" s="72"/>
      <c r="DO360" s="72"/>
      <c r="DP360" s="72"/>
      <c r="DQ360" s="72"/>
      <c r="DR360" s="72"/>
      <c r="DS360" s="72"/>
      <c r="DT360" s="72"/>
      <c r="DU360" s="72"/>
      <c r="DV360" s="72"/>
      <c r="DW360" s="72"/>
      <c r="DX360" s="72"/>
      <c r="DY360" s="72"/>
      <c r="DZ360" s="72"/>
      <c r="EA360" s="72"/>
      <c r="EB360" s="72"/>
      <c r="EC360" s="72"/>
      <c r="ED360" s="72"/>
      <c r="EE360" s="72"/>
      <c r="EF360" s="72"/>
      <c r="EG360" s="72"/>
      <c r="EH360" s="72"/>
      <c r="EI360" s="72"/>
      <c r="EJ360" s="72"/>
      <c r="EK360" s="72"/>
      <c r="EL360" s="79"/>
      <c r="EM360" s="79"/>
      <c r="EN360" s="79"/>
      <c r="EO360" s="80"/>
      <c r="EP360" s="78"/>
    </row>
    <row r="361" spans="2:146" ht="11.25" customHeight="1" x14ac:dyDescent="0.2">
      <c r="B361" s="70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 t="s">
        <v>138</v>
      </c>
      <c r="O361" s="71"/>
      <c r="P361" s="71"/>
      <c r="Q361" s="71"/>
      <c r="R361" s="71"/>
      <c r="S361" s="71" t="s">
        <v>138</v>
      </c>
      <c r="T361" s="71"/>
      <c r="U361" s="71"/>
      <c r="V361" s="71"/>
      <c r="W361" s="71"/>
      <c r="X361" s="71"/>
      <c r="Y361" s="71"/>
      <c r="Z361" s="71" t="s">
        <v>339</v>
      </c>
      <c r="AA361" s="71"/>
      <c r="AB361" s="71"/>
      <c r="AC361" s="71"/>
      <c r="AD361" s="71"/>
      <c r="AE361" s="71" t="s">
        <v>339</v>
      </c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 t="str">
        <f>TEXT(S346,"#,##0.#######")</f>
        <v>20.</v>
      </c>
      <c r="AS361" s="71"/>
      <c r="AT361" s="71"/>
      <c r="AU361" s="71"/>
      <c r="AV361" s="71"/>
      <c r="AW361" s="71" t="str">
        <f>TEXT(S346,"#,##0.#######")</f>
        <v>20.</v>
      </c>
      <c r="AX361" s="71"/>
      <c r="AY361" s="71"/>
      <c r="AZ361" s="71"/>
      <c r="BA361" s="71"/>
      <c r="BB361" s="71"/>
      <c r="BC361" s="71" t="str">
        <f>TEXT(AT346,"#,##0.#######")</f>
        <v>0.5</v>
      </c>
      <c r="BD361" s="71"/>
      <c r="BE361" s="71"/>
      <c r="BF361" s="71"/>
      <c r="BG361" s="71"/>
      <c r="BH361" s="71" t="str">
        <f>TEXT(AT346,"#,##0.#######")</f>
        <v>0.5</v>
      </c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2"/>
      <c r="CZ361" s="72"/>
      <c r="DA361" s="72"/>
      <c r="DB361" s="72"/>
      <c r="DC361" s="72"/>
      <c r="DD361" s="72"/>
      <c r="DE361" s="72"/>
      <c r="DF361" s="72"/>
      <c r="DG361" s="72"/>
      <c r="DH361" s="72"/>
      <c r="DI361" s="72"/>
      <c r="DJ361" s="72"/>
      <c r="DK361" s="72"/>
      <c r="DL361" s="72"/>
      <c r="DM361" s="72"/>
      <c r="DN361" s="72"/>
      <c r="DO361" s="72"/>
      <c r="DP361" s="72"/>
      <c r="DQ361" s="72"/>
      <c r="DR361" s="72"/>
      <c r="DS361" s="72"/>
      <c r="DT361" s="72"/>
      <c r="DU361" s="72"/>
      <c r="DV361" s="72"/>
      <c r="DW361" s="72"/>
      <c r="DX361" s="72"/>
      <c r="DY361" s="72"/>
      <c r="DZ361" s="72"/>
      <c r="EA361" s="72"/>
      <c r="EB361" s="72"/>
      <c r="EC361" s="72"/>
      <c r="ED361" s="72"/>
      <c r="EE361" s="72"/>
      <c r="EF361" s="72"/>
      <c r="EG361" s="72"/>
      <c r="EH361" s="72"/>
      <c r="EI361" s="72"/>
      <c r="EJ361" s="72"/>
      <c r="EK361" s="72"/>
      <c r="EL361" s="79"/>
      <c r="EM361" s="79"/>
      <c r="EN361" s="79"/>
      <c r="EO361" s="80"/>
      <c r="EP361" s="78"/>
    </row>
    <row r="362" spans="2:146" ht="11.25" customHeight="1" x14ac:dyDescent="0.2">
      <c r="B362" s="70"/>
      <c r="C362" s="71"/>
      <c r="D362" s="71"/>
      <c r="E362" s="71"/>
      <c r="F362" s="71"/>
      <c r="G362" s="71" t="s">
        <v>289</v>
      </c>
      <c r="H362" s="71"/>
      <c r="I362" s="71"/>
      <c r="J362" s="71" t="s">
        <v>254</v>
      </c>
      <c r="K362" s="71"/>
      <c r="L362" s="71" t="s">
        <v>336</v>
      </c>
      <c r="M362" s="71" t="s">
        <v>182</v>
      </c>
      <c r="N362" s="71"/>
      <c r="O362" s="71" t="s">
        <v>182</v>
      </c>
      <c r="P362" s="71"/>
      <c r="Q362" s="71" t="s">
        <v>133</v>
      </c>
      <c r="R362" s="71" t="s">
        <v>182</v>
      </c>
      <c r="S362" s="71"/>
      <c r="T362" s="71" t="s">
        <v>182</v>
      </c>
      <c r="U362" s="71"/>
      <c r="V362" s="71"/>
      <c r="W362" s="71" t="s">
        <v>133</v>
      </c>
      <c r="X362" s="71"/>
      <c r="Y362" s="71" t="s">
        <v>182</v>
      </c>
      <c r="Z362" s="71"/>
      <c r="AA362" s="71" t="s">
        <v>182</v>
      </c>
      <c r="AB362" s="71"/>
      <c r="AC362" s="71" t="s">
        <v>133</v>
      </c>
      <c r="AD362" s="71" t="s">
        <v>182</v>
      </c>
      <c r="AE362" s="71"/>
      <c r="AF362" s="71" t="s">
        <v>182</v>
      </c>
      <c r="AG362" s="71"/>
      <c r="AH362" s="71" t="s">
        <v>80</v>
      </c>
      <c r="AI362" s="71" t="s">
        <v>542</v>
      </c>
      <c r="AJ362" s="71"/>
      <c r="AK362" s="71" t="str">
        <f>TEXT(60,"#,##0.#######")</f>
        <v>60.</v>
      </c>
      <c r="AL362" s="71"/>
      <c r="AM362" s="71"/>
      <c r="AN362" s="71" t="s">
        <v>254</v>
      </c>
      <c r="AO362" s="71"/>
      <c r="AP362" s="71" t="s">
        <v>336</v>
      </c>
      <c r="AQ362" s="71" t="s">
        <v>182</v>
      </c>
      <c r="AR362" s="71"/>
      <c r="AS362" s="71" t="s">
        <v>182</v>
      </c>
      <c r="AT362" s="71"/>
      <c r="AU362" s="71" t="s">
        <v>133</v>
      </c>
      <c r="AV362" s="71" t="s">
        <v>182</v>
      </c>
      <c r="AW362" s="71"/>
      <c r="AX362" s="71" t="s">
        <v>182</v>
      </c>
      <c r="AY362" s="71"/>
      <c r="AZ362" s="71"/>
      <c r="BA362" s="71" t="s">
        <v>133</v>
      </c>
      <c r="BB362" s="71"/>
      <c r="BC362" s="71" t="s">
        <v>182</v>
      </c>
      <c r="BD362" s="71"/>
      <c r="BE362" s="71" t="s">
        <v>182</v>
      </c>
      <c r="BF362" s="71"/>
      <c r="BG362" s="71" t="s">
        <v>133</v>
      </c>
      <c r="BH362" s="71" t="s">
        <v>182</v>
      </c>
      <c r="BI362" s="71"/>
      <c r="BJ362" s="71" t="s">
        <v>182</v>
      </c>
      <c r="BK362" s="71"/>
      <c r="BL362" s="71" t="s">
        <v>80</v>
      </c>
      <c r="BM362" s="71" t="s">
        <v>542</v>
      </c>
      <c r="BN362" s="71"/>
      <c r="BO362" s="71" t="str">
        <f>TEXT(60,"#,##0.#######")</f>
        <v>60.</v>
      </c>
      <c r="BP362" s="71"/>
      <c r="BQ362" s="71"/>
      <c r="BR362" s="71" t="s">
        <v>254</v>
      </c>
      <c r="BS362" s="71"/>
      <c r="BT362" s="71" t="str">
        <f>TEXT(ROUND(((S346)/(R348)+(S346)/(R349)+(AT346)/(AQ348)+(AT346)/(AQ349))*AK362,2),"#,##0.#######")</f>
        <v>79.29</v>
      </c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2"/>
      <c r="CZ362" s="72"/>
      <c r="DA362" s="72"/>
      <c r="DB362" s="72"/>
      <c r="DC362" s="72"/>
      <c r="DD362" s="72"/>
      <c r="DE362" s="72"/>
      <c r="DF362" s="72"/>
      <c r="DG362" s="72"/>
      <c r="DH362" s="72"/>
      <c r="DI362" s="72"/>
      <c r="DJ362" s="72"/>
      <c r="DK362" s="72"/>
      <c r="DL362" s="72"/>
      <c r="DM362" s="72"/>
      <c r="DN362" s="72"/>
      <c r="DO362" s="72"/>
      <c r="DP362" s="72"/>
      <c r="DQ362" s="72"/>
      <c r="DR362" s="72"/>
      <c r="DS362" s="72"/>
      <c r="DT362" s="72"/>
      <c r="DU362" s="72"/>
      <c r="DV362" s="72"/>
      <c r="DW362" s="72"/>
      <c r="DX362" s="72"/>
      <c r="DY362" s="72"/>
      <c r="DZ362" s="72"/>
      <c r="EA362" s="72"/>
      <c r="EB362" s="72"/>
      <c r="EC362" s="72"/>
      <c r="ED362" s="72"/>
      <c r="EE362" s="72"/>
      <c r="EF362" s="72"/>
      <c r="EG362" s="72"/>
      <c r="EH362" s="72"/>
      <c r="EI362" s="72"/>
      <c r="EJ362" s="72"/>
      <c r="EK362" s="72"/>
      <c r="EL362" s="79"/>
      <c r="EM362" s="79"/>
      <c r="EN362" s="79"/>
      <c r="EO362" s="80"/>
      <c r="EP362" s="78"/>
    </row>
    <row r="363" spans="2:146" ht="11.25" customHeight="1" x14ac:dyDescent="0.2">
      <c r="B363" s="70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 t="s">
        <v>584</v>
      </c>
      <c r="O363" s="71"/>
      <c r="P363" s="71"/>
      <c r="Q363" s="71"/>
      <c r="R363" s="71"/>
      <c r="S363" s="71" t="s">
        <v>215</v>
      </c>
      <c r="T363" s="71"/>
      <c r="U363" s="71"/>
      <c r="V363" s="71"/>
      <c r="W363" s="71"/>
      <c r="X363" s="71"/>
      <c r="Y363" s="71"/>
      <c r="Z363" s="71" t="s">
        <v>479</v>
      </c>
      <c r="AA363" s="71"/>
      <c r="AB363" s="71"/>
      <c r="AC363" s="71"/>
      <c r="AD363" s="71"/>
      <c r="AE363" s="71" t="s">
        <v>264</v>
      </c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 t="str">
        <f>TEXT(R348,"#,##0.#######")</f>
        <v>30.</v>
      </c>
      <c r="AS363" s="71"/>
      <c r="AT363" s="71"/>
      <c r="AU363" s="71"/>
      <c r="AV363" s="71"/>
      <c r="AW363" s="71" t="str">
        <f>TEXT(R349,"#,##0.#######")</f>
        <v>35.</v>
      </c>
      <c r="AX363" s="71"/>
      <c r="AY363" s="71"/>
      <c r="AZ363" s="71"/>
      <c r="BA363" s="71"/>
      <c r="BB363" s="71"/>
      <c r="BC363" s="71"/>
      <c r="BD363" s="71" t="str">
        <f>TEXT(AQ348,"#,##0.#######")</f>
        <v>10.</v>
      </c>
      <c r="BE363" s="71"/>
      <c r="BF363" s="71"/>
      <c r="BG363" s="71"/>
      <c r="BH363" s="71"/>
      <c r="BI363" s="71" t="str">
        <f>TEXT(AQ349,"#,##0.#######")</f>
        <v>15.</v>
      </c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2"/>
      <c r="CZ363" s="72"/>
      <c r="DA363" s="72"/>
      <c r="DB363" s="72"/>
      <c r="DC363" s="72"/>
      <c r="DD363" s="72"/>
      <c r="DE363" s="72"/>
      <c r="DF363" s="72"/>
      <c r="DG363" s="72"/>
      <c r="DH363" s="72"/>
      <c r="DI363" s="72"/>
      <c r="DJ363" s="72"/>
      <c r="DK363" s="72"/>
      <c r="DL363" s="72"/>
      <c r="DM363" s="72"/>
      <c r="DN363" s="72"/>
      <c r="DO363" s="72"/>
      <c r="DP363" s="72"/>
      <c r="DQ363" s="72"/>
      <c r="DR363" s="72"/>
      <c r="DS363" s="72"/>
      <c r="DT363" s="72"/>
      <c r="DU363" s="72"/>
      <c r="DV363" s="72"/>
      <c r="DW363" s="72"/>
      <c r="DX363" s="72"/>
      <c r="DY363" s="72"/>
      <c r="DZ363" s="72"/>
      <c r="EA363" s="72"/>
      <c r="EB363" s="72"/>
      <c r="EC363" s="72"/>
      <c r="ED363" s="72"/>
      <c r="EE363" s="72"/>
      <c r="EF363" s="72"/>
      <c r="EG363" s="72"/>
      <c r="EH363" s="72"/>
      <c r="EI363" s="72"/>
      <c r="EJ363" s="72"/>
      <c r="EK363" s="72"/>
      <c r="EL363" s="79"/>
      <c r="EM363" s="79"/>
      <c r="EN363" s="79"/>
      <c r="EO363" s="80"/>
      <c r="EP363" s="78"/>
    </row>
    <row r="364" spans="2:146" ht="11.25" customHeight="1" x14ac:dyDescent="0.2">
      <c r="B364" s="70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2"/>
      <c r="CZ364" s="72"/>
      <c r="DA364" s="72"/>
      <c r="DB364" s="72"/>
      <c r="DC364" s="72"/>
      <c r="DD364" s="72"/>
      <c r="DE364" s="72"/>
      <c r="DF364" s="72"/>
      <c r="DG364" s="72"/>
      <c r="DH364" s="72"/>
      <c r="DI364" s="72"/>
      <c r="DJ364" s="72"/>
      <c r="DK364" s="72"/>
      <c r="DL364" s="72"/>
      <c r="DM364" s="72"/>
      <c r="DN364" s="72"/>
      <c r="DO364" s="72"/>
      <c r="DP364" s="72"/>
      <c r="DQ364" s="72"/>
      <c r="DR364" s="72"/>
      <c r="DS364" s="72"/>
      <c r="DT364" s="72"/>
      <c r="DU364" s="72"/>
      <c r="DV364" s="72"/>
      <c r="DW364" s="72"/>
      <c r="DX364" s="72"/>
      <c r="DY364" s="72"/>
      <c r="DZ364" s="72"/>
      <c r="EA364" s="72"/>
      <c r="EB364" s="72"/>
      <c r="EC364" s="72"/>
      <c r="ED364" s="72"/>
      <c r="EE364" s="72"/>
      <c r="EF364" s="72"/>
      <c r="EG364" s="72"/>
      <c r="EH364" s="72"/>
      <c r="EI364" s="72"/>
      <c r="EJ364" s="72"/>
      <c r="EK364" s="72"/>
      <c r="EL364" s="79"/>
      <c r="EM364" s="79"/>
      <c r="EN364" s="79"/>
      <c r="EO364" s="80"/>
      <c r="EP364" s="78"/>
    </row>
    <row r="365" spans="2:146" ht="11.25" customHeight="1" x14ac:dyDescent="0.2">
      <c r="B365" s="70"/>
      <c r="C365" s="71"/>
      <c r="D365" s="71"/>
      <c r="E365" s="71"/>
      <c r="F365" s="71"/>
      <c r="G365" s="71" t="s">
        <v>571</v>
      </c>
      <c r="H365" s="71"/>
      <c r="I365" s="71"/>
      <c r="J365" s="71" t="s">
        <v>254</v>
      </c>
      <c r="K365" s="71"/>
      <c r="L365" s="71" t="str">
        <f>TEXT(0.8,"#,##0.#######")</f>
        <v>0.8</v>
      </c>
      <c r="M365" s="71"/>
      <c r="N365" s="71"/>
      <c r="O365" s="71"/>
      <c r="P365" s="71"/>
      <c r="Q365" s="71"/>
      <c r="R365" s="71"/>
      <c r="S365" s="71" t="s">
        <v>181</v>
      </c>
      <c r="T365" s="71"/>
      <c r="U365" s="71"/>
      <c r="V365" s="71" t="s">
        <v>254</v>
      </c>
      <c r="W365" s="71"/>
      <c r="X365" s="71" t="str">
        <f>TEXT(0.42,"#,##0.#######")</f>
        <v>0.42</v>
      </c>
      <c r="Y365" s="71"/>
      <c r="Z365" s="71"/>
      <c r="AA365" s="71"/>
      <c r="AB365" s="71"/>
      <c r="AC365" s="71"/>
      <c r="AD365" s="71"/>
      <c r="AE365" s="71"/>
      <c r="AF365" s="71" t="s">
        <v>519</v>
      </c>
      <c r="AG365" s="71"/>
      <c r="AH365" s="71"/>
      <c r="AI365" s="71" t="s">
        <v>254</v>
      </c>
      <c r="AJ365" s="71"/>
      <c r="AK365" s="71" t="str">
        <f>TEXT(0.5,"#,##0.#######")</f>
        <v>0.5</v>
      </c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2"/>
      <c r="CZ365" s="72"/>
      <c r="DA365" s="72"/>
      <c r="DB365" s="72"/>
      <c r="DC365" s="72"/>
      <c r="DD365" s="72"/>
      <c r="DE365" s="72"/>
      <c r="DF365" s="72"/>
      <c r="DG365" s="72"/>
      <c r="DH365" s="72"/>
      <c r="DI365" s="72"/>
      <c r="DJ365" s="72"/>
      <c r="DK365" s="72"/>
      <c r="DL365" s="72"/>
      <c r="DM365" s="72"/>
      <c r="DN365" s="72"/>
      <c r="DO365" s="72"/>
      <c r="DP365" s="72"/>
      <c r="DQ365" s="72"/>
      <c r="DR365" s="72"/>
      <c r="DS365" s="72"/>
      <c r="DT365" s="72"/>
      <c r="DU365" s="72"/>
      <c r="DV365" s="72"/>
      <c r="DW365" s="72"/>
      <c r="DX365" s="72"/>
      <c r="DY365" s="72"/>
      <c r="DZ365" s="72"/>
      <c r="EA365" s="72"/>
      <c r="EB365" s="72"/>
      <c r="EC365" s="72"/>
      <c r="ED365" s="72"/>
      <c r="EE365" s="72"/>
      <c r="EF365" s="72"/>
      <c r="EG365" s="72"/>
      <c r="EH365" s="72"/>
      <c r="EI365" s="72"/>
      <c r="EJ365" s="72"/>
      <c r="EK365" s="72"/>
      <c r="EL365" s="79"/>
      <c r="EM365" s="79"/>
      <c r="EN365" s="79"/>
      <c r="EO365" s="80"/>
      <c r="EP365" s="78"/>
    </row>
    <row r="366" spans="2:146" ht="11.25" customHeight="1" x14ac:dyDescent="0.2">
      <c r="B366" s="70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2"/>
      <c r="CZ366" s="72"/>
      <c r="DA366" s="72"/>
      <c r="DB366" s="72"/>
      <c r="DC366" s="72"/>
      <c r="DD366" s="72"/>
      <c r="DE366" s="72"/>
      <c r="DF366" s="72"/>
      <c r="DG366" s="72"/>
      <c r="DH366" s="72"/>
      <c r="DI366" s="72"/>
      <c r="DJ366" s="72"/>
      <c r="DK366" s="72"/>
      <c r="DL366" s="72"/>
      <c r="DM366" s="72"/>
      <c r="DN366" s="72"/>
      <c r="DO366" s="72"/>
      <c r="DP366" s="72"/>
      <c r="DQ366" s="72"/>
      <c r="DR366" s="72"/>
      <c r="DS366" s="72"/>
      <c r="DT366" s="72"/>
      <c r="DU366" s="72"/>
      <c r="DV366" s="72"/>
      <c r="DW366" s="72"/>
      <c r="DX366" s="72"/>
      <c r="DY366" s="72"/>
      <c r="DZ366" s="72"/>
      <c r="EA366" s="72"/>
      <c r="EB366" s="72"/>
      <c r="EC366" s="72"/>
      <c r="ED366" s="72"/>
      <c r="EE366" s="72"/>
      <c r="EF366" s="72"/>
      <c r="EG366" s="72"/>
      <c r="EH366" s="72"/>
      <c r="EI366" s="72"/>
      <c r="EJ366" s="72"/>
      <c r="EK366" s="72"/>
      <c r="EL366" s="79"/>
      <c r="EM366" s="79"/>
      <c r="EN366" s="79"/>
      <c r="EO366" s="80"/>
      <c r="EP366" s="78"/>
    </row>
    <row r="367" spans="2:146" ht="11.25" customHeight="1" x14ac:dyDescent="0.2">
      <c r="B367" s="70"/>
      <c r="C367" s="71"/>
      <c r="D367" s="71"/>
      <c r="E367" s="71"/>
      <c r="F367" s="71"/>
      <c r="G367" s="71" t="s">
        <v>91</v>
      </c>
      <c r="H367" s="71"/>
      <c r="I367" s="71"/>
      <c r="J367" s="71" t="s">
        <v>254</v>
      </c>
      <c r="K367" s="71"/>
      <c r="L367" s="71" t="s">
        <v>497</v>
      </c>
      <c r="M367" s="71"/>
      <c r="N367" s="71"/>
      <c r="O367" s="71" t="s">
        <v>133</v>
      </c>
      <c r="P367" s="71"/>
      <c r="Q367" s="71" t="s">
        <v>289</v>
      </c>
      <c r="R367" s="71"/>
      <c r="S367" s="71"/>
      <c r="T367" s="71" t="s">
        <v>133</v>
      </c>
      <c r="U367" s="71"/>
      <c r="V367" s="71" t="s">
        <v>571</v>
      </c>
      <c r="W367" s="71"/>
      <c r="X367" s="71"/>
      <c r="Y367" s="71" t="s">
        <v>133</v>
      </c>
      <c r="Z367" s="71"/>
      <c r="AA367" s="71" t="s">
        <v>181</v>
      </c>
      <c r="AB367" s="71"/>
      <c r="AC367" s="71"/>
      <c r="AD367" s="71" t="s">
        <v>133</v>
      </c>
      <c r="AE367" s="71"/>
      <c r="AF367" s="71" t="s">
        <v>519</v>
      </c>
      <c r="AG367" s="71"/>
      <c r="AH367" s="71"/>
      <c r="AI367" s="71" t="s">
        <v>254</v>
      </c>
      <c r="AJ367" s="71"/>
      <c r="AK367" s="71" t="str">
        <f>TEXT(BQ359,"#,##0.#######")</f>
        <v>7.4</v>
      </c>
      <c r="AL367" s="71"/>
      <c r="AM367" s="71"/>
      <c r="AN367" s="71"/>
      <c r="AO367" s="71" t="s">
        <v>133</v>
      </c>
      <c r="AP367" s="71"/>
      <c r="AQ367" s="71" t="str">
        <f>TEXT(BT362,"#,##0.#######")</f>
        <v>79.29</v>
      </c>
      <c r="AR367" s="71"/>
      <c r="AS367" s="71"/>
      <c r="AT367" s="71"/>
      <c r="AU367" s="71"/>
      <c r="AV367" s="71"/>
      <c r="AW367" s="71" t="s">
        <v>133</v>
      </c>
      <c r="AX367" s="71"/>
      <c r="AY367" s="71" t="str">
        <f>TEXT(L365,"#,##0.#######")</f>
        <v>0.8</v>
      </c>
      <c r="AZ367" s="71"/>
      <c r="BA367" s="71"/>
      <c r="BB367" s="71"/>
      <c r="BC367" s="71" t="s">
        <v>133</v>
      </c>
      <c r="BD367" s="71"/>
      <c r="BE367" s="71" t="str">
        <f>TEXT(X365,"#,##0.#######")</f>
        <v>0.42</v>
      </c>
      <c r="BF367" s="71"/>
      <c r="BG367" s="71"/>
      <c r="BH367" s="71"/>
      <c r="BI367" s="71"/>
      <c r="BJ367" s="71" t="s">
        <v>133</v>
      </c>
      <c r="BK367" s="71"/>
      <c r="BL367" s="71" t="str">
        <f>TEXT(AK365,"#,##0.#######")</f>
        <v>0.5</v>
      </c>
      <c r="BM367" s="71"/>
      <c r="BN367" s="71"/>
      <c r="BO367" s="71"/>
      <c r="BP367" s="71" t="s">
        <v>254</v>
      </c>
      <c r="BQ367" s="71"/>
      <c r="BR367" s="71" t="str">
        <f>TEXT(ROUND(BQ359+BT362+L365+X365+AK365,2),"#,##0.#######")</f>
        <v>88.41</v>
      </c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2"/>
      <c r="CZ367" s="72"/>
      <c r="DA367" s="72"/>
      <c r="DB367" s="72"/>
      <c r="DC367" s="72"/>
      <c r="DD367" s="72"/>
      <c r="DE367" s="72"/>
      <c r="DF367" s="72"/>
      <c r="DG367" s="72"/>
      <c r="DH367" s="72"/>
      <c r="DI367" s="72"/>
      <c r="DJ367" s="72"/>
      <c r="DK367" s="72"/>
      <c r="DL367" s="72"/>
      <c r="DM367" s="72"/>
      <c r="DN367" s="72"/>
      <c r="DO367" s="72"/>
      <c r="DP367" s="72"/>
      <c r="DQ367" s="72"/>
      <c r="DR367" s="72"/>
      <c r="DS367" s="72"/>
      <c r="DT367" s="72"/>
      <c r="DU367" s="72"/>
      <c r="DV367" s="72"/>
      <c r="DW367" s="72"/>
      <c r="DX367" s="72"/>
      <c r="DY367" s="72"/>
      <c r="DZ367" s="72"/>
      <c r="EA367" s="72"/>
      <c r="EB367" s="72"/>
      <c r="EC367" s="72"/>
      <c r="ED367" s="72"/>
      <c r="EE367" s="72"/>
      <c r="EF367" s="72"/>
      <c r="EG367" s="72"/>
      <c r="EH367" s="72"/>
      <c r="EI367" s="72"/>
      <c r="EJ367" s="72"/>
      <c r="EK367" s="72"/>
      <c r="EL367" s="79"/>
      <c r="EM367" s="79"/>
      <c r="EN367" s="79"/>
      <c r="EO367" s="80"/>
      <c r="EP367" s="78"/>
    </row>
    <row r="368" spans="2:146" ht="11.25" customHeight="1" x14ac:dyDescent="0.2">
      <c r="B368" s="70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2"/>
      <c r="CZ368" s="72"/>
      <c r="DA368" s="72"/>
      <c r="DB368" s="72"/>
      <c r="DC368" s="72"/>
      <c r="DD368" s="72"/>
      <c r="DE368" s="72"/>
      <c r="DF368" s="72"/>
      <c r="DG368" s="72"/>
      <c r="DH368" s="72"/>
      <c r="DI368" s="72"/>
      <c r="DJ368" s="72"/>
      <c r="DK368" s="72"/>
      <c r="DL368" s="72"/>
      <c r="DM368" s="72"/>
      <c r="DN368" s="72"/>
      <c r="DO368" s="72"/>
      <c r="DP368" s="72"/>
      <c r="DQ368" s="72"/>
      <c r="DR368" s="72"/>
      <c r="DS368" s="72"/>
      <c r="DT368" s="72"/>
      <c r="DU368" s="72"/>
      <c r="DV368" s="72"/>
      <c r="DW368" s="72"/>
      <c r="DX368" s="72"/>
      <c r="DY368" s="72"/>
      <c r="DZ368" s="72"/>
      <c r="EA368" s="72"/>
      <c r="EB368" s="72"/>
      <c r="EC368" s="72"/>
      <c r="ED368" s="72"/>
      <c r="EE368" s="72"/>
      <c r="EF368" s="72"/>
      <c r="EG368" s="72"/>
      <c r="EH368" s="72"/>
      <c r="EI368" s="72"/>
      <c r="EJ368" s="72"/>
      <c r="EK368" s="72"/>
      <c r="EL368" s="79"/>
      <c r="EM368" s="79"/>
      <c r="EN368" s="79"/>
      <c r="EO368" s="80"/>
      <c r="EP368" s="78"/>
    </row>
    <row r="369" spans="2:146" ht="11.25" customHeight="1" x14ac:dyDescent="0.2">
      <c r="B369" s="70"/>
      <c r="C369" s="71"/>
      <c r="D369" s="71"/>
      <c r="E369" s="71"/>
      <c r="F369" s="71"/>
      <c r="G369" s="71" t="s">
        <v>383</v>
      </c>
      <c r="H369" s="71"/>
      <c r="I369" s="71"/>
      <c r="J369" s="71" t="s">
        <v>254</v>
      </c>
      <c r="K369" s="71"/>
      <c r="L369" s="71" t="s">
        <v>336</v>
      </c>
      <c r="M369" s="71" t="s">
        <v>91</v>
      </c>
      <c r="N369" s="71"/>
      <c r="O369" s="71" t="s">
        <v>22</v>
      </c>
      <c r="P369" s="71" t="s">
        <v>497</v>
      </c>
      <c r="Q369" s="71"/>
      <c r="R369" s="71" t="s">
        <v>80</v>
      </c>
      <c r="S369" s="71" t="s">
        <v>112</v>
      </c>
      <c r="T369" s="71" t="s">
        <v>91</v>
      </c>
      <c r="U369" s="71"/>
      <c r="V369" s="71"/>
      <c r="W369" s="71" t="s">
        <v>254</v>
      </c>
      <c r="X369" s="71"/>
      <c r="Y369" s="71" t="s">
        <v>336</v>
      </c>
      <c r="Z369" s="71" t="str">
        <f>TEXT(BR367,"#,##0.#######")</f>
        <v>88.41</v>
      </c>
      <c r="AA369" s="71"/>
      <c r="AB369" s="71"/>
      <c r="AC369" s="71"/>
      <c r="AD369" s="71"/>
      <c r="AE369" s="71" t="s">
        <v>22</v>
      </c>
      <c r="AF369" s="71" t="str">
        <f>TEXT(BQ359,"#,##0.#######")</f>
        <v>7.4</v>
      </c>
      <c r="AG369" s="71"/>
      <c r="AH369" s="71"/>
      <c r="AI369" s="71" t="s">
        <v>80</v>
      </c>
      <c r="AJ369" s="71" t="s">
        <v>112</v>
      </c>
      <c r="AK369" s="71" t="str">
        <f>TEXT(BR367,"#,##0.#######")</f>
        <v>88.41</v>
      </c>
      <c r="AL369" s="71"/>
      <c r="AM369" s="71"/>
      <c r="AN369" s="71"/>
      <c r="AO369" s="71"/>
      <c r="AP369" s="71"/>
      <c r="AQ369" s="71" t="s">
        <v>254</v>
      </c>
      <c r="AR369" s="71"/>
      <c r="AS369" s="71" t="str">
        <f>TEXT(ROUND((BR367-BQ359)/BR367,2),"#,##0.#######")</f>
        <v>0.92</v>
      </c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2"/>
      <c r="CZ369" s="72"/>
      <c r="DA369" s="72"/>
      <c r="DB369" s="72"/>
      <c r="DC369" s="72"/>
      <c r="DD369" s="72"/>
      <c r="DE369" s="72"/>
      <c r="DF369" s="72"/>
      <c r="DG369" s="72"/>
      <c r="DH369" s="72"/>
      <c r="DI369" s="72"/>
      <c r="DJ369" s="72"/>
      <c r="DK369" s="72"/>
      <c r="DL369" s="72"/>
      <c r="DM369" s="72"/>
      <c r="DN369" s="72"/>
      <c r="DO369" s="72"/>
      <c r="DP369" s="72"/>
      <c r="DQ369" s="72"/>
      <c r="DR369" s="72"/>
      <c r="DS369" s="72"/>
      <c r="DT369" s="72"/>
      <c r="DU369" s="72"/>
      <c r="DV369" s="72"/>
      <c r="DW369" s="72"/>
      <c r="DX369" s="72"/>
      <c r="DY369" s="72"/>
      <c r="DZ369" s="72"/>
      <c r="EA369" s="72"/>
      <c r="EB369" s="72"/>
      <c r="EC369" s="72"/>
      <c r="ED369" s="72"/>
      <c r="EE369" s="72"/>
      <c r="EF369" s="72"/>
      <c r="EG369" s="72"/>
      <c r="EH369" s="72"/>
      <c r="EI369" s="72"/>
      <c r="EJ369" s="72"/>
      <c r="EK369" s="72"/>
      <c r="EL369" s="79"/>
      <c r="EM369" s="79"/>
      <c r="EN369" s="79"/>
      <c r="EO369" s="80"/>
      <c r="EP369" s="78"/>
    </row>
    <row r="370" spans="2:146" ht="11.25" customHeight="1" x14ac:dyDescent="0.2">
      <c r="B370" s="70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9"/>
      <c r="EM370" s="79"/>
      <c r="EN370" s="79"/>
      <c r="EO370" s="80"/>
      <c r="EP370" s="78"/>
    </row>
    <row r="371" spans="2:146" ht="11.25" customHeight="1" x14ac:dyDescent="0.2">
      <c r="B371" s="70"/>
      <c r="C371" s="71"/>
      <c r="D371" s="71"/>
      <c r="E371" s="71"/>
      <c r="F371" s="71"/>
      <c r="G371" s="71"/>
      <c r="H371" s="71"/>
      <c r="I371" s="71"/>
      <c r="J371" s="71"/>
      <c r="K371" s="71"/>
      <c r="L371" s="71" t="str">
        <f>TEXT(60,"#,##0.#######")</f>
        <v>60.</v>
      </c>
      <c r="M371" s="71"/>
      <c r="N371" s="71" t="s">
        <v>542</v>
      </c>
      <c r="O371" s="71"/>
      <c r="P371" s="71" t="s">
        <v>540</v>
      </c>
      <c r="Q371" s="71" t="s">
        <v>542</v>
      </c>
      <c r="R371" s="71"/>
      <c r="S371" s="71" t="s">
        <v>84</v>
      </c>
      <c r="T371" s="71" t="s">
        <v>542</v>
      </c>
      <c r="U371" s="71"/>
      <c r="V371" s="71" t="s">
        <v>282</v>
      </c>
      <c r="W371" s="71"/>
      <c r="X371" s="71"/>
      <c r="Y371" s="71"/>
      <c r="Z371" s="71"/>
      <c r="AA371" s="71"/>
      <c r="AB371" s="71"/>
      <c r="AC371" s="71"/>
      <c r="AD371" s="71" t="str">
        <f>TEXT(L371,"#,##0.#######")</f>
        <v>60.</v>
      </c>
      <c r="AE371" s="71"/>
      <c r="AF371" s="71" t="s">
        <v>542</v>
      </c>
      <c r="AG371" s="71"/>
      <c r="AH371" s="71" t="str">
        <f>TEXT(AJ353,"#,##0.#######")</f>
        <v>8.57</v>
      </c>
      <c r="AI371" s="71"/>
      <c r="AJ371" s="71"/>
      <c r="AK371" s="71"/>
      <c r="AL371" s="71" t="s">
        <v>542</v>
      </c>
      <c r="AM371" s="71"/>
      <c r="AN371" s="71" t="str">
        <f>TEXT(AU351,"#,##0.#######")</f>
        <v>1.</v>
      </c>
      <c r="AO371" s="71" t="s">
        <v>542</v>
      </c>
      <c r="AP371" s="71"/>
      <c r="AQ371" s="71" t="str">
        <f>TEXT(AY353,"#,##0.#######")</f>
        <v>0.9</v>
      </c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9"/>
      <c r="EM371" s="79"/>
      <c r="EN371" s="79"/>
      <c r="EO371" s="80"/>
      <c r="EP371" s="78"/>
    </row>
    <row r="372" spans="2:146" ht="11.25" customHeight="1" x14ac:dyDescent="0.2">
      <c r="B372" s="70"/>
      <c r="C372" s="71"/>
      <c r="D372" s="71"/>
      <c r="E372" s="71"/>
      <c r="F372" s="71"/>
      <c r="G372" s="71" t="s">
        <v>40</v>
      </c>
      <c r="H372" s="71"/>
      <c r="I372" s="71" t="s">
        <v>254</v>
      </c>
      <c r="J372" s="71"/>
      <c r="K372" s="71" t="s">
        <v>182</v>
      </c>
      <c r="L372" s="71"/>
      <c r="M372" s="71" t="s">
        <v>182</v>
      </c>
      <c r="N372" s="71"/>
      <c r="O372" s="71" t="s">
        <v>182</v>
      </c>
      <c r="P372" s="71"/>
      <c r="Q372" s="71" t="s">
        <v>182</v>
      </c>
      <c r="R372" s="71"/>
      <c r="S372" s="71" t="s">
        <v>182</v>
      </c>
      <c r="T372" s="71"/>
      <c r="U372" s="71" t="s">
        <v>182</v>
      </c>
      <c r="V372" s="71"/>
      <c r="W372" s="71" t="s">
        <v>182</v>
      </c>
      <c r="X372" s="71"/>
      <c r="Y372" s="71"/>
      <c r="Z372" s="71"/>
      <c r="AA372" s="71" t="s">
        <v>254</v>
      </c>
      <c r="AB372" s="71"/>
      <c r="AC372" s="71" t="s">
        <v>182</v>
      </c>
      <c r="AD372" s="71"/>
      <c r="AE372" s="71" t="s">
        <v>182</v>
      </c>
      <c r="AF372" s="71"/>
      <c r="AG372" s="71" t="s">
        <v>182</v>
      </c>
      <c r="AH372" s="71"/>
      <c r="AI372" s="71" t="s">
        <v>182</v>
      </c>
      <c r="AJ372" s="71"/>
      <c r="AK372" s="71" t="s">
        <v>182</v>
      </c>
      <c r="AL372" s="71"/>
      <c r="AM372" s="71" t="s">
        <v>182</v>
      </c>
      <c r="AN372" s="71"/>
      <c r="AO372" s="71" t="s">
        <v>182</v>
      </c>
      <c r="AP372" s="71"/>
      <c r="AQ372" s="71" t="s">
        <v>182</v>
      </c>
      <c r="AR372" s="71"/>
      <c r="AS372" s="71" t="s">
        <v>182</v>
      </c>
      <c r="AT372" s="71"/>
      <c r="AU372" s="71"/>
      <c r="AV372" s="71" t="s">
        <v>254</v>
      </c>
      <c r="AW372" s="71"/>
      <c r="AX372" s="71" t="str">
        <f>TEXT(ROUND((60*AJ353*AU351*AY353)/(BR367),2),"#,##0.#######")</f>
        <v>5.23</v>
      </c>
      <c r="AY372" s="71"/>
      <c r="AZ372" s="71"/>
      <c r="BA372" s="71"/>
      <c r="BB372" s="71"/>
      <c r="BC372" s="71"/>
      <c r="BD372" s="71"/>
      <c r="BE372" s="71" t="s">
        <v>452</v>
      </c>
      <c r="BF372" s="71"/>
      <c r="BG372" s="71" t="s">
        <v>112</v>
      </c>
      <c r="BH372" s="71" t="s">
        <v>467</v>
      </c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9"/>
      <c r="EM372" s="79"/>
      <c r="EN372" s="79"/>
      <c r="EO372" s="80"/>
      <c r="EP372" s="78"/>
    </row>
    <row r="373" spans="2:146" ht="11.25" customHeight="1" x14ac:dyDescent="0.2">
      <c r="B373" s="70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 t="s">
        <v>91</v>
      </c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 t="str">
        <f>TEXT(BR367,"#,##0.#######")</f>
        <v>88.41</v>
      </c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  <c r="EJ373" s="72"/>
      <c r="EK373" s="72"/>
      <c r="EL373" s="79"/>
      <c r="EM373" s="79"/>
      <c r="EN373" s="79"/>
      <c r="EO373" s="80"/>
      <c r="EP373" s="78"/>
    </row>
    <row r="374" spans="2:146" ht="11.25" customHeight="1" x14ac:dyDescent="0.2">
      <c r="B374" s="70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72"/>
      <c r="DK374" s="72"/>
      <c r="DL374" s="72"/>
      <c r="DM374" s="72"/>
      <c r="DN374" s="72"/>
      <c r="DO374" s="72"/>
      <c r="DP374" s="72"/>
      <c r="DQ374" s="72"/>
      <c r="DR374" s="72"/>
      <c r="DS374" s="72"/>
      <c r="DT374" s="72"/>
      <c r="DU374" s="72"/>
      <c r="DV374" s="72"/>
      <c r="DW374" s="72"/>
      <c r="DX374" s="72"/>
      <c r="DY374" s="72"/>
      <c r="DZ374" s="72"/>
      <c r="EA374" s="72"/>
      <c r="EB374" s="72"/>
      <c r="EC374" s="72"/>
      <c r="ED374" s="72"/>
      <c r="EE374" s="72"/>
      <c r="EF374" s="72"/>
      <c r="EG374" s="72"/>
      <c r="EH374" s="72"/>
      <c r="EI374" s="72"/>
      <c r="EJ374" s="72"/>
      <c r="EK374" s="72"/>
      <c r="EL374" s="79"/>
      <c r="EM374" s="79"/>
      <c r="EN374" s="79"/>
      <c r="EO374" s="80"/>
      <c r="EP374" s="78"/>
    </row>
    <row r="375" spans="2:146" ht="11.25" customHeight="1" x14ac:dyDescent="0.2">
      <c r="B375" s="70"/>
      <c r="C375" s="71"/>
      <c r="D375" s="71"/>
      <c r="E375" s="71"/>
      <c r="F375" s="71"/>
      <c r="G375" s="71" t="s">
        <v>543</v>
      </c>
      <c r="H375" s="71"/>
      <c r="I375" s="71"/>
      <c r="J375" s="71"/>
      <c r="K375" s="71"/>
      <c r="L375" s="71"/>
      <c r="M375" s="71"/>
      <c r="N375" s="71" t="s">
        <v>469</v>
      </c>
      <c r="O375" s="71"/>
      <c r="P375" s="71" t="str">
        <f>TEXT(기계경비총괄표!H8,"#,##0")</f>
        <v>59,020</v>
      </c>
      <c r="Q375" s="71"/>
      <c r="R375" s="71"/>
      <c r="S375" s="71"/>
      <c r="T375" s="71"/>
      <c r="U375" s="71"/>
      <c r="V375" s="71"/>
      <c r="W375" s="71"/>
      <c r="X375" s="71"/>
      <c r="Y375" s="71" t="s">
        <v>309</v>
      </c>
      <c r="Z375" s="71"/>
      <c r="AA375" s="71"/>
      <c r="AB375" s="71" t="str">
        <f>TEXT(AX372,"#,##0.#######")</f>
        <v>5.23</v>
      </c>
      <c r="AC375" s="71"/>
      <c r="AD375" s="71"/>
      <c r="AE375" s="71"/>
      <c r="AF375" s="71"/>
      <c r="AG375" s="71"/>
      <c r="AH375" s="71"/>
      <c r="AI375" s="71" t="s">
        <v>254</v>
      </c>
      <c r="AJ375" s="71"/>
      <c r="AK375" s="71" t="str">
        <f>TEXT(TRUNC(P375/AX372,1),"#,##0.#")</f>
        <v>11,284.8</v>
      </c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2"/>
      <c r="CZ375" s="72"/>
      <c r="DA375" s="72"/>
      <c r="DB375" s="72"/>
      <c r="DC375" s="72"/>
      <c r="DD375" s="72"/>
      <c r="DE375" s="72"/>
      <c r="DF375" s="72"/>
      <c r="DG375" s="72"/>
      <c r="DH375" s="72"/>
      <c r="DI375" s="72"/>
      <c r="DJ375" s="72"/>
      <c r="DK375" s="72"/>
      <c r="DL375" s="72"/>
      <c r="DM375" s="72"/>
      <c r="DN375" s="72"/>
      <c r="DO375" s="72"/>
      <c r="DP375" s="72"/>
      <c r="DQ375" s="72"/>
      <c r="DR375" s="72"/>
      <c r="DS375" s="72"/>
      <c r="DT375" s="72"/>
      <c r="DU375" s="72"/>
      <c r="DV375" s="72"/>
      <c r="DW375" s="72"/>
      <c r="DX375" s="72"/>
      <c r="DY375" s="72"/>
      <c r="DZ375" s="72"/>
      <c r="EA375" s="72"/>
      <c r="EB375" s="72"/>
      <c r="EC375" s="72"/>
      <c r="ED375" s="72"/>
      <c r="EE375" s="72"/>
      <c r="EF375" s="72"/>
      <c r="EG375" s="72"/>
      <c r="EH375" s="72"/>
      <c r="EI375" s="72"/>
      <c r="EJ375" s="72"/>
      <c r="EK375" s="72"/>
      <c r="EL375" s="79"/>
      <c r="EM375" s="79"/>
      <c r="EN375" s="79"/>
      <c r="EO375" s="80"/>
      <c r="EP375" s="78"/>
    </row>
    <row r="376" spans="2:146" ht="11.25" customHeight="1" x14ac:dyDescent="0.2">
      <c r="B376" s="70"/>
      <c r="C376" s="71"/>
      <c r="D376" s="71"/>
      <c r="E376" s="71"/>
      <c r="F376" s="71"/>
      <c r="G376" s="71" t="s">
        <v>400</v>
      </c>
      <c r="H376" s="71"/>
      <c r="I376" s="71"/>
      <c r="J376" s="71"/>
      <c r="K376" s="71"/>
      <c r="L376" s="71"/>
      <c r="M376" s="71"/>
      <c r="N376" s="71" t="s">
        <v>469</v>
      </c>
      <c r="O376" s="71"/>
      <c r="P376" s="71" t="str">
        <f>TEXT(기계경비총괄표!G8,"#,##0")</f>
        <v>39,956</v>
      </c>
      <c r="Q376" s="71"/>
      <c r="R376" s="71"/>
      <c r="S376" s="71"/>
      <c r="T376" s="71"/>
      <c r="U376" s="71"/>
      <c r="V376" s="71"/>
      <c r="W376" s="71"/>
      <c r="X376" s="71"/>
      <c r="Y376" s="71" t="s">
        <v>309</v>
      </c>
      <c r="Z376" s="71"/>
      <c r="AA376" s="71"/>
      <c r="AB376" s="71" t="str">
        <f>TEXT(AX372,"#,##0.#######")</f>
        <v>5.23</v>
      </c>
      <c r="AC376" s="71"/>
      <c r="AD376" s="71"/>
      <c r="AE376" s="71"/>
      <c r="AF376" s="71"/>
      <c r="AG376" s="71"/>
      <c r="AH376" s="71"/>
      <c r="AI376" s="71" t="s">
        <v>254</v>
      </c>
      <c r="AJ376" s="71"/>
      <c r="AK376" s="71" t="str">
        <f>TEXT(TRUNC(P376/AX372,1),"#,##0.#")</f>
        <v>7,639.7</v>
      </c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2"/>
      <c r="CZ376" s="72"/>
      <c r="DA376" s="72"/>
      <c r="DB376" s="72"/>
      <c r="DC376" s="72"/>
      <c r="DD376" s="72"/>
      <c r="DE376" s="72"/>
      <c r="DF376" s="72"/>
      <c r="DG376" s="72"/>
      <c r="DH376" s="72"/>
      <c r="DI376" s="72"/>
      <c r="DJ376" s="72"/>
      <c r="DK376" s="72"/>
      <c r="DL376" s="72"/>
      <c r="DM376" s="72"/>
      <c r="DN376" s="72"/>
      <c r="DO376" s="72"/>
      <c r="DP376" s="72"/>
      <c r="DQ376" s="72"/>
      <c r="DR376" s="72"/>
      <c r="DS376" s="72"/>
      <c r="DT376" s="72"/>
      <c r="DU376" s="72"/>
      <c r="DV376" s="72"/>
      <c r="DW376" s="72"/>
      <c r="DX376" s="72"/>
      <c r="DY376" s="72"/>
      <c r="DZ376" s="72"/>
      <c r="EA376" s="72"/>
      <c r="EB376" s="72"/>
      <c r="EC376" s="72"/>
      <c r="ED376" s="72"/>
      <c r="EE376" s="72"/>
      <c r="EF376" s="72"/>
      <c r="EG376" s="72"/>
      <c r="EH376" s="72"/>
      <c r="EI376" s="72"/>
      <c r="EJ376" s="72"/>
      <c r="EK376" s="72"/>
      <c r="EL376" s="79"/>
      <c r="EM376" s="79"/>
      <c r="EN376" s="79"/>
      <c r="EO376" s="80"/>
      <c r="EP376" s="78"/>
    </row>
    <row r="377" spans="2:146" ht="11.25" customHeight="1" x14ac:dyDescent="0.2">
      <c r="B377" s="70"/>
      <c r="C377" s="71"/>
      <c r="D377" s="71"/>
      <c r="E377" s="71"/>
      <c r="F377" s="71"/>
      <c r="G377" s="71" t="s">
        <v>147</v>
      </c>
      <c r="H377" s="71"/>
      <c r="I377" s="71"/>
      <c r="J377" s="71"/>
      <c r="K377" s="71" t="s">
        <v>342</v>
      </c>
      <c r="L377" s="71"/>
      <c r="M377" s="71"/>
      <c r="N377" s="71" t="s">
        <v>469</v>
      </c>
      <c r="O377" s="71"/>
      <c r="P377" s="71" t="str">
        <f>TEXT(기계경비총괄표!I8,"#,##0")</f>
        <v>21,098</v>
      </c>
      <c r="Q377" s="71"/>
      <c r="R377" s="71"/>
      <c r="S377" s="71"/>
      <c r="T377" s="71"/>
      <c r="U377" s="71"/>
      <c r="V377" s="71"/>
      <c r="W377" s="71"/>
      <c r="X377" s="71"/>
      <c r="Y377" s="71" t="s">
        <v>309</v>
      </c>
      <c r="Z377" s="71"/>
      <c r="AA377" s="71"/>
      <c r="AB377" s="71" t="str">
        <f>TEXT(AX372,"#,##0.#######")</f>
        <v>5.23</v>
      </c>
      <c r="AC377" s="71"/>
      <c r="AD377" s="71"/>
      <c r="AE377" s="71"/>
      <c r="AF377" s="71"/>
      <c r="AG377" s="71"/>
      <c r="AH377" s="71"/>
      <c r="AI377" s="71" t="s">
        <v>254</v>
      </c>
      <c r="AJ377" s="71"/>
      <c r="AK377" s="71" t="str">
        <f>TEXT(TRUNC(P377/AX372,1),"#,##0.#")</f>
        <v>4,034.</v>
      </c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2"/>
      <c r="CZ377" s="72"/>
      <c r="DA377" s="72"/>
      <c r="DB377" s="72"/>
      <c r="DC377" s="72"/>
      <c r="DD377" s="72"/>
      <c r="DE377" s="72"/>
      <c r="DF377" s="72"/>
      <c r="DG377" s="72"/>
      <c r="DH377" s="72"/>
      <c r="DI377" s="72"/>
      <c r="DJ377" s="72"/>
      <c r="DK377" s="72"/>
      <c r="DL377" s="72"/>
      <c r="DM377" s="72"/>
      <c r="DN377" s="72"/>
      <c r="DO377" s="72"/>
      <c r="DP377" s="72"/>
      <c r="DQ377" s="72"/>
      <c r="DR377" s="72"/>
      <c r="DS377" s="72"/>
      <c r="DT377" s="72"/>
      <c r="DU377" s="72"/>
      <c r="DV377" s="72"/>
      <c r="DW377" s="72"/>
      <c r="DX377" s="72"/>
      <c r="DY377" s="72"/>
      <c r="DZ377" s="72"/>
      <c r="EA377" s="72"/>
      <c r="EB377" s="72"/>
      <c r="EC377" s="72"/>
      <c r="ED377" s="72"/>
      <c r="EE377" s="72"/>
      <c r="EF377" s="72"/>
      <c r="EG377" s="72"/>
      <c r="EH377" s="72"/>
      <c r="EI377" s="72"/>
      <c r="EJ377" s="72"/>
      <c r="EK377" s="72"/>
      <c r="EL377" s="79"/>
      <c r="EM377" s="79"/>
      <c r="EN377" s="79"/>
      <c r="EO377" s="80"/>
      <c r="EP377" s="78"/>
    </row>
    <row r="378" spans="2:146" ht="11.25" customHeight="1" x14ac:dyDescent="0.2">
      <c r="B378" s="70"/>
      <c r="C378" s="71"/>
      <c r="D378" s="71"/>
      <c r="E378" s="71"/>
      <c r="F378" s="71"/>
      <c r="G378" s="71" t="s">
        <v>252</v>
      </c>
      <c r="H378" s="71"/>
      <c r="I378" s="71"/>
      <c r="J378" s="71"/>
      <c r="K378" s="71" t="s">
        <v>341</v>
      </c>
      <c r="L378" s="71"/>
      <c r="M378" s="71"/>
      <c r="N378" s="71" t="s">
        <v>469</v>
      </c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 t="str">
        <f>TEXT(AK375+AK376+AK377,"#,##0.#######")</f>
        <v>22,958.5</v>
      </c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2"/>
      <c r="CZ378" s="72"/>
      <c r="DA378" s="72"/>
      <c r="DB378" s="72"/>
      <c r="DC378" s="72"/>
      <c r="DD378" s="72"/>
      <c r="DE378" s="72"/>
      <c r="DF378" s="72"/>
      <c r="DG378" s="72"/>
      <c r="DH378" s="72"/>
      <c r="DI378" s="72"/>
      <c r="DJ378" s="72"/>
      <c r="DK378" s="72"/>
      <c r="DL378" s="72"/>
      <c r="DM378" s="72"/>
      <c r="DN378" s="72"/>
      <c r="DO378" s="72"/>
      <c r="DP378" s="72"/>
      <c r="DQ378" s="72"/>
      <c r="DR378" s="72"/>
      <c r="DS378" s="72"/>
      <c r="DT378" s="72"/>
      <c r="DU378" s="72"/>
      <c r="DV378" s="72"/>
      <c r="DW378" s="72"/>
      <c r="DX378" s="72"/>
      <c r="DY378" s="72"/>
      <c r="DZ378" s="72"/>
      <c r="EA378" s="72"/>
      <c r="EB378" s="72"/>
      <c r="EC378" s="72"/>
      <c r="ED378" s="72"/>
      <c r="EE378" s="72"/>
      <c r="EF378" s="72"/>
      <c r="EG378" s="72"/>
      <c r="EH378" s="72"/>
      <c r="EI378" s="72"/>
      <c r="EJ378" s="72"/>
      <c r="EK378" s="72"/>
      <c r="EL378" s="79">
        <f>EN378+EM378+EO378</f>
        <v>22958.5</v>
      </c>
      <c r="EM378" s="79" t="str">
        <f>TEXT(AK376,"#,###.0")</f>
        <v>7,639.7</v>
      </c>
      <c r="EN378" s="79" t="str">
        <f>TEXT(AK375,"#,###.0")</f>
        <v>11,284.8</v>
      </c>
      <c r="EO378" s="80" t="str">
        <f>TEXT(AK377,"#,###.0")</f>
        <v>4,034.0</v>
      </c>
      <c r="EP378" s="78"/>
    </row>
    <row r="379" spans="2:146" ht="11.25" customHeight="1" x14ac:dyDescent="0.2">
      <c r="B379" s="70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2"/>
      <c r="CZ379" s="72"/>
      <c r="DA379" s="72"/>
      <c r="DB379" s="72"/>
      <c r="DC379" s="72"/>
      <c r="DD379" s="72"/>
      <c r="DE379" s="72"/>
      <c r="DF379" s="72"/>
      <c r="DG379" s="72"/>
      <c r="DH379" s="72"/>
      <c r="DI379" s="72"/>
      <c r="DJ379" s="72"/>
      <c r="DK379" s="72"/>
      <c r="DL379" s="72"/>
      <c r="DM379" s="72"/>
      <c r="DN379" s="72"/>
      <c r="DO379" s="72"/>
      <c r="DP379" s="72"/>
      <c r="DQ379" s="72"/>
      <c r="DR379" s="72"/>
      <c r="DS379" s="72"/>
      <c r="DT379" s="72"/>
      <c r="DU379" s="72"/>
      <c r="DV379" s="72"/>
      <c r="DW379" s="72"/>
      <c r="DX379" s="72"/>
      <c r="DY379" s="72"/>
      <c r="DZ379" s="72"/>
      <c r="EA379" s="72"/>
      <c r="EB379" s="72"/>
      <c r="EC379" s="72"/>
      <c r="ED379" s="72"/>
      <c r="EE379" s="72"/>
      <c r="EF379" s="72"/>
      <c r="EG379" s="72"/>
      <c r="EH379" s="72"/>
      <c r="EI379" s="72"/>
      <c r="EJ379" s="72"/>
      <c r="EK379" s="72"/>
      <c r="EL379" s="79"/>
      <c r="EM379" s="79"/>
      <c r="EN379" s="79"/>
      <c r="EO379" s="80"/>
      <c r="EP379" s="78"/>
    </row>
    <row r="380" spans="2:146" ht="11.25" customHeight="1" x14ac:dyDescent="0.2">
      <c r="B380" s="70"/>
      <c r="C380" s="71"/>
      <c r="D380" s="71" t="s">
        <v>655</v>
      </c>
      <c r="E380" s="71"/>
      <c r="F380" s="71"/>
      <c r="G380" s="71" t="s">
        <v>437</v>
      </c>
      <c r="H380" s="71"/>
      <c r="I380" s="71"/>
      <c r="J380" s="71"/>
      <c r="K380" s="71" t="s">
        <v>341</v>
      </c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2"/>
      <c r="CZ380" s="72"/>
      <c r="DA380" s="72"/>
      <c r="DB380" s="72"/>
      <c r="DC380" s="72"/>
      <c r="DD380" s="72"/>
      <c r="DE380" s="72"/>
      <c r="DF380" s="72"/>
      <c r="DG380" s="72"/>
      <c r="DH380" s="72"/>
      <c r="DI380" s="72"/>
      <c r="DJ380" s="72"/>
      <c r="DK380" s="72"/>
      <c r="DL380" s="72"/>
      <c r="DM380" s="72"/>
      <c r="DN380" s="72"/>
      <c r="DO380" s="72"/>
      <c r="DP380" s="72"/>
      <c r="DQ380" s="72"/>
      <c r="DR380" s="72"/>
      <c r="DS380" s="72"/>
      <c r="DT380" s="72"/>
      <c r="DU380" s="72"/>
      <c r="DV380" s="72"/>
      <c r="DW380" s="72"/>
      <c r="DX380" s="72"/>
      <c r="DY380" s="72"/>
      <c r="DZ380" s="72"/>
      <c r="EA380" s="72"/>
      <c r="EB380" s="72"/>
      <c r="EC380" s="72"/>
      <c r="ED380" s="72"/>
      <c r="EE380" s="72"/>
      <c r="EF380" s="72"/>
      <c r="EG380" s="72"/>
      <c r="EH380" s="72"/>
      <c r="EI380" s="72"/>
      <c r="EJ380" s="72"/>
      <c r="EK380" s="72"/>
      <c r="EL380" s="79"/>
      <c r="EM380" s="79"/>
      <c r="EN380" s="79"/>
      <c r="EO380" s="80"/>
      <c r="EP380" s="78"/>
    </row>
    <row r="381" spans="2:146" ht="11.25" customHeight="1" x14ac:dyDescent="0.2">
      <c r="B381" s="70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2"/>
      <c r="CZ381" s="72"/>
      <c r="DA381" s="72"/>
      <c r="DB381" s="72"/>
      <c r="DC381" s="72"/>
      <c r="DD381" s="72"/>
      <c r="DE381" s="72"/>
      <c r="DF381" s="72"/>
      <c r="DG381" s="72"/>
      <c r="DH381" s="72"/>
      <c r="DI381" s="72"/>
      <c r="DJ381" s="72"/>
      <c r="DK381" s="72"/>
      <c r="DL381" s="72"/>
      <c r="DM381" s="72"/>
      <c r="DN381" s="72"/>
      <c r="DO381" s="72"/>
      <c r="DP381" s="72"/>
      <c r="DQ381" s="72"/>
      <c r="DR381" s="72"/>
      <c r="DS381" s="72"/>
      <c r="DT381" s="72"/>
      <c r="DU381" s="72"/>
      <c r="DV381" s="72"/>
      <c r="DW381" s="72"/>
      <c r="DX381" s="72"/>
      <c r="DY381" s="72"/>
      <c r="DZ381" s="72"/>
      <c r="EA381" s="72"/>
      <c r="EB381" s="72"/>
      <c r="EC381" s="72"/>
      <c r="ED381" s="72"/>
      <c r="EE381" s="72"/>
      <c r="EF381" s="72"/>
      <c r="EG381" s="72"/>
      <c r="EH381" s="72"/>
      <c r="EI381" s="72"/>
      <c r="EJ381" s="72"/>
      <c r="EK381" s="72"/>
      <c r="EL381" s="79"/>
      <c r="EM381" s="79"/>
      <c r="EN381" s="79"/>
      <c r="EO381" s="80"/>
      <c r="EP381" s="78"/>
    </row>
    <row r="382" spans="2:146" ht="11.25" customHeight="1" x14ac:dyDescent="0.2">
      <c r="B382" s="70"/>
      <c r="C382" s="71"/>
      <c r="D382" s="71"/>
      <c r="E382" s="71"/>
      <c r="F382" s="71"/>
      <c r="G382" s="71"/>
      <c r="H382" s="71"/>
      <c r="I382" s="71" t="s">
        <v>543</v>
      </c>
      <c r="J382" s="71"/>
      <c r="K382" s="71"/>
      <c r="L382" s="71"/>
      <c r="M382" s="71"/>
      <c r="N382" s="71"/>
      <c r="O382" s="71"/>
      <c r="P382" s="71" t="s">
        <v>469</v>
      </c>
      <c r="Q382" s="71"/>
      <c r="R382" s="71" t="str">
        <f>TEXT(TRUNC(EN378,0),"#,##0")</f>
        <v>11,284</v>
      </c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2"/>
      <c r="CZ382" s="72"/>
      <c r="DA382" s="72"/>
      <c r="DB382" s="72"/>
      <c r="DC382" s="72"/>
      <c r="DD382" s="72"/>
      <c r="DE382" s="72"/>
      <c r="DF382" s="72"/>
      <c r="DG382" s="72"/>
      <c r="DH382" s="72"/>
      <c r="DI382" s="72"/>
      <c r="DJ382" s="72"/>
      <c r="DK382" s="72"/>
      <c r="DL382" s="72"/>
      <c r="DM382" s="72"/>
      <c r="DN382" s="72"/>
      <c r="DO382" s="72"/>
      <c r="DP382" s="72"/>
      <c r="DQ382" s="72"/>
      <c r="DR382" s="72"/>
      <c r="DS382" s="72"/>
      <c r="DT382" s="72"/>
      <c r="DU382" s="72"/>
      <c r="DV382" s="72"/>
      <c r="DW382" s="72"/>
      <c r="DX382" s="72"/>
      <c r="DY382" s="72"/>
      <c r="DZ382" s="72"/>
      <c r="EA382" s="72"/>
      <c r="EB382" s="72"/>
      <c r="EC382" s="72"/>
      <c r="ED382" s="72"/>
      <c r="EE382" s="72"/>
      <c r="EF382" s="72"/>
      <c r="EG382" s="72"/>
      <c r="EH382" s="72"/>
      <c r="EI382" s="72"/>
      <c r="EJ382" s="72"/>
      <c r="EK382" s="72"/>
      <c r="EL382" s="79"/>
      <c r="EM382" s="79"/>
      <c r="EN382" s="79"/>
      <c r="EO382" s="80"/>
      <c r="EP382" s="78"/>
    </row>
    <row r="383" spans="2:146" ht="11.25" customHeight="1" x14ac:dyDescent="0.2">
      <c r="B383" s="70"/>
      <c r="C383" s="71"/>
      <c r="D383" s="71"/>
      <c r="E383" s="71"/>
      <c r="F383" s="71"/>
      <c r="G383" s="71"/>
      <c r="H383" s="71"/>
      <c r="I383" s="71" t="s">
        <v>400</v>
      </c>
      <c r="J383" s="71"/>
      <c r="K383" s="71"/>
      <c r="L383" s="71"/>
      <c r="M383" s="71"/>
      <c r="N383" s="71"/>
      <c r="O383" s="71"/>
      <c r="P383" s="71" t="s">
        <v>469</v>
      </c>
      <c r="Q383" s="71"/>
      <c r="R383" s="71" t="str">
        <f>TEXT(TRUNC(EM378,0),"#,##0")</f>
        <v>7,639</v>
      </c>
      <c r="S383" s="71"/>
      <c r="T383" s="71"/>
      <c r="U383" s="71"/>
      <c r="V383" s="71"/>
      <c r="W383" s="71"/>
      <c r="X383" s="71"/>
      <c r="Y383" s="71"/>
      <c r="Z383" s="71"/>
      <c r="AA383" s="71"/>
      <c r="AB383" s="71"/>
      <c r="AC383" s="71"/>
      <c r="AD383" s="71"/>
      <c r="AE383" s="71"/>
      <c r="AF383" s="71"/>
      <c r="AG383" s="71"/>
      <c r="AH383" s="71"/>
      <c r="AI383" s="71"/>
      <c r="AJ383" s="71"/>
      <c r="AK383" s="71"/>
      <c r="AL383" s="71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2"/>
      <c r="CZ383" s="72"/>
      <c r="DA383" s="72"/>
      <c r="DB383" s="72"/>
      <c r="DC383" s="72"/>
      <c r="DD383" s="72"/>
      <c r="DE383" s="72"/>
      <c r="DF383" s="72"/>
      <c r="DG383" s="72"/>
      <c r="DH383" s="72"/>
      <c r="DI383" s="72"/>
      <c r="DJ383" s="72"/>
      <c r="DK383" s="72"/>
      <c r="DL383" s="72"/>
      <c r="DM383" s="72"/>
      <c r="DN383" s="72"/>
      <c r="DO383" s="72"/>
      <c r="DP383" s="72"/>
      <c r="DQ383" s="72"/>
      <c r="DR383" s="72"/>
      <c r="DS383" s="72"/>
      <c r="DT383" s="72"/>
      <c r="DU383" s="72"/>
      <c r="DV383" s="72"/>
      <c r="DW383" s="72"/>
      <c r="DX383" s="72"/>
      <c r="DY383" s="72"/>
      <c r="DZ383" s="72"/>
      <c r="EA383" s="72"/>
      <c r="EB383" s="72"/>
      <c r="EC383" s="72"/>
      <c r="ED383" s="72"/>
      <c r="EE383" s="72"/>
      <c r="EF383" s="72"/>
      <c r="EG383" s="72"/>
      <c r="EH383" s="72"/>
      <c r="EI383" s="72"/>
      <c r="EJ383" s="72"/>
      <c r="EK383" s="72"/>
      <c r="EL383" s="79"/>
      <c r="EM383" s="79"/>
      <c r="EN383" s="79"/>
      <c r="EO383" s="80"/>
      <c r="EP383" s="78"/>
    </row>
    <row r="384" spans="2:146" ht="11.25" customHeight="1" x14ac:dyDescent="0.2">
      <c r="B384" s="70"/>
      <c r="C384" s="71"/>
      <c r="D384" s="71"/>
      <c r="E384" s="71"/>
      <c r="F384" s="71"/>
      <c r="G384" s="71"/>
      <c r="H384" s="71"/>
      <c r="I384" s="71" t="s">
        <v>147</v>
      </c>
      <c r="J384" s="71"/>
      <c r="K384" s="71"/>
      <c r="L384" s="71"/>
      <c r="M384" s="71" t="s">
        <v>342</v>
      </c>
      <c r="N384" s="71"/>
      <c r="O384" s="71"/>
      <c r="P384" s="71" t="s">
        <v>469</v>
      </c>
      <c r="Q384" s="71"/>
      <c r="R384" s="71" t="str">
        <f>TEXT(TRUNC(EO378,0),"#,##0")</f>
        <v>4,034</v>
      </c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  <c r="CV384" s="71"/>
      <c r="CW384" s="71"/>
      <c r="CX384" s="71"/>
      <c r="CY384" s="72"/>
      <c r="CZ384" s="72"/>
      <c r="DA384" s="72"/>
      <c r="DB384" s="72"/>
      <c r="DC384" s="72"/>
      <c r="DD384" s="72"/>
      <c r="DE384" s="72"/>
      <c r="DF384" s="72"/>
      <c r="DG384" s="72"/>
      <c r="DH384" s="72"/>
      <c r="DI384" s="72"/>
      <c r="DJ384" s="72"/>
      <c r="DK384" s="72"/>
      <c r="DL384" s="72"/>
      <c r="DM384" s="72"/>
      <c r="DN384" s="72"/>
      <c r="DO384" s="72"/>
      <c r="DP384" s="72"/>
      <c r="DQ384" s="72"/>
      <c r="DR384" s="72"/>
      <c r="DS384" s="72"/>
      <c r="DT384" s="72"/>
      <c r="DU384" s="72"/>
      <c r="DV384" s="72"/>
      <c r="DW384" s="72"/>
      <c r="DX384" s="72"/>
      <c r="DY384" s="72"/>
      <c r="DZ384" s="72"/>
      <c r="EA384" s="72"/>
      <c r="EB384" s="72"/>
      <c r="EC384" s="72"/>
      <c r="ED384" s="72"/>
      <c r="EE384" s="72"/>
      <c r="EF384" s="72"/>
      <c r="EG384" s="72"/>
      <c r="EH384" s="72"/>
      <c r="EI384" s="72"/>
      <c r="EJ384" s="72"/>
      <c r="EK384" s="72"/>
      <c r="EL384" s="79"/>
      <c r="EM384" s="79"/>
      <c r="EN384" s="79"/>
      <c r="EO384" s="80"/>
      <c r="EP384" s="78"/>
    </row>
    <row r="385" spans="2:146" ht="11.25" customHeight="1" x14ac:dyDescent="0.2">
      <c r="B385" s="70"/>
      <c r="C385" s="71"/>
      <c r="D385" s="71"/>
      <c r="E385" s="71"/>
      <c r="F385" s="71"/>
      <c r="G385" s="71"/>
      <c r="H385" s="71"/>
      <c r="I385" s="71"/>
      <c r="J385" s="71"/>
      <c r="K385" s="71" t="s">
        <v>341</v>
      </c>
      <c r="L385" s="71"/>
      <c r="M385" s="71"/>
      <c r="N385" s="71"/>
      <c r="O385" s="71"/>
      <c r="P385" s="71" t="s">
        <v>469</v>
      </c>
      <c r="Q385" s="71"/>
      <c r="R385" s="71"/>
      <c r="S385" s="71" t="str">
        <f>TEXT(R382+R383+R384,"#,##0")</f>
        <v>22,957</v>
      </c>
      <c r="T385" s="71"/>
      <c r="U385" s="71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1"/>
      <c r="CV385" s="71"/>
      <c r="CW385" s="71"/>
      <c r="CX385" s="71"/>
      <c r="CY385" s="72"/>
      <c r="CZ385" s="72"/>
      <c r="DA385" s="72"/>
      <c r="DB385" s="72"/>
      <c r="DC385" s="72"/>
      <c r="DD385" s="72"/>
      <c r="DE385" s="72"/>
      <c r="DF385" s="72"/>
      <c r="DG385" s="72"/>
      <c r="DH385" s="72"/>
      <c r="DI385" s="72"/>
      <c r="DJ385" s="72"/>
      <c r="DK385" s="72"/>
      <c r="DL385" s="72"/>
      <c r="DM385" s="72"/>
      <c r="DN385" s="72"/>
      <c r="DO385" s="72"/>
      <c r="DP385" s="72"/>
      <c r="DQ385" s="72"/>
      <c r="DR385" s="72"/>
      <c r="DS385" s="72"/>
      <c r="DT385" s="72"/>
      <c r="DU385" s="72"/>
      <c r="DV385" s="72"/>
      <c r="DW385" s="72"/>
      <c r="DX385" s="72"/>
      <c r="DY385" s="72"/>
      <c r="DZ385" s="72"/>
      <c r="EA385" s="72"/>
      <c r="EB385" s="72"/>
      <c r="EC385" s="72"/>
      <c r="ED385" s="72"/>
      <c r="EE385" s="72"/>
      <c r="EF385" s="72"/>
      <c r="EG385" s="72"/>
      <c r="EH385" s="72"/>
      <c r="EI385" s="72"/>
      <c r="EJ385" s="72"/>
      <c r="EK385" s="72"/>
      <c r="EL385" s="81">
        <f>EN385+EM385+EO385</f>
        <v>22957</v>
      </c>
      <c r="EM385" s="79" t="str">
        <f>TEXT(R383,"#,##0")</f>
        <v>7,639</v>
      </c>
      <c r="EN385" s="79" t="str">
        <f>TEXT(R382,"#,##0")</f>
        <v>11,284</v>
      </c>
      <c r="EO385" s="80" t="str">
        <f>TEXT(R384,"#,##0")</f>
        <v>4,034</v>
      </c>
      <c r="EP385" s="78"/>
    </row>
    <row r="386" spans="2:146" ht="11.25" customHeight="1" x14ac:dyDescent="0.2">
      <c r="B386" s="70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2"/>
      <c r="CZ386" s="72"/>
      <c r="DA386" s="72"/>
      <c r="DB386" s="72"/>
      <c r="DC386" s="72"/>
      <c r="DD386" s="72"/>
      <c r="DE386" s="72"/>
      <c r="DF386" s="72"/>
      <c r="DG386" s="72"/>
      <c r="DH386" s="72"/>
      <c r="DI386" s="72"/>
      <c r="DJ386" s="72"/>
      <c r="DK386" s="72"/>
      <c r="DL386" s="72"/>
      <c r="DM386" s="72"/>
      <c r="DN386" s="72"/>
      <c r="DO386" s="72"/>
      <c r="DP386" s="72"/>
      <c r="DQ386" s="72"/>
      <c r="DR386" s="72"/>
      <c r="DS386" s="72"/>
      <c r="DT386" s="72"/>
      <c r="DU386" s="72"/>
      <c r="DV386" s="72"/>
      <c r="DW386" s="72"/>
      <c r="DX386" s="72"/>
      <c r="DY386" s="72"/>
      <c r="DZ386" s="72"/>
      <c r="EA386" s="72"/>
      <c r="EB386" s="72"/>
      <c r="EC386" s="72"/>
      <c r="ED386" s="72"/>
      <c r="EE386" s="72"/>
      <c r="EF386" s="72"/>
      <c r="EG386" s="72"/>
      <c r="EH386" s="72"/>
      <c r="EI386" s="72"/>
      <c r="EJ386" s="72"/>
      <c r="EK386" s="72"/>
      <c r="EL386" s="79"/>
      <c r="EM386" s="79"/>
      <c r="EN386" s="79"/>
      <c r="EO386" s="80"/>
      <c r="EP386" s="78"/>
    </row>
    <row r="387" spans="2:146" ht="11.25" customHeight="1" x14ac:dyDescent="0.2">
      <c r="B387" s="75" t="s">
        <v>271</v>
      </c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2"/>
      <c r="CZ387" s="72"/>
      <c r="DA387" s="72"/>
      <c r="DB387" s="72"/>
      <c r="DC387" s="72"/>
      <c r="DD387" s="72"/>
      <c r="DE387" s="72"/>
      <c r="DF387" s="72"/>
      <c r="DG387" s="72"/>
      <c r="DH387" s="72"/>
      <c r="DI387" s="72"/>
      <c r="DJ387" s="72"/>
      <c r="DK387" s="72"/>
      <c r="DL387" s="72"/>
      <c r="DM387" s="72"/>
      <c r="DN387" s="72"/>
      <c r="DO387" s="72"/>
      <c r="DP387" s="72"/>
      <c r="DQ387" s="72"/>
      <c r="DR387" s="72"/>
      <c r="DS387" s="72"/>
      <c r="DT387" s="72"/>
      <c r="DU387" s="72"/>
      <c r="DV387" s="72"/>
      <c r="DW387" s="72"/>
      <c r="DX387" s="72"/>
      <c r="DY387" s="72"/>
      <c r="DZ387" s="72"/>
      <c r="EA387" s="72"/>
      <c r="EB387" s="72"/>
      <c r="EC387" s="72"/>
      <c r="ED387" s="72"/>
      <c r="EE387" s="72"/>
      <c r="EF387" s="72"/>
      <c r="EG387" s="72"/>
      <c r="EH387" s="72"/>
      <c r="EI387" s="72"/>
      <c r="EJ387" s="72"/>
      <c r="EK387" s="72"/>
      <c r="EL387" s="76">
        <f>EL451</f>
        <v>372360</v>
      </c>
      <c r="EM387" s="76" t="str">
        <f>EM451</f>
        <v>85,620</v>
      </c>
      <c r="EN387" s="76" t="str">
        <f>EN451</f>
        <v>224,581</v>
      </c>
      <c r="EO387" s="77" t="str">
        <f>EO451</f>
        <v>62,159</v>
      </c>
      <c r="EP387" s="78"/>
    </row>
    <row r="388" spans="2:146" ht="11.25" customHeight="1" x14ac:dyDescent="0.2">
      <c r="B388" s="70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2"/>
      <c r="CZ388" s="72"/>
      <c r="DA388" s="72"/>
      <c r="DB388" s="72"/>
      <c r="DC388" s="72"/>
      <c r="DD388" s="72"/>
      <c r="DE388" s="72"/>
      <c r="DF388" s="72"/>
      <c r="DG388" s="72"/>
      <c r="DH388" s="72"/>
      <c r="DI388" s="72"/>
      <c r="DJ388" s="72"/>
      <c r="DK388" s="72"/>
      <c r="DL388" s="72"/>
      <c r="DM388" s="72"/>
      <c r="DN388" s="72"/>
      <c r="DO388" s="72"/>
      <c r="DP388" s="72"/>
      <c r="DQ388" s="72"/>
      <c r="DR388" s="72"/>
      <c r="DS388" s="72"/>
      <c r="DT388" s="72"/>
      <c r="DU388" s="72"/>
      <c r="DV388" s="72"/>
      <c r="DW388" s="72"/>
      <c r="DX388" s="72"/>
      <c r="DY388" s="72"/>
      <c r="DZ388" s="72"/>
      <c r="EA388" s="72"/>
      <c r="EB388" s="72"/>
      <c r="EC388" s="72"/>
      <c r="ED388" s="72"/>
      <c r="EE388" s="72"/>
      <c r="EF388" s="72"/>
      <c r="EG388" s="72"/>
      <c r="EH388" s="72"/>
      <c r="EI388" s="72"/>
      <c r="EJ388" s="72"/>
      <c r="EK388" s="72"/>
      <c r="EL388" s="79"/>
      <c r="EM388" s="79"/>
      <c r="EN388" s="79"/>
      <c r="EO388" s="80"/>
      <c r="EP388" s="78"/>
    </row>
    <row r="389" spans="2:146" ht="11.25" customHeight="1" x14ac:dyDescent="0.2">
      <c r="B389" s="70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 t="s">
        <v>504</v>
      </c>
      <c r="R389" s="71" t="s">
        <v>254</v>
      </c>
      <c r="S389" s="71" t="str">
        <f>TEXT(14.5,"#,##0.#######")</f>
        <v>14.5</v>
      </c>
      <c r="T389" s="71"/>
      <c r="U389" s="71"/>
      <c r="V389" s="71"/>
      <c r="W389" s="71" t="s">
        <v>340</v>
      </c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2"/>
      <c r="CZ389" s="72"/>
      <c r="DA389" s="72"/>
      <c r="DB389" s="72"/>
      <c r="DC389" s="72"/>
      <c r="DD389" s="72"/>
      <c r="DE389" s="72"/>
      <c r="DF389" s="72"/>
      <c r="DG389" s="72"/>
      <c r="DH389" s="72"/>
      <c r="DI389" s="72"/>
      <c r="DJ389" s="72"/>
      <c r="DK389" s="72"/>
      <c r="DL389" s="72"/>
      <c r="DM389" s="72"/>
      <c r="DN389" s="72"/>
      <c r="DO389" s="72"/>
      <c r="DP389" s="72"/>
      <c r="DQ389" s="72"/>
      <c r="DR389" s="72"/>
      <c r="DS389" s="72"/>
      <c r="DT389" s="72"/>
      <c r="DU389" s="72"/>
      <c r="DV389" s="72"/>
      <c r="DW389" s="72"/>
      <c r="DX389" s="72"/>
      <c r="DY389" s="72"/>
      <c r="DZ389" s="72"/>
      <c r="EA389" s="72"/>
      <c r="EB389" s="72"/>
      <c r="EC389" s="72"/>
      <c r="ED389" s="72"/>
      <c r="EE389" s="72"/>
      <c r="EF389" s="72"/>
      <c r="EG389" s="72"/>
      <c r="EH389" s="72"/>
      <c r="EI389" s="72"/>
      <c r="EJ389" s="72"/>
      <c r="EK389" s="72"/>
      <c r="EL389" s="79"/>
      <c r="EM389" s="79"/>
      <c r="EN389" s="79"/>
      <c r="EO389" s="80"/>
      <c r="EP389" s="78"/>
    </row>
    <row r="390" spans="2:146" ht="11.25" customHeight="1" x14ac:dyDescent="0.2">
      <c r="B390" s="70"/>
      <c r="C390" s="71"/>
      <c r="D390" s="71"/>
      <c r="E390" s="71"/>
      <c r="F390" s="71"/>
      <c r="G390" s="71" t="s">
        <v>219</v>
      </c>
      <c r="H390" s="71"/>
      <c r="I390" s="71"/>
      <c r="J390" s="71" t="s">
        <v>130</v>
      </c>
      <c r="K390" s="71"/>
      <c r="L390" s="71"/>
      <c r="M390" s="71" t="s">
        <v>22</v>
      </c>
      <c r="N390" s="71" t="s">
        <v>22</v>
      </c>
      <c r="O390" s="71" t="s">
        <v>22</v>
      </c>
      <c r="P390" s="71" t="s">
        <v>22</v>
      </c>
      <c r="Q390" s="71" t="s">
        <v>22</v>
      </c>
      <c r="R390" s="71" t="s">
        <v>22</v>
      </c>
      <c r="S390" s="71" t="s">
        <v>22</v>
      </c>
      <c r="T390" s="71" t="s">
        <v>22</v>
      </c>
      <c r="U390" s="71" t="s">
        <v>22</v>
      </c>
      <c r="V390" s="71" t="s">
        <v>22</v>
      </c>
      <c r="W390" s="71" t="s">
        <v>22</v>
      </c>
      <c r="X390" s="71" t="s">
        <v>22</v>
      </c>
      <c r="Y390" s="71" t="s">
        <v>22</v>
      </c>
      <c r="Z390" s="71" t="s">
        <v>22</v>
      </c>
      <c r="AA390" s="71" t="s">
        <v>22</v>
      </c>
      <c r="AB390" s="71"/>
      <c r="AC390" s="71" t="s">
        <v>577</v>
      </c>
      <c r="AD390" s="71"/>
      <c r="AE390" s="71"/>
      <c r="AF390" s="71" t="s">
        <v>466</v>
      </c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2"/>
      <c r="CZ390" s="72"/>
      <c r="DA390" s="72"/>
      <c r="DB390" s="72"/>
      <c r="DC390" s="72"/>
      <c r="DD390" s="72"/>
      <c r="DE390" s="72"/>
      <c r="DF390" s="72"/>
      <c r="DG390" s="72"/>
      <c r="DH390" s="72"/>
      <c r="DI390" s="72"/>
      <c r="DJ390" s="72"/>
      <c r="DK390" s="72"/>
      <c r="DL390" s="72"/>
      <c r="DM390" s="72"/>
      <c r="DN390" s="72"/>
      <c r="DO390" s="72"/>
      <c r="DP390" s="72"/>
      <c r="DQ390" s="72"/>
      <c r="DR390" s="72"/>
      <c r="DS390" s="72"/>
      <c r="DT390" s="72"/>
      <c r="DU390" s="72"/>
      <c r="DV390" s="72"/>
      <c r="DW390" s="72"/>
      <c r="DX390" s="72"/>
      <c r="DY390" s="72"/>
      <c r="DZ390" s="72"/>
      <c r="EA390" s="72"/>
      <c r="EB390" s="72"/>
      <c r="EC390" s="72"/>
      <c r="ED390" s="72"/>
      <c r="EE390" s="72"/>
      <c r="EF390" s="72"/>
      <c r="EG390" s="72"/>
      <c r="EH390" s="72"/>
      <c r="EI390" s="72"/>
      <c r="EJ390" s="72"/>
      <c r="EK390" s="72"/>
      <c r="EL390" s="79"/>
      <c r="EM390" s="79"/>
      <c r="EN390" s="79"/>
      <c r="EO390" s="80"/>
      <c r="EP390" s="78"/>
    </row>
    <row r="391" spans="2:146" ht="11.25" customHeight="1" x14ac:dyDescent="0.2">
      <c r="B391" s="70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2"/>
      <c r="CZ391" s="72"/>
      <c r="DA391" s="72"/>
      <c r="DB391" s="72"/>
      <c r="DC391" s="72"/>
      <c r="DD391" s="72"/>
      <c r="DE391" s="72"/>
      <c r="DF391" s="72"/>
      <c r="DG391" s="72"/>
      <c r="DH391" s="72"/>
      <c r="DI391" s="72"/>
      <c r="DJ391" s="72"/>
      <c r="DK391" s="72"/>
      <c r="DL391" s="72"/>
      <c r="DM391" s="72"/>
      <c r="DN391" s="72"/>
      <c r="DO391" s="72"/>
      <c r="DP391" s="72"/>
      <c r="DQ391" s="72"/>
      <c r="DR391" s="72"/>
      <c r="DS391" s="72"/>
      <c r="DT391" s="72"/>
      <c r="DU391" s="72"/>
      <c r="DV391" s="72"/>
      <c r="DW391" s="72"/>
      <c r="DX391" s="72"/>
      <c r="DY391" s="72"/>
      <c r="DZ391" s="72"/>
      <c r="EA391" s="72"/>
      <c r="EB391" s="72"/>
      <c r="EC391" s="72"/>
      <c r="ED391" s="72"/>
      <c r="EE391" s="72"/>
      <c r="EF391" s="72"/>
      <c r="EG391" s="72"/>
      <c r="EH391" s="72"/>
      <c r="EI391" s="72"/>
      <c r="EJ391" s="72"/>
      <c r="EK391" s="72"/>
      <c r="EL391" s="79"/>
      <c r="EM391" s="79"/>
      <c r="EN391" s="79"/>
      <c r="EO391" s="80"/>
      <c r="EP391" s="78"/>
    </row>
    <row r="392" spans="2:146" ht="11.25" customHeight="1" x14ac:dyDescent="0.2">
      <c r="B392" s="70"/>
      <c r="C392" s="71"/>
      <c r="D392" s="71"/>
      <c r="E392" s="71" t="s">
        <v>5</v>
      </c>
      <c r="F392" s="71"/>
      <c r="G392" s="71"/>
      <c r="H392" s="71" t="s">
        <v>319</v>
      </c>
      <c r="I392" s="71"/>
      <c r="J392" s="71"/>
      <c r="K392" s="71"/>
      <c r="L392" s="71"/>
      <c r="M392" s="71"/>
      <c r="N392" s="71"/>
      <c r="O392" s="71"/>
      <c r="P392" s="71" t="s">
        <v>336</v>
      </c>
      <c r="Q392" s="71" t="s">
        <v>553</v>
      </c>
      <c r="R392" s="71"/>
      <c r="S392" s="71" t="s">
        <v>441</v>
      </c>
      <c r="T392" s="71"/>
      <c r="U392" s="71"/>
      <c r="V392" s="71" t="s">
        <v>80</v>
      </c>
      <c r="W392" s="71"/>
      <c r="X392" s="71" t="s">
        <v>151</v>
      </c>
      <c r="Y392" s="71"/>
      <c r="Z392" s="71"/>
      <c r="AA392" s="71" t="s">
        <v>651</v>
      </c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2"/>
      <c r="CZ392" s="72"/>
      <c r="DA392" s="72"/>
      <c r="DB392" s="72"/>
      <c r="DC392" s="72"/>
      <c r="DD392" s="72"/>
      <c r="DE392" s="72"/>
      <c r="DF392" s="72"/>
      <c r="DG392" s="72"/>
      <c r="DH392" s="72"/>
      <c r="DI392" s="72"/>
      <c r="DJ392" s="72"/>
      <c r="DK392" s="72"/>
      <c r="DL392" s="72"/>
      <c r="DM392" s="72"/>
      <c r="DN392" s="72"/>
      <c r="DO392" s="72"/>
      <c r="DP392" s="72"/>
      <c r="DQ392" s="72"/>
      <c r="DR392" s="72"/>
      <c r="DS392" s="72"/>
      <c r="DT392" s="72"/>
      <c r="DU392" s="72"/>
      <c r="DV392" s="72"/>
      <c r="DW392" s="72"/>
      <c r="DX392" s="72"/>
      <c r="DY392" s="72"/>
      <c r="DZ392" s="72"/>
      <c r="EA392" s="72"/>
      <c r="EB392" s="72"/>
      <c r="EC392" s="72"/>
      <c r="ED392" s="72"/>
      <c r="EE392" s="72"/>
      <c r="EF392" s="72"/>
      <c r="EG392" s="72"/>
      <c r="EH392" s="72"/>
      <c r="EI392" s="72"/>
      <c r="EJ392" s="72"/>
      <c r="EK392" s="72"/>
      <c r="EL392" s="79"/>
      <c r="EM392" s="79"/>
      <c r="EN392" s="79"/>
      <c r="EO392" s="80"/>
      <c r="EP392" s="78"/>
    </row>
    <row r="393" spans="2:146" ht="11.25" customHeight="1" x14ac:dyDescent="0.2">
      <c r="B393" s="70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2"/>
      <c r="CZ393" s="72"/>
      <c r="DA393" s="72"/>
      <c r="DB393" s="72"/>
      <c r="DC393" s="72"/>
      <c r="DD393" s="72"/>
      <c r="DE393" s="72"/>
      <c r="DF393" s="72"/>
      <c r="DG393" s="72"/>
      <c r="DH393" s="72"/>
      <c r="DI393" s="72"/>
      <c r="DJ393" s="72"/>
      <c r="DK393" s="72"/>
      <c r="DL393" s="72"/>
      <c r="DM393" s="72"/>
      <c r="DN393" s="72"/>
      <c r="DO393" s="72"/>
      <c r="DP393" s="72"/>
      <c r="DQ393" s="72"/>
      <c r="DR393" s="72"/>
      <c r="DS393" s="72"/>
      <c r="DT393" s="72"/>
      <c r="DU393" s="72"/>
      <c r="DV393" s="72"/>
      <c r="DW393" s="72"/>
      <c r="DX393" s="72"/>
      <c r="DY393" s="72"/>
      <c r="DZ393" s="72"/>
      <c r="EA393" s="72"/>
      <c r="EB393" s="72"/>
      <c r="EC393" s="72"/>
      <c r="ED393" s="72"/>
      <c r="EE393" s="72"/>
      <c r="EF393" s="72"/>
      <c r="EG393" s="72"/>
      <c r="EH393" s="72"/>
      <c r="EI393" s="72"/>
      <c r="EJ393" s="72"/>
      <c r="EK393" s="72"/>
      <c r="EL393" s="79"/>
      <c r="EM393" s="79"/>
      <c r="EN393" s="79"/>
      <c r="EO393" s="80"/>
      <c r="EP393" s="78"/>
    </row>
    <row r="394" spans="2:146" ht="11.25" customHeight="1" x14ac:dyDescent="0.2">
      <c r="B394" s="70"/>
      <c r="C394" s="71"/>
      <c r="D394" s="71"/>
      <c r="E394" s="71"/>
      <c r="F394" s="71"/>
      <c r="G394" s="71" t="s">
        <v>57</v>
      </c>
      <c r="H394" s="71"/>
      <c r="I394" s="71"/>
      <c r="J394" s="71" t="s">
        <v>67</v>
      </c>
      <c r="K394" s="71"/>
      <c r="L394" s="71"/>
      <c r="M394" s="71" t="s">
        <v>158</v>
      </c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 t="s">
        <v>496</v>
      </c>
      <c r="Y394" s="71"/>
      <c r="Z394" s="71"/>
      <c r="AA394" s="71" t="s">
        <v>452</v>
      </c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 t="s">
        <v>187</v>
      </c>
      <c r="AM394" s="71" t="s">
        <v>146</v>
      </c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2"/>
      <c r="CZ394" s="72"/>
      <c r="DA394" s="72"/>
      <c r="DB394" s="72"/>
      <c r="DC394" s="72"/>
      <c r="DD394" s="72"/>
      <c r="DE394" s="72"/>
      <c r="DF394" s="72"/>
      <c r="DG394" s="72"/>
      <c r="DH394" s="72"/>
      <c r="DI394" s="72"/>
      <c r="DJ394" s="72"/>
      <c r="DK394" s="72"/>
      <c r="DL394" s="72"/>
      <c r="DM394" s="72"/>
      <c r="DN394" s="72"/>
      <c r="DO394" s="72"/>
      <c r="DP394" s="72"/>
      <c r="DQ394" s="72"/>
      <c r="DR394" s="72"/>
      <c r="DS394" s="72"/>
      <c r="DT394" s="72"/>
      <c r="DU394" s="72"/>
      <c r="DV394" s="72"/>
      <c r="DW394" s="72"/>
      <c r="DX394" s="72"/>
      <c r="DY394" s="72"/>
      <c r="DZ394" s="72"/>
      <c r="EA394" s="72"/>
      <c r="EB394" s="72"/>
      <c r="EC394" s="72"/>
      <c r="ED394" s="72"/>
      <c r="EE394" s="72"/>
      <c r="EF394" s="72"/>
      <c r="EG394" s="72"/>
      <c r="EH394" s="72"/>
      <c r="EI394" s="72"/>
      <c r="EJ394" s="72"/>
      <c r="EK394" s="72"/>
      <c r="EL394" s="79"/>
      <c r="EM394" s="79"/>
      <c r="EN394" s="79"/>
      <c r="EO394" s="80"/>
      <c r="EP394" s="78"/>
    </row>
    <row r="395" spans="2:146" ht="11.25" customHeight="1" x14ac:dyDescent="0.2">
      <c r="B395" s="70"/>
      <c r="C395" s="71"/>
      <c r="D395" s="71"/>
      <c r="E395" s="71"/>
      <c r="F395" s="71" t="s">
        <v>22</v>
      </c>
      <c r="G395" s="71" t="s">
        <v>22</v>
      </c>
      <c r="H395" s="71" t="s">
        <v>22</v>
      </c>
      <c r="I395" s="71" t="s">
        <v>22</v>
      </c>
      <c r="J395" s="71" t="s">
        <v>22</v>
      </c>
      <c r="K395" s="71" t="s">
        <v>22</v>
      </c>
      <c r="L395" s="71" t="s">
        <v>22</v>
      </c>
      <c r="M395" s="71" t="s">
        <v>22</v>
      </c>
      <c r="N395" s="71" t="s">
        <v>22</v>
      </c>
      <c r="O395" s="71" t="s">
        <v>22</v>
      </c>
      <c r="P395" s="71" t="s">
        <v>22</v>
      </c>
      <c r="Q395" s="71" t="s">
        <v>22</v>
      </c>
      <c r="R395" s="71" t="s">
        <v>22</v>
      </c>
      <c r="S395" s="71" t="s">
        <v>22</v>
      </c>
      <c r="T395" s="71" t="s">
        <v>22</v>
      </c>
      <c r="U395" s="71" t="s">
        <v>22</v>
      </c>
      <c r="V395" s="71" t="s">
        <v>22</v>
      </c>
      <c r="W395" s="71" t="s">
        <v>22</v>
      </c>
      <c r="X395" s="71" t="s">
        <v>22</v>
      </c>
      <c r="Y395" s="71" t="s">
        <v>22</v>
      </c>
      <c r="Z395" s="71" t="s">
        <v>22</v>
      </c>
      <c r="AA395" s="71" t="s">
        <v>22</v>
      </c>
      <c r="AB395" s="71" t="s">
        <v>22</v>
      </c>
      <c r="AC395" s="71" t="s">
        <v>22</v>
      </c>
      <c r="AD395" s="71" t="s">
        <v>22</v>
      </c>
      <c r="AE395" s="71" t="s">
        <v>22</v>
      </c>
      <c r="AF395" s="71" t="s">
        <v>22</v>
      </c>
      <c r="AG395" s="71" t="s">
        <v>22</v>
      </c>
      <c r="AH395" s="71" t="s">
        <v>22</v>
      </c>
      <c r="AI395" s="71" t="s">
        <v>22</v>
      </c>
      <c r="AJ395" s="71" t="s">
        <v>22</v>
      </c>
      <c r="AK395" s="71" t="s">
        <v>22</v>
      </c>
      <c r="AL395" s="71" t="s">
        <v>22</v>
      </c>
      <c r="AM395" s="71" t="s">
        <v>22</v>
      </c>
      <c r="AN395" s="71" t="s">
        <v>22</v>
      </c>
      <c r="AO395" s="71" t="s">
        <v>22</v>
      </c>
      <c r="AP395" s="71" t="s">
        <v>22</v>
      </c>
      <c r="AQ395" s="71" t="s">
        <v>22</v>
      </c>
      <c r="AR395" s="71" t="s">
        <v>22</v>
      </c>
      <c r="AS395" s="71" t="s">
        <v>22</v>
      </c>
      <c r="AT395" s="71" t="s">
        <v>22</v>
      </c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2"/>
      <c r="CZ395" s="72"/>
      <c r="DA395" s="72"/>
      <c r="DB395" s="72"/>
      <c r="DC395" s="72"/>
      <c r="DD395" s="72"/>
      <c r="DE395" s="72"/>
      <c r="DF395" s="72"/>
      <c r="DG395" s="72"/>
      <c r="DH395" s="72"/>
      <c r="DI395" s="72"/>
      <c r="DJ395" s="72"/>
      <c r="DK395" s="72"/>
      <c r="DL395" s="72"/>
      <c r="DM395" s="72"/>
      <c r="DN395" s="72"/>
      <c r="DO395" s="72"/>
      <c r="DP395" s="72"/>
      <c r="DQ395" s="72"/>
      <c r="DR395" s="72"/>
      <c r="DS395" s="72"/>
      <c r="DT395" s="72"/>
      <c r="DU395" s="72"/>
      <c r="DV395" s="72"/>
      <c r="DW395" s="72"/>
      <c r="DX395" s="72"/>
      <c r="DY395" s="72"/>
      <c r="DZ395" s="72"/>
      <c r="EA395" s="72"/>
      <c r="EB395" s="72"/>
      <c r="EC395" s="72"/>
      <c r="ED395" s="72"/>
      <c r="EE395" s="72"/>
      <c r="EF395" s="72"/>
      <c r="EG395" s="72"/>
      <c r="EH395" s="72"/>
      <c r="EI395" s="72"/>
      <c r="EJ395" s="72"/>
      <c r="EK395" s="72"/>
      <c r="EL395" s="79"/>
      <c r="EM395" s="79"/>
      <c r="EN395" s="79"/>
      <c r="EO395" s="80"/>
      <c r="EP395" s="78"/>
    </row>
    <row r="396" spans="2:146" ht="11.25" customHeight="1" x14ac:dyDescent="0.2">
      <c r="B396" s="70"/>
      <c r="C396" s="71"/>
      <c r="D396" s="71"/>
      <c r="E396" s="71"/>
      <c r="F396" s="71"/>
      <c r="G396" s="71" t="s">
        <v>319</v>
      </c>
      <c r="H396" s="71"/>
      <c r="I396" s="71"/>
      <c r="J396" s="71"/>
      <c r="K396" s="71"/>
      <c r="L396" s="71"/>
      <c r="M396" s="71"/>
      <c r="N396" s="71"/>
      <c r="O396" s="71"/>
      <c r="P396" s="71" t="s">
        <v>56</v>
      </c>
      <c r="Q396" s="71"/>
      <c r="R396" s="71"/>
      <c r="S396" s="71"/>
      <c r="T396" s="71"/>
      <c r="U396" s="71"/>
      <c r="V396" s="71"/>
      <c r="W396" s="71"/>
      <c r="X396" s="71"/>
      <c r="Y396" s="71" t="s">
        <v>469</v>
      </c>
      <c r="Z396" s="71"/>
      <c r="AA396" s="71"/>
      <c r="AB396" s="71"/>
      <c r="AC396" s="71"/>
      <c r="AD396" s="71"/>
      <c r="AE396" s="71"/>
      <c r="AF396" s="71"/>
      <c r="AG396" s="71" t="s">
        <v>429</v>
      </c>
      <c r="AH396" s="71"/>
      <c r="AI396" s="71"/>
      <c r="AJ396" s="71" t="s">
        <v>254</v>
      </c>
      <c r="AK396" s="71"/>
      <c r="AL396" s="71" t="str">
        <f>TEXT(1,"#,##0.#######")</f>
        <v>1.</v>
      </c>
      <c r="AM396" s="71" t="s">
        <v>146</v>
      </c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2"/>
      <c r="CZ396" s="72"/>
      <c r="DA396" s="72"/>
      <c r="DB396" s="72"/>
      <c r="DC396" s="72"/>
      <c r="DD396" s="72"/>
      <c r="DE396" s="72"/>
      <c r="DF396" s="72"/>
      <c r="DG396" s="72"/>
      <c r="DH396" s="72"/>
      <c r="DI396" s="72"/>
      <c r="DJ396" s="72"/>
      <c r="DK396" s="72"/>
      <c r="DL396" s="72"/>
      <c r="DM396" s="72"/>
      <c r="DN396" s="72"/>
      <c r="DO396" s="72"/>
      <c r="DP396" s="72"/>
      <c r="DQ396" s="72"/>
      <c r="DR396" s="72"/>
      <c r="DS396" s="72"/>
      <c r="DT396" s="72"/>
      <c r="DU396" s="72"/>
      <c r="DV396" s="72"/>
      <c r="DW396" s="72"/>
      <c r="DX396" s="72"/>
      <c r="DY396" s="72"/>
      <c r="DZ396" s="72"/>
      <c r="EA396" s="72"/>
      <c r="EB396" s="72"/>
      <c r="EC396" s="72"/>
      <c r="ED396" s="72"/>
      <c r="EE396" s="72"/>
      <c r="EF396" s="72"/>
      <c r="EG396" s="72"/>
      <c r="EH396" s="72"/>
      <c r="EI396" s="72"/>
      <c r="EJ396" s="72"/>
      <c r="EK396" s="72"/>
      <c r="EL396" s="79"/>
      <c r="EM396" s="79"/>
      <c r="EN396" s="79"/>
      <c r="EO396" s="80"/>
      <c r="EP396" s="78"/>
    </row>
    <row r="397" spans="2:146" ht="11.25" customHeight="1" x14ac:dyDescent="0.2">
      <c r="B397" s="70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2"/>
      <c r="CZ397" s="72"/>
      <c r="DA397" s="72"/>
      <c r="DB397" s="72"/>
      <c r="DC397" s="72"/>
      <c r="DD397" s="72"/>
      <c r="DE397" s="72"/>
      <c r="DF397" s="72"/>
      <c r="DG397" s="72"/>
      <c r="DH397" s="72"/>
      <c r="DI397" s="72"/>
      <c r="DJ397" s="72"/>
      <c r="DK397" s="72"/>
      <c r="DL397" s="72"/>
      <c r="DM397" s="72"/>
      <c r="DN397" s="72"/>
      <c r="DO397" s="72"/>
      <c r="DP397" s="72"/>
      <c r="DQ397" s="72"/>
      <c r="DR397" s="72"/>
      <c r="DS397" s="72"/>
      <c r="DT397" s="72"/>
      <c r="DU397" s="72"/>
      <c r="DV397" s="72"/>
      <c r="DW397" s="72"/>
      <c r="DX397" s="72"/>
      <c r="DY397" s="72"/>
      <c r="DZ397" s="72"/>
      <c r="EA397" s="72"/>
      <c r="EB397" s="72"/>
      <c r="EC397" s="72"/>
      <c r="ED397" s="72"/>
      <c r="EE397" s="72"/>
      <c r="EF397" s="72"/>
      <c r="EG397" s="72"/>
      <c r="EH397" s="72"/>
      <c r="EI397" s="72"/>
      <c r="EJ397" s="72"/>
      <c r="EK397" s="72"/>
      <c r="EL397" s="79"/>
      <c r="EM397" s="79"/>
      <c r="EN397" s="79"/>
      <c r="EO397" s="80"/>
      <c r="EP397" s="78"/>
    </row>
    <row r="398" spans="2:146" ht="11.25" customHeight="1" x14ac:dyDescent="0.2">
      <c r="B398" s="70"/>
      <c r="C398" s="71"/>
      <c r="D398" s="71"/>
      <c r="E398" s="71" t="s">
        <v>5</v>
      </c>
      <c r="F398" s="71"/>
      <c r="G398" s="71"/>
      <c r="H398" s="71" t="s">
        <v>645</v>
      </c>
      <c r="I398" s="71"/>
      <c r="J398" s="71"/>
      <c r="K398" s="71"/>
      <c r="L398" s="71"/>
      <c r="M398" s="71"/>
      <c r="N398" s="71"/>
      <c r="O398" s="71" t="s">
        <v>151</v>
      </c>
      <c r="P398" s="71"/>
      <c r="Q398" s="71"/>
      <c r="R398" s="71" t="s">
        <v>651</v>
      </c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2"/>
      <c r="CZ398" s="72"/>
      <c r="DA398" s="72"/>
      <c r="DB398" s="72"/>
      <c r="DC398" s="72"/>
      <c r="DD398" s="72"/>
      <c r="DE398" s="72"/>
      <c r="DF398" s="72"/>
      <c r="DG398" s="72"/>
      <c r="DH398" s="72"/>
      <c r="DI398" s="72"/>
      <c r="DJ398" s="72"/>
      <c r="DK398" s="72"/>
      <c r="DL398" s="72"/>
      <c r="DM398" s="72"/>
      <c r="DN398" s="72"/>
      <c r="DO398" s="72"/>
      <c r="DP398" s="72"/>
      <c r="DQ398" s="72"/>
      <c r="DR398" s="72"/>
      <c r="DS398" s="72"/>
      <c r="DT398" s="72"/>
      <c r="DU398" s="72"/>
      <c r="DV398" s="72"/>
      <c r="DW398" s="72"/>
      <c r="DX398" s="72"/>
      <c r="DY398" s="72"/>
      <c r="DZ398" s="72"/>
      <c r="EA398" s="72"/>
      <c r="EB398" s="72"/>
      <c r="EC398" s="72"/>
      <c r="ED398" s="72"/>
      <c r="EE398" s="72"/>
      <c r="EF398" s="72"/>
      <c r="EG398" s="72"/>
      <c r="EH398" s="72"/>
      <c r="EI398" s="72"/>
      <c r="EJ398" s="72"/>
      <c r="EK398" s="72"/>
      <c r="EL398" s="79"/>
      <c r="EM398" s="79"/>
      <c r="EN398" s="79"/>
      <c r="EO398" s="80"/>
      <c r="EP398" s="78"/>
    </row>
    <row r="399" spans="2:146" ht="11.25" customHeight="1" x14ac:dyDescent="0.2">
      <c r="B399" s="70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9"/>
      <c r="EM399" s="79"/>
      <c r="EN399" s="79"/>
      <c r="EO399" s="80"/>
      <c r="EP399" s="78"/>
    </row>
    <row r="400" spans="2:146" ht="11.25" customHeight="1" x14ac:dyDescent="0.2">
      <c r="B400" s="70"/>
      <c r="C400" s="71"/>
      <c r="D400" s="71"/>
      <c r="E400" s="71"/>
      <c r="F400" s="71"/>
      <c r="G400" s="71" t="s">
        <v>640</v>
      </c>
      <c r="H400" s="71"/>
      <c r="I400" s="71"/>
      <c r="J400" s="71" t="s">
        <v>103</v>
      </c>
      <c r="K400" s="71"/>
      <c r="L400" s="71"/>
      <c r="M400" s="71" t="s">
        <v>322</v>
      </c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 t="s">
        <v>217</v>
      </c>
      <c r="Y400" s="71"/>
      <c r="Z400" s="71"/>
      <c r="AA400" s="71"/>
      <c r="AB400" s="71"/>
      <c r="AC400" s="71" t="s">
        <v>504</v>
      </c>
      <c r="AD400" s="71"/>
      <c r="AE400" s="71"/>
      <c r="AF400" s="71"/>
      <c r="AG400" s="71"/>
      <c r="AH400" s="71"/>
      <c r="AI400" s="71"/>
      <c r="AJ400" s="71"/>
      <c r="AK400" s="71"/>
      <c r="AL400" s="71" t="s">
        <v>187</v>
      </c>
      <c r="AM400" s="71" t="s">
        <v>146</v>
      </c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9"/>
      <c r="EM400" s="79"/>
      <c r="EN400" s="79"/>
      <c r="EO400" s="80"/>
      <c r="EP400" s="78"/>
    </row>
    <row r="401" spans="2:146" ht="11.25" customHeight="1" x14ac:dyDescent="0.2">
      <c r="B401" s="70"/>
      <c r="C401" s="71"/>
      <c r="D401" s="71"/>
      <c r="E401" s="71" t="s">
        <v>22</v>
      </c>
      <c r="F401" s="71" t="s">
        <v>22</v>
      </c>
      <c r="G401" s="71" t="s">
        <v>22</v>
      </c>
      <c r="H401" s="71" t="s">
        <v>22</v>
      </c>
      <c r="I401" s="71" t="s">
        <v>22</v>
      </c>
      <c r="J401" s="71" t="s">
        <v>22</v>
      </c>
      <c r="K401" s="71" t="s">
        <v>22</v>
      </c>
      <c r="L401" s="71" t="s">
        <v>22</v>
      </c>
      <c r="M401" s="71" t="s">
        <v>22</v>
      </c>
      <c r="N401" s="71" t="s">
        <v>22</v>
      </c>
      <c r="O401" s="71" t="s">
        <v>22</v>
      </c>
      <c r="P401" s="71" t="s">
        <v>22</v>
      </c>
      <c r="Q401" s="71" t="s">
        <v>22</v>
      </c>
      <c r="R401" s="71" t="s">
        <v>22</v>
      </c>
      <c r="S401" s="71" t="s">
        <v>22</v>
      </c>
      <c r="T401" s="71" t="s">
        <v>22</v>
      </c>
      <c r="U401" s="71" t="s">
        <v>22</v>
      </c>
      <c r="V401" s="71" t="s">
        <v>22</v>
      </c>
      <c r="W401" s="71" t="s">
        <v>22</v>
      </c>
      <c r="X401" s="71" t="s">
        <v>22</v>
      </c>
      <c r="Y401" s="71" t="s">
        <v>22</v>
      </c>
      <c r="Z401" s="71" t="s">
        <v>22</v>
      </c>
      <c r="AA401" s="71" t="s">
        <v>22</v>
      </c>
      <c r="AB401" s="71" t="s">
        <v>22</v>
      </c>
      <c r="AC401" s="71" t="s">
        <v>22</v>
      </c>
      <c r="AD401" s="71" t="s">
        <v>22</v>
      </c>
      <c r="AE401" s="71" t="s">
        <v>22</v>
      </c>
      <c r="AF401" s="71" t="s">
        <v>22</v>
      </c>
      <c r="AG401" s="71" t="s">
        <v>22</v>
      </c>
      <c r="AH401" s="71" t="s">
        <v>22</v>
      </c>
      <c r="AI401" s="71" t="s">
        <v>22</v>
      </c>
      <c r="AJ401" s="71" t="s">
        <v>22</v>
      </c>
      <c r="AK401" s="71" t="s">
        <v>22</v>
      </c>
      <c r="AL401" s="71" t="s">
        <v>22</v>
      </c>
      <c r="AM401" s="71" t="s">
        <v>22</v>
      </c>
      <c r="AN401" s="71" t="s">
        <v>22</v>
      </c>
      <c r="AO401" s="71" t="s">
        <v>22</v>
      </c>
      <c r="AP401" s="71" t="s">
        <v>22</v>
      </c>
      <c r="AQ401" s="71" t="s">
        <v>22</v>
      </c>
      <c r="AR401" s="71" t="s">
        <v>22</v>
      </c>
      <c r="AS401" s="71" t="s">
        <v>22</v>
      </c>
      <c r="AT401" s="71" t="s">
        <v>22</v>
      </c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9"/>
      <c r="EM401" s="79"/>
      <c r="EN401" s="79"/>
      <c r="EO401" s="80"/>
      <c r="EP401" s="78"/>
    </row>
    <row r="402" spans="2:146" ht="11.25" customHeight="1" x14ac:dyDescent="0.2">
      <c r="B402" s="70"/>
      <c r="C402" s="71"/>
      <c r="D402" s="71"/>
      <c r="E402" s="71"/>
      <c r="F402" s="71"/>
      <c r="G402" s="71" t="s">
        <v>645</v>
      </c>
      <c r="H402" s="71"/>
      <c r="I402" s="71"/>
      <c r="J402" s="71"/>
      <c r="K402" s="71"/>
      <c r="L402" s="71"/>
      <c r="M402" s="71"/>
      <c r="N402" s="71" t="s">
        <v>56</v>
      </c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 t="s">
        <v>469</v>
      </c>
      <c r="Z402" s="71"/>
      <c r="AA402" s="71"/>
      <c r="AB402" s="71"/>
      <c r="AC402" s="71"/>
      <c r="AD402" s="71"/>
      <c r="AE402" s="71"/>
      <c r="AF402" s="71"/>
      <c r="AG402" s="71" t="s">
        <v>30</v>
      </c>
      <c r="AH402" s="71"/>
      <c r="AI402" s="71"/>
      <c r="AJ402" s="71" t="s">
        <v>254</v>
      </c>
      <c r="AK402" s="71"/>
      <c r="AL402" s="71" t="str">
        <f>TEXT(1,"#,##0.#######")</f>
        <v>1.</v>
      </c>
      <c r="AM402" s="71" t="s">
        <v>146</v>
      </c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2"/>
      <c r="CZ402" s="72"/>
      <c r="DA402" s="72"/>
      <c r="DB402" s="72"/>
      <c r="DC402" s="72"/>
      <c r="DD402" s="72"/>
      <c r="DE402" s="72"/>
      <c r="DF402" s="72"/>
      <c r="DG402" s="72"/>
      <c r="DH402" s="72"/>
      <c r="DI402" s="72"/>
      <c r="DJ402" s="72"/>
      <c r="DK402" s="72"/>
      <c r="DL402" s="72"/>
      <c r="DM402" s="72"/>
      <c r="DN402" s="72"/>
      <c r="DO402" s="72"/>
      <c r="DP402" s="72"/>
      <c r="DQ402" s="72"/>
      <c r="DR402" s="72"/>
      <c r="DS402" s="72"/>
      <c r="DT402" s="72"/>
      <c r="DU402" s="72"/>
      <c r="DV402" s="72"/>
      <c r="DW402" s="72"/>
      <c r="DX402" s="72"/>
      <c r="DY402" s="72"/>
      <c r="DZ402" s="72"/>
      <c r="EA402" s="72"/>
      <c r="EB402" s="72"/>
      <c r="EC402" s="72"/>
      <c r="ED402" s="72"/>
      <c r="EE402" s="72"/>
      <c r="EF402" s="72"/>
      <c r="EG402" s="72"/>
      <c r="EH402" s="72"/>
      <c r="EI402" s="72"/>
      <c r="EJ402" s="72"/>
      <c r="EK402" s="72"/>
      <c r="EL402" s="79"/>
      <c r="EM402" s="79"/>
      <c r="EN402" s="79"/>
      <c r="EO402" s="80"/>
      <c r="EP402" s="78"/>
    </row>
    <row r="403" spans="2:146" ht="11.25" customHeight="1" x14ac:dyDescent="0.2">
      <c r="B403" s="73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64"/>
      <c r="AI403" s="64"/>
      <c r="AJ403" s="64"/>
      <c r="AK403" s="64"/>
      <c r="AL403" s="64"/>
      <c r="AM403" s="64"/>
      <c r="AN403" s="64"/>
      <c r="AO403" s="64"/>
      <c r="AP403" s="64"/>
      <c r="AQ403" s="64"/>
      <c r="AR403" s="64"/>
      <c r="AS403" s="64"/>
      <c r="AT403" s="64"/>
      <c r="AU403" s="64"/>
      <c r="AV403" s="64"/>
      <c r="AW403" s="64"/>
      <c r="AX403" s="64"/>
      <c r="AY403" s="64"/>
      <c r="AZ403" s="64"/>
      <c r="BA403" s="64"/>
      <c r="BB403" s="64"/>
      <c r="BC403" s="64"/>
      <c r="BD403" s="64"/>
      <c r="BE403" s="64"/>
      <c r="BF403" s="64"/>
      <c r="BG403" s="64"/>
      <c r="BH403" s="64"/>
      <c r="BI403" s="64"/>
      <c r="BJ403" s="64"/>
      <c r="BK403" s="64"/>
      <c r="BL403" s="64"/>
      <c r="BM403" s="64"/>
      <c r="BN403" s="64"/>
      <c r="BO403" s="64"/>
      <c r="BP403" s="64"/>
      <c r="BQ403" s="64"/>
      <c r="BR403" s="64"/>
      <c r="BS403" s="64"/>
      <c r="BT403" s="64"/>
      <c r="BU403" s="64"/>
      <c r="BV403" s="64"/>
      <c r="BW403" s="64"/>
      <c r="BX403" s="64"/>
      <c r="BY403" s="64"/>
      <c r="BZ403" s="64"/>
      <c r="CA403" s="64"/>
      <c r="CB403" s="64"/>
      <c r="CC403" s="64"/>
      <c r="CD403" s="64"/>
      <c r="CE403" s="64"/>
      <c r="CF403" s="64"/>
      <c r="CG403" s="64"/>
      <c r="CH403" s="64"/>
      <c r="CI403" s="64"/>
      <c r="CJ403" s="64"/>
      <c r="CK403" s="64"/>
      <c r="CL403" s="64"/>
      <c r="CM403" s="64"/>
      <c r="CN403" s="64"/>
      <c r="CO403" s="64"/>
      <c r="CP403" s="64"/>
      <c r="CQ403" s="64"/>
      <c r="CR403" s="64"/>
      <c r="CS403" s="64"/>
      <c r="CT403" s="64"/>
      <c r="CU403" s="64"/>
      <c r="CV403" s="64"/>
      <c r="CW403" s="64"/>
      <c r="CX403" s="64"/>
      <c r="CY403" s="74"/>
      <c r="CZ403" s="74"/>
      <c r="DA403" s="74"/>
      <c r="DB403" s="74"/>
      <c r="DC403" s="74"/>
      <c r="DD403" s="74"/>
      <c r="DE403" s="74"/>
      <c r="DF403" s="74"/>
      <c r="DG403" s="74"/>
      <c r="DH403" s="74"/>
      <c r="DI403" s="74"/>
      <c r="DJ403" s="74"/>
      <c r="DK403" s="74"/>
      <c r="DL403" s="74"/>
      <c r="DM403" s="74"/>
      <c r="DN403" s="74"/>
      <c r="DO403" s="74"/>
      <c r="DP403" s="74"/>
      <c r="DQ403" s="74"/>
      <c r="DR403" s="74"/>
      <c r="DS403" s="74"/>
      <c r="DT403" s="74"/>
      <c r="DU403" s="74"/>
      <c r="DV403" s="74"/>
      <c r="DW403" s="74"/>
      <c r="DX403" s="74"/>
      <c r="DY403" s="74"/>
      <c r="DZ403" s="74"/>
      <c r="EA403" s="74"/>
      <c r="EB403" s="74"/>
      <c r="EC403" s="74"/>
      <c r="ED403" s="74"/>
      <c r="EE403" s="74"/>
      <c r="EF403" s="74"/>
      <c r="EG403" s="74"/>
      <c r="EH403" s="74"/>
      <c r="EI403" s="74"/>
      <c r="EJ403" s="74"/>
      <c r="EK403" s="74"/>
      <c r="EL403" s="82"/>
      <c r="EM403" s="82"/>
      <c r="EN403" s="82"/>
      <c r="EO403" s="83"/>
      <c r="EP403" s="78"/>
    </row>
    <row r="404" spans="2:146" ht="11.25" customHeight="1" x14ac:dyDescent="0.2">
      <c r="B404" s="70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2"/>
      <c r="CZ404" s="72"/>
      <c r="DA404" s="72"/>
      <c r="DB404" s="72"/>
      <c r="DC404" s="72"/>
      <c r="DD404" s="72"/>
      <c r="DE404" s="72"/>
      <c r="DF404" s="72"/>
      <c r="DG404" s="72"/>
      <c r="DH404" s="72"/>
      <c r="DI404" s="72"/>
      <c r="DJ404" s="72"/>
      <c r="DK404" s="72"/>
      <c r="DL404" s="72"/>
      <c r="DM404" s="72"/>
      <c r="DN404" s="72"/>
      <c r="DO404" s="72"/>
      <c r="DP404" s="72"/>
      <c r="DQ404" s="72"/>
      <c r="DR404" s="72"/>
      <c r="DS404" s="72"/>
      <c r="DT404" s="72"/>
      <c r="DU404" s="72"/>
      <c r="DV404" s="72"/>
      <c r="DW404" s="72"/>
      <c r="DX404" s="72"/>
      <c r="DY404" s="72"/>
      <c r="DZ404" s="72"/>
      <c r="EA404" s="72"/>
      <c r="EB404" s="72"/>
      <c r="EC404" s="72"/>
      <c r="ED404" s="72"/>
      <c r="EE404" s="72"/>
      <c r="EF404" s="72"/>
      <c r="EG404" s="72"/>
      <c r="EH404" s="72"/>
      <c r="EI404" s="72"/>
      <c r="EJ404" s="72"/>
      <c r="EK404" s="72"/>
      <c r="EL404" s="79"/>
      <c r="EM404" s="79"/>
      <c r="EN404" s="79"/>
      <c r="EO404" s="80"/>
      <c r="EP404" s="78"/>
    </row>
    <row r="405" spans="2:146" ht="11.25" customHeight="1" x14ac:dyDescent="0.2">
      <c r="B405" s="70"/>
      <c r="C405" s="71"/>
      <c r="D405" s="71" t="s">
        <v>315</v>
      </c>
      <c r="E405" s="71"/>
      <c r="F405" s="71"/>
      <c r="G405" s="71"/>
      <c r="H405" s="71" t="s">
        <v>283</v>
      </c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 t="s">
        <v>633</v>
      </c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2"/>
      <c r="CZ405" s="72"/>
      <c r="DA405" s="72"/>
      <c r="DB405" s="72"/>
      <c r="DC405" s="72"/>
      <c r="DD405" s="72"/>
      <c r="DE405" s="72"/>
      <c r="DF405" s="72"/>
      <c r="DG405" s="72"/>
      <c r="DH405" s="72"/>
      <c r="DI405" s="72"/>
      <c r="DJ405" s="72"/>
      <c r="DK405" s="72"/>
      <c r="DL405" s="72"/>
      <c r="DM405" s="72"/>
      <c r="DN405" s="72"/>
      <c r="DO405" s="72"/>
      <c r="DP405" s="72"/>
      <c r="DQ405" s="72"/>
      <c r="DR405" s="72"/>
      <c r="DS405" s="72"/>
      <c r="DT405" s="72"/>
      <c r="DU405" s="72"/>
      <c r="DV405" s="72"/>
      <c r="DW405" s="72"/>
      <c r="DX405" s="72"/>
      <c r="DY405" s="72"/>
      <c r="DZ405" s="72"/>
      <c r="EA405" s="72"/>
      <c r="EB405" s="72"/>
      <c r="EC405" s="72"/>
      <c r="ED405" s="72"/>
      <c r="EE405" s="72"/>
      <c r="EF405" s="72"/>
      <c r="EG405" s="72"/>
      <c r="EH405" s="72"/>
      <c r="EI405" s="72"/>
      <c r="EJ405" s="72"/>
      <c r="EK405" s="72"/>
      <c r="EL405" s="79"/>
      <c r="EM405" s="79"/>
      <c r="EN405" s="79"/>
      <c r="EO405" s="80"/>
      <c r="EP405" s="78"/>
    </row>
    <row r="406" spans="2:146" ht="11.25" customHeight="1" x14ac:dyDescent="0.2">
      <c r="B406" s="70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2"/>
      <c r="CZ406" s="72"/>
      <c r="DA406" s="72"/>
      <c r="DB406" s="72"/>
      <c r="DC406" s="72"/>
      <c r="DD406" s="72"/>
      <c r="DE406" s="72"/>
      <c r="DF406" s="72"/>
      <c r="DG406" s="72"/>
      <c r="DH406" s="72"/>
      <c r="DI406" s="72"/>
      <c r="DJ406" s="72"/>
      <c r="DK406" s="72"/>
      <c r="DL406" s="72"/>
      <c r="DM406" s="72"/>
      <c r="DN406" s="72"/>
      <c r="DO406" s="72"/>
      <c r="DP406" s="72"/>
      <c r="DQ406" s="72"/>
      <c r="DR406" s="72"/>
      <c r="DS406" s="72"/>
      <c r="DT406" s="72"/>
      <c r="DU406" s="72"/>
      <c r="DV406" s="72"/>
      <c r="DW406" s="72"/>
      <c r="DX406" s="72"/>
      <c r="DY406" s="72"/>
      <c r="DZ406" s="72"/>
      <c r="EA406" s="72"/>
      <c r="EB406" s="72"/>
      <c r="EC406" s="72"/>
      <c r="ED406" s="72"/>
      <c r="EE406" s="72"/>
      <c r="EF406" s="72"/>
      <c r="EG406" s="72"/>
      <c r="EH406" s="72"/>
      <c r="EI406" s="72"/>
      <c r="EJ406" s="72"/>
      <c r="EK406" s="72"/>
      <c r="EL406" s="79"/>
      <c r="EM406" s="79"/>
      <c r="EN406" s="79"/>
      <c r="EO406" s="80"/>
      <c r="EP406" s="78"/>
    </row>
    <row r="407" spans="2:146" ht="11.25" customHeight="1" x14ac:dyDescent="0.2">
      <c r="B407" s="70"/>
      <c r="C407" s="71"/>
      <c r="D407" s="71"/>
      <c r="E407" s="71"/>
      <c r="F407" s="71"/>
      <c r="G407" s="71" t="s">
        <v>431</v>
      </c>
      <c r="H407" s="71"/>
      <c r="I407" s="71" t="s">
        <v>254</v>
      </c>
      <c r="J407" s="71"/>
      <c r="K407" s="71" t="str">
        <f>TEXT(40,"#,##0.#######")</f>
        <v>40.</v>
      </c>
      <c r="L407" s="71"/>
      <c r="M407" s="71" t="s">
        <v>340</v>
      </c>
      <c r="N407" s="71"/>
      <c r="O407" s="71" t="s">
        <v>112</v>
      </c>
      <c r="P407" s="71" t="s">
        <v>467</v>
      </c>
      <c r="Q407" s="71"/>
      <c r="R407" s="71"/>
      <c r="S407" s="71"/>
      <c r="T407" s="71"/>
      <c r="U407" s="71"/>
      <c r="V407" s="71" t="s">
        <v>282</v>
      </c>
      <c r="W407" s="71"/>
      <c r="X407" s="71" t="s">
        <v>254</v>
      </c>
      <c r="Y407" s="71"/>
      <c r="Z407" s="71" t="str">
        <f>TEXT(0.9,"#,##0.#######")</f>
        <v>0.9</v>
      </c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2"/>
      <c r="CZ407" s="72"/>
      <c r="DA407" s="72"/>
      <c r="DB407" s="72"/>
      <c r="DC407" s="72"/>
      <c r="DD407" s="72"/>
      <c r="DE407" s="72"/>
      <c r="DF407" s="72"/>
      <c r="DG407" s="72"/>
      <c r="DH407" s="72"/>
      <c r="DI407" s="72"/>
      <c r="DJ407" s="72"/>
      <c r="DK407" s="72"/>
      <c r="DL407" s="72"/>
      <c r="DM407" s="72"/>
      <c r="DN407" s="72"/>
      <c r="DO407" s="72"/>
      <c r="DP407" s="72"/>
      <c r="DQ407" s="72"/>
      <c r="DR407" s="72"/>
      <c r="DS407" s="72"/>
      <c r="DT407" s="72"/>
      <c r="DU407" s="72"/>
      <c r="DV407" s="72"/>
      <c r="DW407" s="72"/>
      <c r="DX407" s="72"/>
      <c r="DY407" s="72"/>
      <c r="DZ407" s="72"/>
      <c r="EA407" s="72"/>
      <c r="EB407" s="72"/>
      <c r="EC407" s="72"/>
      <c r="ED407" s="72"/>
      <c r="EE407" s="72"/>
      <c r="EF407" s="72"/>
      <c r="EG407" s="72"/>
      <c r="EH407" s="72"/>
      <c r="EI407" s="72"/>
      <c r="EJ407" s="72"/>
      <c r="EK407" s="72"/>
      <c r="EL407" s="79"/>
      <c r="EM407" s="79"/>
      <c r="EN407" s="79"/>
      <c r="EO407" s="80"/>
      <c r="EP407" s="78"/>
    </row>
    <row r="408" spans="2:146" ht="11.25" customHeight="1" x14ac:dyDescent="0.2">
      <c r="B408" s="70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2"/>
      <c r="CZ408" s="72"/>
      <c r="DA408" s="72"/>
      <c r="DB408" s="72"/>
      <c r="DC408" s="72"/>
      <c r="DD408" s="72"/>
      <c r="DE408" s="72"/>
      <c r="DF408" s="72"/>
      <c r="DG408" s="72"/>
      <c r="DH408" s="72"/>
      <c r="DI408" s="72"/>
      <c r="DJ408" s="72"/>
      <c r="DK408" s="72"/>
      <c r="DL408" s="72"/>
      <c r="DM408" s="72"/>
      <c r="DN408" s="72"/>
      <c r="DO408" s="72"/>
      <c r="DP408" s="72"/>
      <c r="DQ408" s="72"/>
      <c r="DR408" s="72"/>
      <c r="DS408" s="72"/>
      <c r="DT408" s="72"/>
      <c r="DU408" s="72"/>
      <c r="DV408" s="72"/>
      <c r="DW408" s="72"/>
      <c r="DX408" s="72"/>
      <c r="DY408" s="72"/>
      <c r="DZ408" s="72"/>
      <c r="EA408" s="72"/>
      <c r="EB408" s="72"/>
      <c r="EC408" s="72"/>
      <c r="ED408" s="72"/>
      <c r="EE408" s="72"/>
      <c r="EF408" s="72"/>
      <c r="EG408" s="72"/>
      <c r="EH408" s="72"/>
      <c r="EI408" s="72"/>
      <c r="EJ408" s="72"/>
      <c r="EK408" s="72"/>
      <c r="EL408" s="79"/>
      <c r="EM408" s="79"/>
      <c r="EN408" s="79"/>
      <c r="EO408" s="80"/>
      <c r="EP408" s="78"/>
    </row>
    <row r="409" spans="2:146" ht="11.25" customHeight="1" x14ac:dyDescent="0.2">
      <c r="B409" s="70"/>
      <c r="C409" s="71"/>
      <c r="D409" s="71"/>
      <c r="E409" s="71"/>
      <c r="F409" s="71"/>
      <c r="G409" s="71" t="s">
        <v>497</v>
      </c>
      <c r="H409" s="71"/>
      <c r="I409" s="71"/>
      <c r="J409" s="71" t="s">
        <v>254</v>
      </c>
      <c r="K409" s="71"/>
      <c r="L409" s="71" t="str">
        <f>TEXT(20,"#,##0.#######")</f>
        <v>20.</v>
      </c>
      <c r="M409" s="71"/>
      <c r="N409" s="71"/>
      <c r="O409" s="71" t="s">
        <v>126</v>
      </c>
      <c r="P409" s="71"/>
      <c r="Q409" s="71"/>
      <c r="R409" s="71"/>
      <c r="S409" s="71"/>
      <c r="T409" s="71"/>
      <c r="U409" s="71"/>
      <c r="V409" s="71" t="s">
        <v>289</v>
      </c>
      <c r="W409" s="71"/>
      <c r="X409" s="71"/>
      <c r="Y409" s="71" t="s">
        <v>254</v>
      </c>
      <c r="Z409" s="71"/>
      <c r="AA409" s="71" t="s">
        <v>336</v>
      </c>
      <c r="AB409" s="71" t="s">
        <v>504</v>
      </c>
      <c r="AC409" s="71" t="s">
        <v>112</v>
      </c>
      <c r="AD409" s="71" t="s">
        <v>431</v>
      </c>
      <c r="AE409" s="71" t="s">
        <v>80</v>
      </c>
      <c r="AF409" s="71" t="s">
        <v>542</v>
      </c>
      <c r="AG409" s="71"/>
      <c r="AH409" s="71" t="str">
        <f>TEXT(2,"#,##0.#######")</f>
        <v>2.</v>
      </c>
      <c r="AI409" s="71" t="s">
        <v>542</v>
      </c>
      <c r="AJ409" s="71"/>
      <c r="AK409" s="71" t="str">
        <f>TEXT(60,"#,##0.#######")</f>
        <v>60.</v>
      </c>
      <c r="AL409" s="71"/>
      <c r="AM409" s="71"/>
      <c r="AN409" s="71" t="s">
        <v>254</v>
      </c>
      <c r="AO409" s="71"/>
      <c r="AP409" s="71" t="s">
        <v>336</v>
      </c>
      <c r="AQ409" s="71" t="str">
        <f>TEXT(S389,"#,##0.#######")</f>
        <v>14.5</v>
      </c>
      <c r="AR409" s="71"/>
      <c r="AS409" s="71"/>
      <c r="AT409" s="71"/>
      <c r="AU409" s="71" t="s">
        <v>112</v>
      </c>
      <c r="AV409" s="71" t="str">
        <f>TEXT(K407,"#,##0.#######")</f>
        <v>40.</v>
      </c>
      <c r="AW409" s="71"/>
      <c r="AX409" s="71" t="s">
        <v>80</v>
      </c>
      <c r="AY409" s="71" t="s">
        <v>542</v>
      </c>
      <c r="AZ409" s="71"/>
      <c r="BA409" s="71" t="str">
        <f>TEXT(AH409,"#,##0.#######")</f>
        <v>2.</v>
      </c>
      <c r="BB409" s="71" t="s">
        <v>542</v>
      </c>
      <c r="BC409" s="71"/>
      <c r="BD409" s="71" t="str">
        <f>TEXT(AK409,"#,##0.#######")</f>
        <v>60.</v>
      </c>
      <c r="BE409" s="71"/>
      <c r="BF409" s="71"/>
      <c r="BG409" s="71" t="s">
        <v>254</v>
      </c>
      <c r="BH409" s="71"/>
      <c r="BI409" s="71" t="str">
        <f>TEXT(ROUND((S389/K407)*AH409*AK409,2),"#,##0.#######")</f>
        <v>43.5</v>
      </c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2"/>
      <c r="CZ409" s="72"/>
      <c r="DA409" s="72"/>
      <c r="DB409" s="72"/>
      <c r="DC409" s="72"/>
      <c r="DD409" s="72"/>
      <c r="DE409" s="72"/>
      <c r="DF409" s="72"/>
      <c r="DG409" s="72"/>
      <c r="DH409" s="72"/>
      <c r="DI409" s="72"/>
      <c r="DJ409" s="72"/>
      <c r="DK409" s="72"/>
      <c r="DL409" s="72"/>
      <c r="DM409" s="72"/>
      <c r="DN409" s="72"/>
      <c r="DO409" s="72"/>
      <c r="DP409" s="72"/>
      <c r="DQ409" s="72"/>
      <c r="DR409" s="72"/>
      <c r="DS409" s="72"/>
      <c r="DT409" s="72"/>
      <c r="DU409" s="72"/>
      <c r="DV409" s="72"/>
      <c r="DW409" s="72"/>
      <c r="DX409" s="72"/>
      <c r="DY409" s="72"/>
      <c r="DZ409" s="72"/>
      <c r="EA409" s="72"/>
      <c r="EB409" s="72"/>
      <c r="EC409" s="72"/>
      <c r="ED409" s="72"/>
      <c r="EE409" s="72"/>
      <c r="EF409" s="72"/>
      <c r="EG409" s="72"/>
      <c r="EH409" s="72"/>
      <c r="EI409" s="72"/>
      <c r="EJ409" s="72"/>
      <c r="EK409" s="72"/>
      <c r="EL409" s="79"/>
      <c r="EM409" s="79"/>
      <c r="EN409" s="79"/>
      <c r="EO409" s="80"/>
      <c r="EP409" s="78"/>
    </row>
    <row r="410" spans="2:146" ht="11.25" customHeight="1" x14ac:dyDescent="0.2">
      <c r="B410" s="70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2"/>
      <c r="CZ410" s="72"/>
      <c r="DA410" s="72"/>
      <c r="DB410" s="72"/>
      <c r="DC410" s="72"/>
      <c r="DD410" s="72"/>
      <c r="DE410" s="72"/>
      <c r="DF410" s="72"/>
      <c r="DG410" s="72"/>
      <c r="DH410" s="72"/>
      <c r="DI410" s="72"/>
      <c r="DJ410" s="72"/>
      <c r="DK410" s="72"/>
      <c r="DL410" s="72"/>
      <c r="DM410" s="72"/>
      <c r="DN410" s="72"/>
      <c r="DO410" s="72"/>
      <c r="DP410" s="72"/>
      <c r="DQ410" s="72"/>
      <c r="DR410" s="72"/>
      <c r="DS410" s="72"/>
      <c r="DT410" s="72"/>
      <c r="DU410" s="72"/>
      <c r="DV410" s="72"/>
      <c r="DW410" s="72"/>
      <c r="DX410" s="72"/>
      <c r="DY410" s="72"/>
      <c r="DZ410" s="72"/>
      <c r="EA410" s="72"/>
      <c r="EB410" s="72"/>
      <c r="EC410" s="72"/>
      <c r="ED410" s="72"/>
      <c r="EE410" s="72"/>
      <c r="EF410" s="72"/>
      <c r="EG410" s="72"/>
      <c r="EH410" s="72"/>
      <c r="EI410" s="72"/>
      <c r="EJ410" s="72"/>
      <c r="EK410" s="72"/>
      <c r="EL410" s="79"/>
      <c r="EM410" s="79"/>
      <c r="EN410" s="79"/>
      <c r="EO410" s="80"/>
      <c r="EP410" s="78"/>
    </row>
    <row r="411" spans="2:146" ht="11.25" customHeight="1" x14ac:dyDescent="0.2">
      <c r="B411" s="70"/>
      <c r="C411" s="71"/>
      <c r="D411" s="71"/>
      <c r="E411" s="71"/>
      <c r="F411" s="71"/>
      <c r="G411" s="71" t="s">
        <v>571</v>
      </c>
      <c r="H411" s="71"/>
      <c r="I411" s="71"/>
      <c r="J411" s="71" t="s">
        <v>254</v>
      </c>
      <c r="K411" s="71"/>
      <c r="L411" s="71" t="str">
        <f>TEXT(20,"#,##0.#######")</f>
        <v>20.</v>
      </c>
      <c r="M411" s="71"/>
      <c r="N411" s="71"/>
      <c r="O411" s="71" t="s">
        <v>126</v>
      </c>
      <c r="P411" s="71"/>
      <c r="Q411" s="71"/>
      <c r="R411" s="71"/>
      <c r="S411" s="71"/>
      <c r="T411" s="71"/>
      <c r="U411" s="71"/>
      <c r="V411" s="71" t="s">
        <v>181</v>
      </c>
      <c r="W411" s="71"/>
      <c r="X411" s="71"/>
      <c r="Y411" s="71" t="s">
        <v>254</v>
      </c>
      <c r="Z411" s="71"/>
      <c r="AA411" s="71" t="str">
        <f>TEXT(0.42,"#,##0.#######")</f>
        <v>0.42</v>
      </c>
      <c r="AB411" s="71"/>
      <c r="AC411" s="71"/>
      <c r="AD411" s="71"/>
      <c r="AE411" s="71" t="s">
        <v>126</v>
      </c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2"/>
      <c r="CZ411" s="72"/>
      <c r="DA411" s="72"/>
      <c r="DB411" s="72"/>
      <c r="DC411" s="72"/>
      <c r="DD411" s="72"/>
      <c r="DE411" s="72"/>
      <c r="DF411" s="72"/>
      <c r="DG411" s="72"/>
      <c r="DH411" s="72"/>
      <c r="DI411" s="72"/>
      <c r="DJ411" s="72"/>
      <c r="DK411" s="72"/>
      <c r="DL411" s="72"/>
      <c r="DM411" s="72"/>
      <c r="DN411" s="72"/>
      <c r="DO411" s="72"/>
      <c r="DP411" s="72"/>
      <c r="DQ411" s="72"/>
      <c r="DR411" s="72"/>
      <c r="DS411" s="72"/>
      <c r="DT411" s="72"/>
      <c r="DU411" s="72"/>
      <c r="DV411" s="72"/>
      <c r="DW411" s="72"/>
      <c r="DX411" s="72"/>
      <c r="DY411" s="72"/>
      <c r="DZ411" s="72"/>
      <c r="EA411" s="72"/>
      <c r="EB411" s="72"/>
      <c r="EC411" s="72"/>
      <c r="ED411" s="72"/>
      <c r="EE411" s="72"/>
      <c r="EF411" s="72"/>
      <c r="EG411" s="72"/>
      <c r="EH411" s="72"/>
      <c r="EI411" s="72"/>
      <c r="EJ411" s="72"/>
      <c r="EK411" s="72"/>
      <c r="EL411" s="79"/>
      <c r="EM411" s="79"/>
      <c r="EN411" s="79"/>
      <c r="EO411" s="80"/>
      <c r="EP411" s="78"/>
    </row>
    <row r="412" spans="2:146" ht="11.25" customHeight="1" x14ac:dyDescent="0.2">
      <c r="B412" s="70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2"/>
      <c r="CZ412" s="72"/>
      <c r="DA412" s="72"/>
      <c r="DB412" s="72"/>
      <c r="DC412" s="72"/>
      <c r="DD412" s="72"/>
      <c r="DE412" s="72"/>
      <c r="DF412" s="72"/>
      <c r="DG412" s="72"/>
      <c r="DH412" s="72"/>
      <c r="DI412" s="72"/>
      <c r="DJ412" s="72"/>
      <c r="DK412" s="72"/>
      <c r="DL412" s="72"/>
      <c r="DM412" s="72"/>
      <c r="DN412" s="72"/>
      <c r="DO412" s="72"/>
      <c r="DP412" s="72"/>
      <c r="DQ412" s="72"/>
      <c r="DR412" s="72"/>
      <c r="DS412" s="72"/>
      <c r="DT412" s="72"/>
      <c r="DU412" s="72"/>
      <c r="DV412" s="72"/>
      <c r="DW412" s="72"/>
      <c r="DX412" s="72"/>
      <c r="DY412" s="72"/>
      <c r="DZ412" s="72"/>
      <c r="EA412" s="72"/>
      <c r="EB412" s="72"/>
      <c r="EC412" s="72"/>
      <c r="ED412" s="72"/>
      <c r="EE412" s="72"/>
      <c r="EF412" s="72"/>
      <c r="EG412" s="72"/>
      <c r="EH412" s="72"/>
      <c r="EI412" s="72"/>
      <c r="EJ412" s="72"/>
      <c r="EK412" s="72"/>
      <c r="EL412" s="79"/>
      <c r="EM412" s="79"/>
      <c r="EN412" s="79"/>
      <c r="EO412" s="80"/>
      <c r="EP412" s="78"/>
    </row>
    <row r="413" spans="2:146" ht="11.25" customHeight="1" x14ac:dyDescent="0.2">
      <c r="B413" s="70"/>
      <c r="C413" s="71"/>
      <c r="D413" s="71"/>
      <c r="E413" s="71"/>
      <c r="F413" s="71"/>
      <c r="G413" s="71" t="s">
        <v>91</v>
      </c>
      <c r="H413" s="71"/>
      <c r="I413" s="71"/>
      <c r="J413" s="71" t="s">
        <v>254</v>
      </c>
      <c r="K413" s="71"/>
      <c r="L413" s="71" t="s">
        <v>497</v>
      </c>
      <c r="M413" s="71"/>
      <c r="N413" s="71"/>
      <c r="O413" s="71" t="s">
        <v>133</v>
      </c>
      <c r="P413" s="71"/>
      <c r="Q413" s="71" t="s">
        <v>289</v>
      </c>
      <c r="R413" s="71"/>
      <c r="S413" s="71"/>
      <c r="T413" s="71" t="s">
        <v>133</v>
      </c>
      <c r="U413" s="71"/>
      <c r="V413" s="71" t="s">
        <v>571</v>
      </c>
      <c r="W413" s="71"/>
      <c r="X413" s="71"/>
      <c r="Y413" s="71" t="s">
        <v>133</v>
      </c>
      <c r="Z413" s="71"/>
      <c r="AA413" s="71" t="s">
        <v>181</v>
      </c>
      <c r="AB413" s="71"/>
      <c r="AC413" s="71"/>
      <c r="AD413" s="71"/>
      <c r="AE413" s="71" t="s">
        <v>254</v>
      </c>
      <c r="AF413" s="71"/>
      <c r="AG413" s="71" t="str">
        <f>TEXT(L409,"#,##0.#######")</f>
        <v>20.</v>
      </c>
      <c r="AH413" s="71"/>
      <c r="AI413" s="71"/>
      <c r="AJ413" s="71" t="s">
        <v>133</v>
      </c>
      <c r="AK413" s="71"/>
      <c r="AL413" s="71" t="str">
        <f>TEXT(BI409,"#,##0.#######")</f>
        <v>43.5</v>
      </c>
      <c r="AM413" s="71"/>
      <c r="AN413" s="71"/>
      <c r="AO413" s="71"/>
      <c r="AP413" s="71"/>
      <c r="AQ413" s="71" t="s">
        <v>133</v>
      </c>
      <c r="AR413" s="71"/>
      <c r="AS413" s="71" t="str">
        <f>TEXT(L411,"#,##0.#######")</f>
        <v>20.</v>
      </c>
      <c r="AT413" s="71"/>
      <c r="AU413" s="71"/>
      <c r="AV413" s="71" t="s">
        <v>133</v>
      </c>
      <c r="AW413" s="71"/>
      <c r="AX413" s="71" t="str">
        <f>TEXT(AA411,"#,##0.#######")</f>
        <v>0.42</v>
      </c>
      <c r="AY413" s="71"/>
      <c r="AZ413" s="71"/>
      <c r="BA413" s="71"/>
      <c r="BB413" s="71"/>
      <c r="BC413" s="71" t="s">
        <v>254</v>
      </c>
      <c r="BD413" s="71"/>
      <c r="BE413" s="71" t="str">
        <f>TEXT(ROUND(L409+BI409+L411+AA411,2),"#,##0.#######")</f>
        <v>83.92</v>
      </c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2"/>
      <c r="CZ413" s="72"/>
      <c r="DA413" s="72"/>
      <c r="DB413" s="72"/>
      <c r="DC413" s="72"/>
      <c r="DD413" s="72"/>
      <c r="DE413" s="72"/>
      <c r="DF413" s="72"/>
      <c r="DG413" s="72"/>
      <c r="DH413" s="72"/>
      <c r="DI413" s="72"/>
      <c r="DJ413" s="72"/>
      <c r="DK413" s="72"/>
      <c r="DL413" s="72"/>
      <c r="DM413" s="72"/>
      <c r="DN413" s="72"/>
      <c r="DO413" s="72"/>
      <c r="DP413" s="72"/>
      <c r="DQ413" s="72"/>
      <c r="DR413" s="72"/>
      <c r="DS413" s="72"/>
      <c r="DT413" s="72"/>
      <c r="DU413" s="72"/>
      <c r="DV413" s="72"/>
      <c r="DW413" s="72"/>
      <c r="DX413" s="72"/>
      <c r="DY413" s="72"/>
      <c r="DZ413" s="72"/>
      <c r="EA413" s="72"/>
      <c r="EB413" s="72"/>
      <c r="EC413" s="72"/>
      <c r="ED413" s="72"/>
      <c r="EE413" s="72"/>
      <c r="EF413" s="72"/>
      <c r="EG413" s="72"/>
      <c r="EH413" s="72"/>
      <c r="EI413" s="72"/>
      <c r="EJ413" s="72"/>
      <c r="EK413" s="72"/>
      <c r="EL413" s="79"/>
      <c r="EM413" s="79"/>
      <c r="EN413" s="79"/>
      <c r="EO413" s="80"/>
      <c r="EP413" s="78"/>
    </row>
    <row r="414" spans="2:146" ht="11.25" customHeight="1" x14ac:dyDescent="0.2">
      <c r="B414" s="70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2"/>
      <c r="CZ414" s="72"/>
      <c r="DA414" s="72"/>
      <c r="DB414" s="72"/>
      <c r="DC414" s="72"/>
      <c r="DD414" s="72"/>
      <c r="DE414" s="72"/>
      <c r="DF414" s="72"/>
      <c r="DG414" s="72"/>
      <c r="DH414" s="72"/>
      <c r="DI414" s="72"/>
      <c r="DJ414" s="72"/>
      <c r="DK414" s="72"/>
      <c r="DL414" s="72"/>
      <c r="DM414" s="72"/>
      <c r="DN414" s="72"/>
      <c r="DO414" s="72"/>
      <c r="DP414" s="72"/>
      <c r="DQ414" s="72"/>
      <c r="DR414" s="72"/>
      <c r="DS414" s="72"/>
      <c r="DT414" s="72"/>
      <c r="DU414" s="72"/>
      <c r="DV414" s="72"/>
      <c r="DW414" s="72"/>
      <c r="DX414" s="72"/>
      <c r="DY414" s="72"/>
      <c r="DZ414" s="72"/>
      <c r="EA414" s="72"/>
      <c r="EB414" s="72"/>
      <c r="EC414" s="72"/>
      <c r="ED414" s="72"/>
      <c r="EE414" s="72"/>
      <c r="EF414" s="72"/>
      <c r="EG414" s="72"/>
      <c r="EH414" s="72"/>
      <c r="EI414" s="72"/>
      <c r="EJ414" s="72"/>
      <c r="EK414" s="72"/>
      <c r="EL414" s="79"/>
      <c r="EM414" s="79"/>
      <c r="EN414" s="79"/>
      <c r="EO414" s="80"/>
      <c r="EP414" s="78"/>
    </row>
    <row r="415" spans="2:146" ht="11.25" customHeight="1" x14ac:dyDescent="0.2">
      <c r="B415" s="70"/>
      <c r="C415" s="71"/>
      <c r="D415" s="71"/>
      <c r="E415" s="71"/>
      <c r="F415" s="71"/>
      <c r="G415" s="71" t="s">
        <v>40</v>
      </c>
      <c r="H415" s="71"/>
      <c r="I415" s="71" t="s">
        <v>254</v>
      </c>
      <c r="J415" s="71"/>
      <c r="K415" s="71" t="str">
        <f>TEXT(60,"#,##0.#######")</f>
        <v>60.</v>
      </c>
      <c r="L415" s="71"/>
      <c r="M415" s="71" t="s">
        <v>542</v>
      </c>
      <c r="N415" s="71"/>
      <c r="O415" s="71" t="s">
        <v>282</v>
      </c>
      <c r="P415" s="71"/>
      <c r="Q415" s="71" t="s">
        <v>112</v>
      </c>
      <c r="R415" s="71"/>
      <c r="S415" s="71" t="s">
        <v>91</v>
      </c>
      <c r="T415" s="71"/>
      <c r="U415" s="71"/>
      <c r="V415" s="71" t="s">
        <v>254</v>
      </c>
      <c r="W415" s="71"/>
      <c r="X415" s="71" t="str">
        <f>TEXT(K415,"#,##0.#######")</f>
        <v>60.</v>
      </c>
      <c r="Y415" s="71"/>
      <c r="Z415" s="71" t="s">
        <v>542</v>
      </c>
      <c r="AA415" s="71"/>
      <c r="AB415" s="71" t="str">
        <f>TEXT(Z407,"#,##0.#######")</f>
        <v>0.9</v>
      </c>
      <c r="AC415" s="71"/>
      <c r="AD415" s="71"/>
      <c r="AE415" s="71"/>
      <c r="AF415" s="71" t="s">
        <v>112</v>
      </c>
      <c r="AG415" s="71"/>
      <c r="AH415" s="71" t="str">
        <f>TEXT(BE413,"#,##0.#######")</f>
        <v>83.92</v>
      </c>
      <c r="AI415" s="71"/>
      <c r="AJ415" s="71"/>
      <c r="AK415" s="71"/>
      <c r="AL415" s="71"/>
      <c r="AM415" s="71"/>
      <c r="AN415" s="71" t="s">
        <v>254</v>
      </c>
      <c r="AO415" s="71"/>
      <c r="AP415" s="71" t="str">
        <f>TEXT(ROUND(K415*Z407/BE413,2),"#,##0.#######")</f>
        <v>0.64</v>
      </c>
      <c r="AQ415" s="71"/>
      <c r="AR415" s="71"/>
      <c r="AS415" s="71"/>
      <c r="AT415" s="71"/>
      <c r="AU415" s="71"/>
      <c r="AV415" s="71"/>
      <c r="AW415" s="71" t="s">
        <v>414</v>
      </c>
      <c r="AX415" s="71"/>
      <c r="AY415" s="71" t="s">
        <v>112</v>
      </c>
      <c r="AZ415" s="71" t="s">
        <v>467</v>
      </c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  <c r="CV415" s="71"/>
      <c r="CW415" s="71"/>
      <c r="CX415" s="71"/>
      <c r="CY415" s="72"/>
      <c r="CZ415" s="72"/>
      <c r="DA415" s="72"/>
      <c r="DB415" s="72"/>
      <c r="DC415" s="72"/>
      <c r="DD415" s="72"/>
      <c r="DE415" s="72"/>
      <c r="DF415" s="72"/>
      <c r="DG415" s="72"/>
      <c r="DH415" s="72"/>
      <c r="DI415" s="72"/>
      <c r="DJ415" s="72"/>
      <c r="DK415" s="72"/>
      <c r="DL415" s="72"/>
      <c r="DM415" s="72"/>
      <c r="DN415" s="72"/>
      <c r="DO415" s="72"/>
      <c r="DP415" s="72"/>
      <c r="DQ415" s="72"/>
      <c r="DR415" s="72"/>
      <c r="DS415" s="72"/>
      <c r="DT415" s="72"/>
      <c r="DU415" s="72"/>
      <c r="DV415" s="72"/>
      <c r="DW415" s="72"/>
      <c r="DX415" s="72"/>
      <c r="DY415" s="72"/>
      <c r="DZ415" s="72"/>
      <c r="EA415" s="72"/>
      <c r="EB415" s="72"/>
      <c r="EC415" s="72"/>
      <c r="ED415" s="72"/>
      <c r="EE415" s="72"/>
      <c r="EF415" s="72"/>
      <c r="EG415" s="72"/>
      <c r="EH415" s="72"/>
      <c r="EI415" s="72"/>
      <c r="EJ415" s="72"/>
      <c r="EK415" s="72"/>
      <c r="EL415" s="79"/>
      <c r="EM415" s="79"/>
      <c r="EN415" s="79"/>
      <c r="EO415" s="80"/>
      <c r="EP415" s="78"/>
    </row>
    <row r="416" spans="2:146" ht="11.25" customHeight="1" x14ac:dyDescent="0.2">
      <c r="B416" s="70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2"/>
      <c r="CZ416" s="72"/>
      <c r="DA416" s="72"/>
      <c r="DB416" s="72"/>
      <c r="DC416" s="72"/>
      <c r="DD416" s="72"/>
      <c r="DE416" s="72"/>
      <c r="DF416" s="72"/>
      <c r="DG416" s="72"/>
      <c r="DH416" s="72"/>
      <c r="DI416" s="72"/>
      <c r="DJ416" s="72"/>
      <c r="DK416" s="72"/>
      <c r="DL416" s="72"/>
      <c r="DM416" s="72"/>
      <c r="DN416" s="72"/>
      <c r="DO416" s="72"/>
      <c r="DP416" s="72"/>
      <c r="DQ416" s="72"/>
      <c r="DR416" s="72"/>
      <c r="DS416" s="72"/>
      <c r="DT416" s="72"/>
      <c r="DU416" s="72"/>
      <c r="DV416" s="72"/>
      <c r="DW416" s="72"/>
      <c r="DX416" s="72"/>
      <c r="DY416" s="72"/>
      <c r="DZ416" s="72"/>
      <c r="EA416" s="72"/>
      <c r="EB416" s="72"/>
      <c r="EC416" s="72"/>
      <c r="ED416" s="72"/>
      <c r="EE416" s="72"/>
      <c r="EF416" s="72"/>
      <c r="EG416" s="72"/>
      <c r="EH416" s="72"/>
      <c r="EI416" s="72"/>
      <c r="EJ416" s="72"/>
      <c r="EK416" s="72"/>
      <c r="EL416" s="79"/>
      <c r="EM416" s="79"/>
      <c r="EN416" s="79"/>
      <c r="EO416" s="80"/>
      <c r="EP416" s="78"/>
    </row>
    <row r="417" spans="2:146" ht="11.25" customHeight="1" x14ac:dyDescent="0.2">
      <c r="B417" s="70"/>
      <c r="C417" s="71"/>
      <c r="D417" s="71"/>
      <c r="E417" s="71"/>
      <c r="F417" s="71"/>
      <c r="G417" s="71" t="s">
        <v>383</v>
      </c>
      <c r="H417" s="71"/>
      <c r="I417" s="71"/>
      <c r="J417" s="71" t="s">
        <v>254</v>
      </c>
      <c r="K417" s="71"/>
      <c r="L417" s="71" t="s">
        <v>336</v>
      </c>
      <c r="M417" s="71" t="s">
        <v>91</v>
      </c>
      <c r="N417" s="71"/>
      <c r="O417" s="71" t="s">
        <v>22</v>
      </c>
      <c r="P417" s="71" t="s">
        <v>336</v>
      </c>
      <c r="Q417" s="71" t="s">
        <v>497</v>
      </c>
      <c r="R417" s="71"/>
      <c r="S417" s="71" t="s">
        <v>133</v>
      </c>
      <c r="T417" s="71" t="s">
        <v>571</v>
      </c>
      <c r="U417" s="71"/>
      <c r="V417" s="71" t="s">
        <v>80</v>
      </c>
      <c r="W417" s="71" t="s">
        <v>80</v>
      </c>
      <c r="X417" s="71"/>
      <c r="Y417" s="71" t="s">
        <v>112</v>
      </c>
      <c r="Z417" s="71"/>
      <c r="AA417" s="71" t="s">
        <v>91</v>
      </c>
      <c r="AB417" s="71"/>
      <c r="AC417" s="71"/>
      <c r="AD417" s="71" t="s">
        <v>254</v>
      </c>
      <c r="AE417" s="71"/>
      <c r="AF417" s="71" t="s">
        <v>336</v>
      </c>
      <c r="AG417" s="71" t="str">
        <f>TEXT(BE413,"#,##0.#######")</f>
        <v>83.92</v>
      </c>
      <c r="AH417" s="71"/>
      <c r="AI417" s="71"/>
      <c r="AJ417" s="71"/>
      <c r="AK417" s="71"/>
      <c r="AL417" s="71" t="s">
        <v>22</v>
      </c>
      <c r="AM417" s="71" t="s">
        <v>336</v>
      </c>
      <c r="AN417" s="71" t="str">
        <f>TEXT(L409,"#,##0.#######")</f>
        <v>20.</v>
      </c>
      <c r="AO417" s="71"/>
      <c r="AP417" s="71" t="s">
        <v>133</v>
      </c>
      <c r="AQ417" s="71" t="str">
        <f>TEXT(L411,"#,##0.#######")</f>
        <v>20.</v>
      </c>
      <c r="AR417" s="71"/>
      <c r="AS417" s="71" t="s">
        <v>80</v>
      </c>
      <c r="AT417" s="71" t="s">
        <v>80</v>
      </c>
      <c r="AU417" s="71"/>
      <c r="AV417" s="71" t="s">
        <v>112</v>
      </c>
      <c r="AW417" s="71"/>
      <c r="AX417" s="71" t="str">
        <f>TEXT(BE413,"#,##0.#######")</f>
        <v>83.92</v>
      </c>
      <c r="AY417" s="71"/>
      <c r="AZ417" s="71"/>
      <c r="BA417" s="71"/>
      <c r="BB417" s="71"/>
      <c r="BC417" s="71"/>
      <c r="BD417" s="71" t="s">
        <v>254</v>
      </c>
      <c r="BE417" s="71"/>
      <c r="BF417" s="71" t="str">
        <f>TEXT(ROUND((BE413-(L409+L411))/BE413,2),"#,##0.#######")</f>
        <v>0.52</v>
      </c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2"/>
      <c r="CZ417" s="72"/>
      <c r="DA417" s="72"/>
      <c r="DB417" s="72"/>
      <c r="DC417" s="72"/>
      <c r="DD417" s="72"/>
      <c r="DE417" s="72"/>
      <c r="DF417" s="72"/>
      <c r="DG417" s="72"/>
      <c r="DH417" s="72"/>
      <c r="DI417" s="72"/>
      <c r="DJ417" s="72"/>
      <c r="DK417" s="72"/>
      <c r="DL417" s="72"/>
      <c r="DM417" s="72"/>
      <c r="DN417" s="72"/>
      <c r="DO417" s="72"/>
      <c r="DP417" s="72"/>
      <c r="DQ417" s="72"/>
      <c r="DR417" s="72"/>
      <c r="DS417" s="72"/>
      <c r="DT417" s="72"/>
      <c r="DU417" s="72"/>
      <c r="DV417" s="72"/>
      <c r="DW417" s="72"/>
      <c r="DX417" s="72"/>
      <c r="DY417" s="72"/>
      <c r="DZ417" s="72"/>
      <c r="EA417" s="72"/>
      <c r="EB417" s="72"/>
      <c r="EC417" s="72"/>
      <c r="ED417" s="72"/>
      <c r="EE417" s="72"/>
      <c r="EF417" s="72"/>
      <c r="EG417" s="72"/>
      <c r="EH417" s="72"/>
      <c r="EI417" s="72"/>
      <c r="EJ417" s="72"/>
      <c r="EK417" s="72"/>
      <c r="EL417" s="79"/>
      <c r="EM417" s="79"/>
      <c r="EN417" s="79"/>
      <c r="EO417" s="80"/>
      <c r="EP417" s="78"/>
    </row>
    <row r="418" spans="2:146" ht="11.25" customHeight="1" x14ac:dyDescent="0.2">
      <c r="B418" s="70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2"/>
      <c r="CZ418" s="72"/>
      <c r="DA418" s="72"/>
      <c r="DB418" s="72"/>
      <c r="DC418" s="72"/>
      <c r="DD418" s="72"/>
      <c r="DE418" s="72"/>
      <c r="DF418" s="72"/>
      <c r="DG418" s="72"/>
      <c r="DH418" s="72"/>
      <c r="DI418" s="72"/>
      <c r="DJ418" s="72"/>
      <c r="DK418" s="72"/>
      <c r="DL418" s="72"/>
      <c r="DM418" s="72"/>
      <c r="DN418" s="72"/>
      <c r="DO418" s="72"/>
      <c r="DP418" s="72"/>
      <c r="DQ418" s="72"/>
      <c r="DR418" s="72"/>
      <c r="DS418" s="72"/>
      <c r="DT418" s="72"/>
      <c r="DU418" s="72"/>
      <c r="DV418" s="72"/>
      <c r="DW418" s="72"/>
      <c r="DX418" s="72"/>
      <c r="DY418" s="72"/>
      <c r="DZ418" s="72"/>
      <c r="EA418" s="72"/>
      <c r="EB418" s="72"/>
      <c r="EC418" s="72"/>
      <c r="ED418" s="72"/>
      <c r="EE418" s="72"/>
      <c r="EF418" s="72"/>
      <c r="EG418" s="72"/>
      <c r="EH418" s="72"/>
      <c r="EI418" s="72"/>
      <c r="EJ418" s="72"/>
      <c r="EK418" s="72"/>
      <c r="EL418" s="79"/>
      <c r="EM418" s="79"/>
      <c r="EN418" s="79"/>
      <c r="EO418" s="80"/>
      <c r="EP418" s="78"/>
    </row>
    <row r="419" spans="2:146" ht="11.25" customHeight="1" x14ac:dyDescent="0.2">
      <c r="B419" s="70"/>
      <c r="C419" s="71"/>
      <c r="D419" s="71"/>
      <c r="E419" s="71"/>
      <c r="F419" s="71"/>
      <c r="G419" s="71" t="s">
        <v>543</v>
      </c>
      <c r="H419" s="71"/>
      <c r="I419" s="71"/>
      <c r="J419" s="71"/>
      <c r="K419" s="71"/>
      <c r="L419" s="71"/>
      <c r="M419" s="71"/>
      <c r="N419" s="71" t="s">
        <v>469</v>
      </c>
      <c r="O419" s="71"/>
      <c r="P419" s="71" t="str">
        <f>TEXT(기계경비총괄표!H7,"#,##0")</f>
        <v>59,020</v>
      </c>
      <c r="Q419" s="71"/>
      <c r="R419" s="71"/>
      <c r="S419" s="71"/>
      <c r="T419" s="71"/>
      <c r="U419" s="71"/>
      <c r="V419" s="71"/>
      <c r="W419" s="71"/>
      <c r="X419" s="71"/>
      <c r="Y419" s="71" t="s">
        <v>309</v>
      </c>
      <c r="Z419" s="71"/>
      <c r="AA419" s="71"/>
      <c r="AB419" s="71" t="str">
        <f>TEXT(AP415,"#,##0.#######")</f>
        <v>0.64</v>
      </c>
      <c r="AC419" s="71"/>
      <c r="AD419" s="71"/>
      <c r="AE419" s="71"/>
      <c r="AF419" s="71"/>
      <c r="AG419" s="71"/>
      <c r="AH419" s="71" t="s">
        <v>542</v>
      </c>
      <c r="AI419" s="71"/>
      <c r="AJ419" s="71" t="s">
        <v>429</v>
      </c>
      <c r="AK419" s="71"/>
      <c r="AL419" s="71" t="s">
        <v>542</v>
      </c>
      <c r="AM419" s="71"/>
      <c r="AN419" s="71" t="str">
        <f>TEXT(2,"#,##0.#######")</f>
        <v>2.</v>
      </c>
      <c r="AO419" s="71" t="s">
        <v>414</v>
      </c>
      <c r="AP419" s="71"/>
      <c r="AQ419" s="71"/>
      <c r="AR419" s="71" t="s">
        <v>254</v>
      </c>
      <c r="AS419" s="71"/>
      <c r="AT419" s="71" t="str">
        <f>TEXT(P419,"#,##0.#######")</f>
        <v>59,020.</v>
      </c>
      <c r="AU419" s="71"/>
      <c r="AV419" s="71"/>
      <c r="AW419" s="71"/>
      <c r="AX419" s="71"/>
      <c r="AY419" s="71"/>
      <c r="AZ419" s="71"/>
      <c r="BA419" s="71" t="s">
        <v>309</v>
      </c>
      <c r="BB419" s="71"/>
      <c r="BC419" s="71"/>
      <c r="BD419" s="71" t="str">
        <f>TEXT(AP415,"#,##0.#######")</f>
        <v>0.64</v>
      </c>
      <c r="BE419" s="71"/>
      <c r="BF419" s="71"/>
      <c r="BG419" s="71"/>
      <c r="BH419" s="71" t="s">
        <v>542</v>
      </c>
      <c r="BI419" s="71"/>
      <c r="BJ419" s="71" t="str">
        <f>TEXT(AL396,"#,##0.#######")</f>
        <v>1.</v>
      </c>
      <c r="BK419" s="71" t="s">
        <v>542</v>
      </c>
      <c r="BL419" s="71"/>
      <c r="BM419" s="71" t="str">
        <f>TEXT(AN419,"#,##0.#######")</f>
        <v>2.</v>
      </c>
      <c r="BN419" s="71"/>
      <c r="BO419" s="71" t="s">
        <v>254</v>
      </c>
      <c r="BP419" s="71"/>
      <c r="BQ419" s="71" t="str">
        <f>TEXT(TRUNC(P419/AP415*AL396*AN419,1),"#,##0.#")</f>
        <v>184,437.5</v>
      </c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2"/>
      <c r="CZ419" s="72"/>
      <c r="DA419" s="72"/>
      <c r="DB419" s="72"/>
      <c r="DC419" s="72"/>
      <c r="DD419" s="72"/>
      <c r="DE419" s="72"/>
      <c r="DF419" s="72"/>
      <c r="DG419" s="72"/>
      <c r="DH419" s="72"/>
      <c r="DI419" s="72"/>
      <c r="DJ419" s="72"/>
      <c r="DK419" s="72"/>
      <c r="DL419" s="72"/>
      <c r="DM419" s="72"/>
      <c r="DN419" s="72"/>
      <c r="DO419" s="72"/>
      <c r="DP419" s="72"/>
      <c r="DQ419" s="72"/>
      <c r="DR419" s="72"/>
      <c r="DS419" s="72"/>
      <c r="DT419" s="72"/>
      <c r="DU419" s="72"/>
      <c r="DV419" s="72"/>
      <c r="DW419" s="72"/>
      <c r="DX419" s="72"/>
      <c r="DY419" s="72"/>
      <c r="DZ419" s="72"/>
      <c r="EA419" s="72"/>
      <c r="EB419" s="72"/>
      <c r="EC419" s="72"/>
      <c r="ED419" s="72"/>
      <c r="EE419" s="72"/>
      <c r="EF419" s="72"/>
      <c r="EG419" s="72"/>
      <c r="EH419" s="72"/>
      <c r="EI419" s="72"/>
      <c r="EJ419" s="72"/>
      <c r="EK419" s="72"/>
      <c r="EL419" s="79"/>
      <c r="EM419" s="79"/>
      <c r="EN419" s="79"/>
      <c r="EO419" s="80"/>
      <c r="EP419" s="78"/>
    </row>
    <row r="420" spans="2:146" ht="11.25" customHeight="1" x14ac:dyDescent="0.2">
      <c r="B420" s="70"/>
      <c r="C420" s="71"/>
      <c r="D420" s="71"/>
      <c r="E420" s="71"/>
      <c r="F420" s="71"/>
      <c r="G420" s="71" t="s">
        <v>400</v>
      </c>
      <c r="H420" s="71"/>
      <c r="I420" s="71"/>
      <c r="J420" s="71"/>
      <c r="K420" s="71"/>
      <c r="L420" s="71"/>
      <c r="M420" s="71"/>
      <c r="N420" s="71" t="s">
        <v>469</v>
      </c>
      <c r="O420" s="71"/>
      <c r="P420" s="71" t="str">
        <f>TEXT(기계경비총괄표!G7,"#,##0")</f>
        <v>41,764</v>
      </c>
      <c r="Q420" s="71"/>
      <c r="R420" s="71"/>
      <c r="S420" s="71"/>
      <c r="T420" s="71"/>
      <c r="U420" s="71"/>
      <c r="V420" s="71"/>
      <c r="W420" s="71"/>
      <c r="X420" s="71"/>
      <c r="Y420" s="71" t="s">
        <v>309</v>
      </c>
      <c r="Z420" s="71"/>
      <c r="AA420" s="71"/>
      <c r="AB420" s="71" t="str">
        <f>TEXT(AP415,"#,##0.#######")</f>
        <v>0.64</v>
      </c>
      <c r="AC420" s="71"/>
      <c r="AD420" s="71"/>
      <c r="AE420" s="71"/>
      <c r="AF420" s="71"/>
      <c r="AG420" s="71"/>
      <c r="AH420" s="71" t="s">
        <v>542</v>
      </c>
      <c r="AI420" s="71"/>
      <c r="AJ420" s="71" t="s">
        <v>383</v>
      </c>
      <c r="AK420" s="71"/>
      <c r="AL420" s="71" t="s">
        <v>542</v>
      </c>
      <c r="AM420" s="71"/>
      <c r="AN420" s="71" t="s">
        <v>429</v>
      </c>
      <c r="AO420" s="71"/>
      <c r="AP420" s="71" t="s">
        <v>542</v>
      </c>
      <c r="AQ420" s="71"/>
      <c r="AR420" s="71" t="str">
        <f>TEXT(2,"#,##0.#######")</f>
        <v>2.</v>
      </c>
      <c r="AS420" s="71" t="s">
        <v>414</v>
      </c>
      <c r="AT420" s="71"/>
      <c r="AU420" s="71"/>
      <c r="AV420" s="71" t="s">
        <v>254</v>
      </c>
      <c r="AW420" s="71"/>
      <c r="AX420" s="71" t="str">
        <f>TEXT(P420,"#,##0.#######")</f>
        <v>41,764.</v>
      </c>
      <c r="AY420" s="71"/>
      <c r="AZ420" s="71"/>
      <c r="BA420" s="71"/>
      <c r="BB420" s="71"/>
      <c r="BC420" s="71"/>
      <c r="BD420" s="71"/>
      <c r="BE420" s="71" t="s">
        <v>309</v>
      </c>
      <c r="BF420" s="71"/>
      <c r="BG420" s="71"/>
      <c r="BH420" s="71" t="str">
        <f>TEXT(AP415,"#,##0.#######")</f>
        <v>0.64</v>
      </c>
      <c r="BI420" s="71"/>
      <c r="BJ420" s="71"/>
      <c r="BK420" s="71"/>
      <c r="BL420" s="71" t="s">
        <v>542</v>
      </c>
      <c r="BM420" s="71"/>
      <c r="BN420" s="71" t="str">
        <f>TEXT(BF417,"#,##0.#######")</f>
        <v>0.52</v>
      </c>
      <c r="BO420" s="71"/>
      <c r="BP420" s="71"/>
      <c r="BQ420" s="71"/>
      <c r="BR420" s="71" t="s">
        <v>542</v>
      </c>
      <c r="BS420" s="71"/>
      <c r="BT420" s="71" t="str">
        <f>TEXT(AL396,"#,##0.#######")</f>
        <v>1.</v>
      </c>
      <c r="BU420" s="71" t="s">
        <v>542</v>
      </c>
      <c r="BV420" s="71"/>
      <c r="BW420" s="71" t="str">
        <f>TEXT(AR420,"#,##0.#######")</f>
        <v>2.</v>
      </c>
      <c r="BX420" s="71"/>
      <c r="BY420" s="71" t="s">
        <v>254</v>
      </c>
      <c r="BZ420" s="71"/>
      <c r="CA420" s="71" t="str">
        <f>TEXT(TRUNC(P420/AP415*BF417*AL396*AR420,1),"#,##0.#")</f>
        <v>67,866.5</v>
      </c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2"/>
      <c r="CZ420" s="72"/>
      <c r="DA420" s="72"/>
      <c r="DB420" s="72"/>
      <c r="DC420" s="72"/>
      <c r="DD420" s="72"/>
      <c r="DE420" s="72"/>
      <c r="DF420" s="72"/>
      <c r="DG420" s="72"/>
      <c r="DH420" s="72"/>
      <c r="DI420" s="72"/>
      <c r="DJ420" s="72"/>
      <c r="DK420" s="72"/>
      <c r="DL420" s="72"/>
      <c r="DM420" s="72"/>
      <c r="DN420" s="72"/>
      <c r="DO420" s="72"/>
      <c r="DP420" s="72"/>
      <c r="DQ420" s="72"/>
      <c r="DR420" s="72"/>
      <c r="DS420" s="72"/>
      <c r="DT420" s="72"/>
      <c r="DU420" s="72"/>
      <c r="DV420" s="72"/>
      <c r="DW420" s="72"/>
      <c r="DX420" s="72"/>
      <c r="DY420" s="72"/>
      <c r="DZ420" s="72"/>
      <c r="EA420" s="72"/>
      <c r="EB420" s="72"/>
      <c r="EC420" s="72"/>
      <c r="ED420" s="72"/>
      <c r="EE420" s="72"/>
      <c r="EF420" s="72"/>
      <c r="EG420" s="72"/>
      <c r="EH420" s="72"/>
      <c r="EI420" s="72"/>
      <c r="EJ420" s="72"/>
      <c r="EK420" s="72"/>
      <c r="EL420" s="79"/>
      <c r="EM420" s="79"/>
      <c r="EN420" s="79"/>
      <c r="EO420" s="80"/>
      <c r="EP420" s="78"/>
    </row>
    <row r="421" spans="2:146" ht="11.25" customHeight="1" x14ac:dyDescent="0.2">
      <c r="B421" s="70"/>
      <c r="C421" s="71"/>
      <c r="D421" s="71"/>
      <c r="E421" s="71"/>
      <c r="F421" s="71"/>
      <c r="G421" s="71" t="s">
        <v>147</v>
      </c>
      <c r="H421" s="71"/>
      <c r="I421" s="71"/>
      <c r="J421" s="71"/>
      <c r="K421" s="71" t="s">
        <v>342</v>
      </c>
      <c r="L421" s="71"/>
      <c r="M421" s="71"/>
      <c r="N421" s="71" t="s">
        <v>469</v>
      </c>
      <c r="O421" s="71"/>
      <c r="P421" s="71" t="str">
        <f>TEXT(기계경비총괄표!I7,"#,##0")</f>
        <v>17,314</v>
      </c>
      <c r="Q421" s="71"/>
      <c r="R421" s="71"/>
      <c r="S421" s="71"/>
      <c r="T421" s="71"/>
      <c r="U421" s="71"/>
      <c r="V421" s="71"/>
      <c r="W421" s="71"/>
      <c r="X421" s="71"/>
      <c r="Y421" s="71" t="s">
        <v>309</v>
      </c>
      <c r="Z421" s="71"/>
      <c r="AA421" s="71"/>
      <c r="AB421" s="71" t="str">
        <f>TEXT(AP415,"#,##0.#######")</f>
        <v>0.64</v>
      </c>
      <c r="AC421" s="71"/>
      <c r="AD421" s="71"/>
      <c r="AE421" s="71"/>
      <c r="AF421" s="71"/>
      <c r="AG421" s="71"/>
      <c r="AH421" s="71" t="s">
        <v>542</v>
      </c>
      <c r="AI421" s="71"/>
      <c r="AJ421" s="71" t="s">
        <v>429</v>
      </c>
      <c r="AK421" s="71"/>
      <c r="AL421" s="71" t="s">
        <v>542</v>
      </c>
      <c r="AM421" s="71"/>
      <c r="AN421" s="71" t="str">
        <f>TEXT(2,"#,##0.#######")</f>
        <v>2.</v>
      </c>
      <c r="AO421" s="71" t="s">
        <v>414</v>
      </c>
      <c r="AP421" s="71"/>
      <c r="AQ421" s="71"/>
      <c r="AR421" s="71" t="s">
        <v>254</v>
      </c>
      <c r="AS421" s="71"/>
      <c r="AT421" s="71" t="str">
        <f>TEXT(P421,"#,##0.#######")</f>
        <v>17,314.</v>
      </c>
      <c r="AU421" s="71"/>
      <c r="AV421" s="71"/>
      <c r="AW421" s="71"/>
      <c r="AX421" s="71"/>
      <c r="AY421" s="71"/>
      <c r="AZ421" s="71"/>
      <c r="BA421" s="71" t="s">
        <v>309</v>
      </c>
      <c r="BB421" s="71"/>
      <c r="BC421" s="71"/>
      <c r="BD421" s="71" t="str">
        <f>TEXT(AP415,"#,##0.#######")</f>
        <v>0.64</v>
      </c>
      <c r="BE421" s="71"/>
      <c r="BF421" s="71"/>
      <c r="BG421" s="71"/>
      <c r="BH421" s="71" t="s">
        <v>542</v>
      </c>
      <c r="BI421" s="71"/>
      <c r="BJ421" s="71" t="str">
        <f>TEXT(AL396,"#,##0.#######")</f>
        <v>1.</v>
      </c>
      <c r="BK421" s="71" t="s">
        <v>542</v>
      </c>
      <c r="BL421" s="71"/>
      <c r="BM421" s="71" t="str">
        <f>TEXT(AN421,"#,##0.#######")</f>
        <v>2.</v>
      </c>
      <c r="BN421" s="71"/>
      <c r="BO421" s="71" t="s">
        <v>254</v>
      </c>
      <c r="BP421" s="71"/>
      <c r="BQ421" s="71"/>
      <c r="BR421" s="71" t="str">
        <f>TEXT(TRUNC(P421/AP415*AL396*AN421,1),"#,##0.#")</f>
        <v>54,106.2</v>
      </c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2"/>
      <c r="CZ421" s="72"/>
      <c r="DA421" s="72"/>
      <c r="DB421" s="72"/>
      <c r="DC421" s="72"/>
      <c r="DD421" s="72"/>
      <c r="DE421" s="72"/>
      <c r="DF421" s="72"/>
      <c r="DG421" s="72"/>
      <c r="DH421" s="72"/>
      <c r="DI421" s="72"/>
      <c r="DJ421" s="72"/>
      <c r="DK421" s="72"/>
      <c r="DL421" s="72"/>
      <c r="DM421" s="72"/>
      <c r="DN421" s="72"/>
      <c r="DO421" s="72"/>
      <c r="DP421" s="72"/>
      <c r="DQ421" s="72"/>
      <c r="DR421" s="72"/>
      <c r="DS421" s="72"/>
      <c r="DT421" s="72"/>
      <c r="DU421" s="72"/>
      <c r="DV421" s="72"/>
      <c r="DW421" s="72"/>
      <c r="DX421" s="72"/>
      <c r="DY421" s="72"/>
      <c r="DZ421" s="72"/>
      <c r="EA421" s="72"/>
      <c r="EB421" s="72"/>
      <c r="EC421" s="72"/>
      <c r="ED421" s="72"/>
      <c r="EE421" s="72"/>
      <c r="EF421" s="72"/>
      <c r="EG421" s="72"/>
      <c r="EH421" s="72"/>
      <c r="EI421" s="72"/>
      <c r="EJ421" s="72"/>
      <c r="EK421" s="72"/>
      <c r="EL421" s="79"/>
      <c r="EM421" s="79"/>
      <c r="EN421" s="79"/>
      <c r="EO421" s="80"/>
      <c r="EP421" s="78"/>
    </row>
    <row r="422" spans="2:146" ht="11.25" customHeight="1" x14ac:dyDescent="0.2">
      <c r="B422" s="70"/>
      <c r="C422" s="71"/>
      <c r="D422" s="71"/>
      <c r="E422" s="71"/>
      <c r="F422" s="71"/>
      <c r="G422" s="71" t="s">
        <v>252</v>
      </c>
      <c r="H422" s="71"/>
      <c r="I422" s="71"/>
      <c r="J422" s="71"/>
      <c r="K422" s="71" t="s">
        <v>341</v>
      </c>
      <c r="L422" s="71"/>
      <c r="M422" s="71"/>
      <c r="N422" s="71" t="s">
        <v>469</v>
      </c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 t="str">
        <f>TEXT(BQ419+CA420+BR421,"#,##0.#######")</f>
        <v>306,410.2</v>
      </c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2"/>
      <c r="CZ422" s="72"/>
      <c r="DA422" s="72"/>
      <c r="DB422" s="72"/>
      <c r="DC422" s="72"/>
      <c r="DD422" s="72"/>
      <c r="DE422" s="72"/>
      <c r="DF422" s="72"/>
      <c r="DG422" s="72"/>
      <c r="DH422" s="72"/>
      <c r="DI422" s="72"/>
      <c r="DJ422" s="72"/>
      <c r="DK422" s="72"/>
      <c r="DL422" s="72"/>
      <c r="DM422" s="72"/>
      <c r="DN422" s="72"/>
      <c r="DO422" s="72"/>
      <c r="DP422" s="72"/>
      <c r="DQ422" s="72"/>
      <c r="DR422" s="72"/>
      <c r="DS422" s="72"/>
      <c r="DT422" s="72"/>
      <c r="DU422" s="72"/>
      <c r="DV422" s="72"/>
      <c r="DW422" s="72"/>
      <c r="DX422" s="72"/>
      <c r="DY422" s="72"/>
      <c r="DZ422" s="72"/>
      <c r="EA422" s="72"/>
      <c r="EB422" s="72"/>
      <c r="EC422" s="72"/>
      <c r="ED422" s="72"/>
      <c r="EE422" s="72"/>
      <c r="EF422" s="72"/>
      <c r="EG422" s="72"/>
      <c r="EH422" s="72"/>
      <c r="EI422" s="72"/>
      <c r="EJ422" s="72"/>
      <c r="EK422" s="72"/>
      <c r="EL422" s="79">
        <f>EN422+EM422+EO422</f>
        <v>306410.2</v>
      </c>
      <c r="EM422" s="79" t="str">
        <f>TEXT(CA420,"#,###.0")</f>
        <v>67,866.5</v>
      </c>
      <c r="EN422" s="79" t="str">
        <f>TEXT(BQ419,"#,###.0")</f>
        <v>184,437.5</v>
      </c>
      <c r="EO422" s="80" t="str">
        <f>TEXT(BR421,"#,###.0")</f>
        <v>54,106.2</v>
      </c>
      <c r="EP422" s="78"/>
    </row>
    <row r="423" spans="2:146" ht="11.25" customHeight="1" x14ac:dyDescent="0.2">
      <c r="B423" s="70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2"/>
      <c r="CZ423" s="72"/>
      <c r="DA423" s="72"/>
      <c r="DB423" s="72"/>
      <c r="DC423" s="72"/>
      <c r="DD423" s="72"/>
      <c r="DE423" s="72"/>
      <c r="DF423" s="72"/>
      <c r="DG423" s="72"/>
      <c r="DH423" s="72"/>
      <c r="DI423" s="72"/>
      <c r="DJ423" s="72"/>
      <c r="DK423" s="72"/>
      <c r="DL423" s="72"/>
      <c r="DM423" s="72"/>
      <c r="DN423" s="72"/>
      <c r="DO423" s="72"/>
      <c r="DP423" s="72"/>
      <c r="DQ423" s="72"/>
      <c r="DR423" s="72"/>
      <c r="DS423" s="72"/>
      <c r="DT423" s="72"/>
      <c r="DU423" s="72"/>
      <c r="DV423" s="72"/>
      <c r="DW423" s="72"/>
      <c r="DX423" s="72"/>
      <c r="DY423" s="72"/>
      <c r="DZ423" s="72"/>
      <c r="EA423" s="72"/>
      <c r="EB423" s="72"/>
      <c r="EC423" s="72"/>
      <c r="ED423" s="72"/>
      <c r="EE423" s="72"/>
      <c r="EF423" s="72"/>
      <c r="EG423" s="72"/>
      <c r="EH423" s="72"/>
      <c r="EI423" s="72"/>
      <c r="EJ423" s="72"/>
      <c r="EK423" s="72"/>
      <c r="EL423" s="79"/>
      <c r="EM423" s="79"/>
      <c r="EN423" s="79"/>
      <c r="EO423" s="80"/>
      <c r="EP423" s="78"/>
    </row>
    <row r="424" spans="2:146" ht="11.25" customHeight="1" x14ac:dyDescent="0.2">
      <c r="B424" s="70"/>
      <c r="C424" s="71"/>
      <c r="D424" s="71" t="s">
        <v>463</v>
      </c>
      <c r="E424" s="71"/>
      <c r="F424" s="71"/>
      <c r="G424" s="71" t="s">
        <v>329</v>
      </c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2"/>
      <c r="CZ424" s="72"/>
      <c r="DA424" s="72"/>
      <c r="DB424" s="72"/>
      <c r="DC424" s="72"/>
      <c r="DD424" s="72"/>
      <c r="DE424" s="72"/>
      <c r="DF424" s="72"/>
      <c r="DG424" s="72"/>
      <c r="DH424" s="72"/>
      <c r="DI424" s="72"/>
      <c r="DJ424" s="72"/>
      <c r="DK424" s="72"/>
      <c r="DL424" s="72"/>
      <c r="DM424" s="72"/>
      <c r="DN424" s="72"/>
      <c r="DO424" s="72"/>
      <c r="DP424" s="72"/>
      <c r="DQ424" s="72"/>
      <c r="DR424" s="72"/>
      <c r="DS424" s="72"/>
      <c r="DT424" s="72"/>
      <c r="DU424" s="72"/>
      <c r="DV424" s="72"/>
      <c r="DW424" s="72"/>
      <c r="DX424" s="72"/>
      <c r="DY424" s="72"/>
      <c r="DZ424" s="72"/>
      <c r="EA424" s="72"/>
      <c r="EB424" s="72"/>
      <c r="EC424" s="72"/>
      <c r="ED424" s="72"/>
      <c r="EE424" s="72"/>
      <c r="EF424" s="72"/>
      <c r="EG424" s="72"/>
      <c r="EH424" s="72"/>
      <c r="EI424" s="72"/>
      <c r="EJ424" s="72"/>
      <c r="EK424" s="72"/>
      <c r="EL424" s="79"/>
      <c r="EM424" s="79"/>
      <c r="EN424" s="79"/>
      <c r="EO424" s="80"/>
      <c r="EP424" s="78"/>
    </row>
    <row r="425" spans="2:146" ht="11.25" customHeight="1" x14ac:dyDescent="0.2">
      <c r="B425" s="70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2"/>
      <c r="CZ425" s="72"/>
      <c r="DA425" s="72"/>
      <c r="DB425" s="72"/>
      <c r="DC425" s="72"/>
      <c r="DD425" s="72"/>
      <c r="DE425" s="72"/>
      <c r="DF425" s="72"/>
      <c r="DG425" s="72"/>
      <c r="DH425" s="72"/>
      <c r="DI425" s="72"/>
      <c r="DJ425" s="72"/>
      <c r="DK425" s="72"/>
      <c r="DL425" s="72"/>
      <c r="DM425" s="72"/>
      <c r="DN425" s="72"/>
      <c r="DO425" s="72"/>
      <c r="DP425" s="72"/>
      <c r="DQ425" s="72"/>
      <c r="DR425" s="72"/>
      <c r="DS425" s="72"/>
      <c r="DT425" s="72"/>
      <c r="DU425" s="72"/>
      <c r="DV425" s="72"/>
      <c r="DW425" s="72"/>
      <c r="DX425" s="72"/>
      <c r="DY425" s="72"/>
      <c r="DZ425" s="72"/>
      <c r="EA425" s="72"/>
      <c r="EB425" s="72"/>
      <c r="EC425" s="72"/>
      <c r="ED425" s="72"/>
      <c r="EE425" s="72"/>
      <c r="EF425" s="72"/>
      <c r="EG425" s="72"/>
      <c r="EH425" s="72"/>
      <c r="EI425" s="72"/>
      <c r="EJ425" s="72"/>
      <c r="EK425" s="72"/>
      <c r="EL425" s="79"/>
      <c r="EM425" s="79"/>
      <c r="EN425" s="79"/>
      <c r="EO425" s="80"/>
      <c r="EP425" s="78"/>
    </row>
    <row r="426" spans="2:146" ht="11.25" customHeight="1" x14ac:dyDescent="0.2">
      <c r="B426" s="70"/>
      <c r="C426" s="71"/>
      <c r="D426" s="71"/>
      <c r="E426" s="71" t="s">
        <v>477</v>
      </c>
      <c r="F426" s="71"/>
      <c r="G426" s="71" t="s">
        <v>459</v>
      </c>
      <c r="H426" s="71"/>
      <c r="I426" s="71" t="s">
        <v>10</v>
      </c>
      <c r="J426" s="71"/>
      <c r="K426" s="71"/>
      <c r="L426" s="71"/>
      <c r="M426" s="71"/>
      <c r="N426" s="71"/>
      <c r="O426" s="71"/>
      <c r="P426" s="71"/>
      <c r="Q426" s="71"/>
      <c r="R426" s="71" t="s">
        <v>90</v>
      </c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2"/>
      <c r="CZ426" s="72"/>
      <c r="DA426" s="72"/>
      <c r="DB426" s="72"/>
      <c r="DC426" s="72"/>
      <c r="DD426" s="72"/>
      <c r="DE426" s="72"/>
      <c r="DF426" s="72"/>
      <c r="DG426" s="72"/>
      <c r="DH426" s="72"/>
      <c r="DI426" s="72"/>
      <c r="DJ426" s="72"/>
      <c r="DK426" s="72"/>
      <c r="DL426" s="72"/>
      <c r="DM426" s="72"/>
      <c r="DN426" s="72"/>
      <c r="DO426" s="72"/>
      <c r="DP426" s="72"/>
      <c r="DQ426" s="72"/>
      <c r="DR426" s="72"/>
      <c r="DS426" s="72"/>
      <c r="DT426" s="72"/>
      <c r="DU426" s="72"/>
      <c r="DV426" s="72"/>
      <c r="DW426" s="72"/>
      <c r="DX426" s="72"/>
      <c r="DY426" s="72"/>
      <c r="DZ426" s="72"/>
      <c r="EA426" s="72"/>
      <c r="EB426" s="72"/>
      <c r="EC426" s="72"/>
      <c r="ED426" s="72"/>
      <c r="EE426" s="72"/>
      <c r="EF426" s="72"/>
      <c r="EG426" s="72"/>
      <c r="EH426" s="72"/>
      <c r="EI426" s="72"/>
      <c r="EJ426" s="72"/>
      <c r="EK426" s="72"/>
      <c r="EL426" s="79"/>
      <c r="EM426" s="79"/>
      <c r="EN426" s="79"/>
      <c r="EO426" s="80"/>
      <c r="EP426" s="78"/>
    </row>
    <row r="427" spans="2:146" ht="11.25" customHeight="1" x14ac:dyDescent="0.2">
      <c r="B427" s="70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2"/>
      <c r="CZ427" s="72"/>
      <c r="DA427" s="72"/>
      <c r="DB427" s="72"/>
      <c r="DC427" s="72"/>
      <c r="DD427" s="72"/>
      <c r="DE427" s="72"/>
      <c r="DF427" s="72"/>
      <c r="DG427" s="72"/>
      <c r="DH427" s="72"/>
      <c r="DI427" s="72"/>
      <c r="DJ427" s="72"/>
      <c r="DK427" s="72"/>
      <c r="DL427" s="72"/>
      <c r="DM427" s="72"/>
      <c r="DN427" s="72"/>
      <c r="DO427" s="72"/>
      <c r="DP427" s="72"/>
      <c r="DQ427" s="72"/>
      <c r="DR427" s="72"/>
      <c r="DS427" s="72"/>
      <c r="DT427" s="72"/>
      <c r="DU427" s="72"/>
      <c r="DV427" s="72"/>
      <c r="DW427" s="72"/>
      <c r="DX427" s="72"/>
      <c r="DY427" s="72"/>
      <c r="DZ427" s="72"/>
      <c r="EA427" s="72"/>
      <c r="EB427" s="72"/>
      <c r="EC427" s="72"/>
      <c r="ED427" s="72"/>
      <c r="EE427" s="72"/>
      <c r="EF427" s="72"/>
      <c r="EG427" s="72"/>
      <c r="EH427" s="72"/>
      <c r="EI427" s="72"/>
      <c r="EJ427" s="72"/>
      <c r="EK427" s="72"/>
      <c r="EL427" s="79"/>
      <c r="EM427" s="79"/>
      <c r="EN427" s="79"/>
      <c r="EO427" s="80"/>
      <c r="EP427" s="78"/>
    </row>
    <row r="428" spans="2:146" ht="11.25" customHeight="1" x14ac:dyDescent="0.2">
      <c r="B428" s="70"/>
      <c r="C428" s="71"/>
      <c r="D428" s="71"/>
      <c r="E428" s="71"/>
      <c r="F428" s="71"/>
      <c r="G428" s="71" t="s">
        <v>431</v>
      </c>
      <c r="H428" s="71"/>
      <c r="I428" s="71" t="s">
        <v>254</v>
      </c>
      <c r="J428" s="71"/>
      <c r="K428" s="71" t="str">
        <f>TEXT(40,"#,##0.#######")</f>
        <v>40.</v>
      </c>
      <c r="L428" s="71"/>
      <c r="M428" s="71" t="s">
        <v>340</v>
      </c>
      <c r="N428" s="71"/>
      <c r="O428" s="71" t="s">
        <v>112</v>
      </c>
      <c r="P428" s="71" t="s">
        <v>467</v>
      </c>
      <c r="Q428" s="71"/>
      <c r="R428" s="71"/>
      <c r="S428" s="71"/>
      <c r="T428" s="71"/>
      <c r="U428" s="71"/>
      <c r="V428" s="71" t="s">
        <v>282</v>
      </c>
      <c r="W428" s="71"/>
      <c r="X428" s="71" t="s">
        <v>254</v>
      </c>
      <c r="Y428" s="71"/>
      <c r="Z428" s="71" t="str">
        <f>TEXT(0.9,"#,##0.#######")</f>
        <v>0.9</v>
      </c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9"/>
      <c r="EM428" s="79"/>
      <c r="EN428" s="79"/>
      <c r="EO428" s="80"/>
      <c r="EP428" s="78"/>
    </row>
    <row r="429" spans="2:146" ht="11.25" customHeight="1" x14ac:dyDescent="0.2">
      <c r="B429" s="70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9"/>
      <c r="EM429" s="79"/>
      <c r="EN429" s="79"/>
      <c r="EO429" s="80"/>
      <c r="EP429" s="78"/>
    </row>
    <row r="430" spans="2:146" ht="11.25" customHeight="1" x14ac:dyDescent="0.2">
      <c r="B430" s="70"/>
      <c r="C430" s="71"/>
      <c r="D430" s="71"/>
      <c r="E430" s="71"/>
      <c r="F430" s="71"/>
      <c r="G430" s="71" t="s">
        <v>91</v>
      </c>
      <c r="H430" s="71"/>
      <c r="I430" s="71"/>
      <c r="J430" s="71" t="s">
        <v>254</v>
      </c>
      <c r="K430" s="71"/>
      <c r="L430" s="71" t="s">
        <v>336</v>
      </c>
      <c r="M430" s="71" t="s">
        <v>504</v>
      </c>
      <c r="N430" s="71" t="s">
        <v>112</v>
      </c>
      <c r="O430" s="71" t="s">
        <v>431</v>
      </c>
      <c r="P430" s="71" t="s">
        <v>80</v>
      </c>
      <c r="Q430" s="71" t="s">
        <v>542</v>
      </c>
      <c r="R430" s="71"/>
      <c r="S430" s="71" t="str">
        <f>TEXT(2,"#,##0.#######")</f>
        <v>2.</v>
      </c>
      <c r="T430" s="71" t="s">
        <v>542</v>
      </c>
      <c r="U430" s="71"/>
      <c r="V430" s="71" t="str">
        <f>TEXT(60,"#,##0.#######")</f>
        <v>60.</v>
      </c>
      <c r="W430" s="71"/>
      <c r="X430" s="71"/>
      <c r="Y430" s="71" t="s">
        <v>254</v>
      </c>
      <c r="Z430" s="71"/>
      <c r="AA430" s="71" t="s">
        <v>336</v>
      </c>
      <c r="AB430" s="71" t="str">
        <f>TEXT(S389,"#,##0.#######")</f>
        <v>14.5</v>
      </c>
      <c r="AC430" s="71"/>
      <c r="AD430" s="71"/>
      <c r="AE430" s="71"/>
      <c r="AF430" s="71" t="s">
        <v>112</v>
      </c>
      <c r="AG430" s="71" t="str">
        <f>TEXT(K428,"#,##0.#######")</f>
        <v>40.</v>
      </c>
      <c r="AH430" s="71"/>
      <c r="AI430" s="71" t="s">
        <v>80</v>
      </c>
      <c r="AJ430" s="71" t="s">
        <v>542</v>
      </c>
      <c r="AK430" s="71"/>
      <c r="AL430" s="71" t="str">
        <f>TEXT(S430,"#,##0.#######")</f>
        <v>2.</v>
      </c>
      <c r="AM430" s="71" t="s">
        <v>542</v>
      </c>
      <c r="AN430" s="71"/>
      <c r="AO430" s="71" t="str">
        <f>TEXT(V430,"#,##0.#######")</f>
        <v>60.</v>
      </c>
      <c r="AP430" s="71"/>
      <c r="AQ430" s="71"/>
      <c r="AR430" s="71" t="s">
        <v>254</v>
      </c>
      <c r="AS430" s="71"/>
      <c r="AT430" s="71" t="str">
        <f>TEXT(ROUND((S389/K428)*S430*V430,2),"#,##0.#######")</f>
        <v>43.5</v>
      </c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9"/>
      <c r="EM430" s="79"/>
      <c r="EN430" s="79"/>
      <c r="EO430" s="80"/>
      <c r="EP430" s="78"/>
    </row>
    <row r="431" spans="2:146" ht="11.25" customHeight="1" x14ac:dyDescent="0.2">
      <c r="B431" s="70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2"/>
      <c r="CZ431" s="72"/>
      <c r="DA431" s="72"/>
      <c r="DB431" s="72"/>
      <c r="DC431" s="72"/>
      <c r="DD431" s="72"/>
      <c r="DE431" s="72"/>
      <c r="DF431" s="72"/>
      <c r="DG431" s="72"/>
      <c r="DH431" s="72"/>
      <c r="DI431" s="72"/>
      <c r="DJ431" s="72"/>
      <c r="DK431" s="72"/>
      <c r="DL431" s="72"/>
      <c r="DM431" s="72"/>
      <c r="DN431" s="72"/>
      <c r="DO431" s="72"/>
      <c r="DP431" s="72"/>
      <c r="DQ431" s="72"/>
      <c r="DR431" s="72"/>
      <c r="DS431" s="72"/>
      <c r="DT431" s="72"/>
      <c r="DU431" s="72"/>
      <c r="DV431" s="72"/>
      <c r="DW431" s="72"/>
      <c r="DX431" s="72"/>
      <c r="DY431" s="72"/>
      <c r="DZ431" s="72"/>
      <c r="EA431" s="72"/>
      <c r="EB431" s="72"/>
      <c r="EC431" s="72"/>
      <c r="ED431" s="72"/>
      <c r="EE431" s="72"/>
      <c r="EF431" s="72"/>
      <c r="EG431" s="72"/>
      <c r="EH431" s="72"/>
      <c r="EI431" s="72"/>
      <c r="EJ431" s="72"/>
      <c r="EK431" s="72"/>
      <c r="EL431" s="79"/>
      <c r="EM431" s="79"/>
      <c r="EN431" s="79"/>
      <c r="EO431" s="80"/>
      <c r="EP431" s="78"/>
    </row>
    <row r="432" spans="2:146" ht="11.25" customHeight="1" x14ac:dyDescent="0.2">
      <c r="B432" s="70"/>
      <c r="C432" s="71"/>
      <c r="D432" s="71"/>
      <c r="E432" s="71"/>
      <c r="F432" s="71"/>
      <c r="G432" s="71" t="s">
        <v>40</v>
      </c>
      <c r="H432" s="71"/>
      <c r="I432" s="71" t="s">
        <v>254</v>
      </c>
      <c r="J432" s="71"/>
      <c r="K432" s="71" t="s">
        <v>336</v>
      </c>
      <c r="L432" s="71" t="str">
        <f>TEXT(60,"#,##0.#######")</f>
        <v>60.</v>
      </c>
      <c r="M432" s="71"/>
      <c r="N432" s="71" t="s">
        <v>542</v>
      </c>
      <c r="O432" s="71"/>
      <c r="P432" s="71" t="s">
        <v>282</v>
      </c>
      <c r="Q432" s="71" t="s">
        <v>80</v>
      </c>
      <c r="R432" s="71"/>
      <c r="S432" s="71" t="s">
        <v>112</v>
      </c>
      <c r="T432" s="71"/>
      <c r="U432" s="71" t="s">
        <v>91</v>
      </c>
      <c r="V432" s="71"/>
      <c r="W432" s="71"/>
      <c r="X432" s="71" t="s">
        <v>254</v>
      </c>
      <c r="Y432" s="71"/>
      <c r="Z432" s="71" t="s">
        <v>336</v>
      </c>
      <c r="AA432" s="71" t="str">
        <f>TEXT(L432,"#,##0.#######")</f>
        <v>60.</v>
      </c>
      <c r="AB432" s="71"/>
      <c r="AC432" s="71" t="s">
        <v>542</v>
      </c>
      <c r="AD432" s="71"/>
      <c r="AE432" s="71" t="str">
        <f>TEXT(Z428,"#,##0.#######")</f>
        <v>0.9</v>
      </c>
      <c r="AF432" s="71"/>
      <c r="AG432" s="71"/>
      <c r="AH432" s="71" t="s">
        <v>80</v>
      </c>
      <c r="AI432" s="71"/>
      <c r="AJ432" s="71" t="s">
        <v>112</v>
      </c>
      <c r="AK432" s="71"/>
      <c r="AL432" s="71" t="str">
        <f>TEXT(AT430,"#,##0.#######")</f>
        <v>43.5</v>
      </c>
      <c r="AM432" s="71"/>
      <c r="AN432" s="71"/>
      <c r="AO432" s="71"/>
      <c r="AP432" s="71"/>
      <c r="AQ432" s="71" t="s">
        <v>254</v>
      </c>
      <c r="AR432" s="71"/>
      <c r="AS432" s="71" t="str">
        <f>TEXT(ROUND((L432*Z428)/AT430,2),"#,##0.#######")</f>
        <v>1.24</v>
      </c>
      <c r="AT432" s="71"/>
      <c r="AU432" s="71"/>
      <c r="AV432" s="71"/>
      <c r="AW432" s="71"/>
      <c r="AX432" s="71"/>
      <c r="AY432" s="71"/>
      <c r="AZ432" s="71" t="s">
        <v>414</v>
      </c>
      <c r="BA432" s="71"/>
      <c r="BB432" s="71" t="s">
        <v>112</v>
      </c>
      <c r="BC432" s="71" t="s">
        <v>467</v>
      </c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2"/>
      <c r="CZ432" s="72"/>
      <c r="DA432" s="72"/>
      <c r="DB432" s="72"/>
      <c r="DC432" s="72"/>
      <c r="DD432" s="72"/>
      <c r="DE432" s="72"/>
      <c r="DF432" s="72"/>
      <c r="DG432" s="72"/>
      <c r="DH432" s="72"/>
      <c r="DI432" s="72"/>
      <c r="DJ432" s="72"/>
      <c r="DK432" s="72"/>
      <c r="DL432" s="72"/>
      <c r="DM432" s="72"/>
      <c r="DN432" s="72"/>
      <c r="DO432" s="72"/>
      <c r="DP432" s="72"/>
      <c r="DQ432" s="72"/>
      <c r="DR432" s="72"/>
      <c r="DS432" s="72"/>
      <c r="DT432" s="72"/>
      <c r="DU432" s="72"/>
      <c r="DV432" s="72"/>
      <c r="DW432" s="72"/>
      <c r="DX432" s="72"/>
      <c r="DY432" s="72"/>
      <c r="DZ432" s="72"/>
      <c r="EA432" s="72"/>
      <c r="EB432" s="72"/>
      <c r="EC432" s="72"/>
      <c r="ED432" s="72"/>
      <c r="EE432" s="72"/>
      <c r="EF432" s="72"/>
      <c r="EG432" s="72"/>
      <c r="EH432" s="72"/>
      <c r="EI432" s="72"/>
      <c r="EJ432" s="72"/>
      <c r="EK432" s="72"/>
      <c r="EL432" s="79"/>
      <c r="EM432" s="79"/>
      <c r="EN432" s="79"/>
      <c r="EO432" s="80"/>
      <c r="EP432" s="78"/>
    </row>
    <row r="433" spans="2:146" ht="11.25" customHeight="1" x14ac:dyDescent="0.2">
      <c r="B433" s="70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2"/>
      <c r="CZ433" s="72"/>
      <c r="DA433" s="72"/>
      <c r="DB433" s="72"/>
      <c r="DC433" s="72"/>
      <c r="DD433" s="72"/>
      <c r="DE433" s="72"/>
      <c r="DF433" s="72"/>
      <c r="DG433" s="72"/>
      <c r="DH433" s="72"/>
      <c r="DI433" s="72"/>
      <c r="DJ433" s="72"/>
      <c r="DK433" s="72"/>
      <c r="DL433" s="72"/>
      <c r="DM433" s="72"/>
      <c r="DN433" s="72"/>
      <c r="DO433" s="72"/>
      <c r="DP433" s="72"/>
      <c r="DQ433" s="72"/>
      <c r="DR433" s="72"/>
      <c r="DS433" s="72"/>
      <c r="DT433" s="72"/>
      <c r="DU433" s="72"/>
      <c r="DV433" s="72"/>
      <c r="DW433" s="72"/>
      <c r="DX433" s="72"/>
      <c r="DY433" s="72"/>
      <c r="DZ433" s="72"/>
      <c r="EA433" s="72"/>
      <c r="EB433" s="72"/>
      <c r="EC433" s="72"/>
      <c r="ED433" s="72"/>
      <c r="EE433" s="72"/>
      <c r="EF433" s="72"/>
      <c r="EG433" s="72"/>
      <c r="EH433" s="72"/>
      <c r="EI433" s="72"/>
      <c r="EJ433" s="72"/>
      <c r="EK433" s="72"/>
      <c r="EL433" s="79"/>
      <c r="EM433" s="79"/>
      <c r="EN433" s="79"/>
      <c r="EO433" s="80"/>
      <c r="EP433" s="78"/>
    </row>
    <row r="434" spans="2:146" ht="11.25" customHeight="1" x14ac:dyDescent="0.2">
      <c r="B434" s="70"/>
      <c r="C434" s="71"/>
      <c r="D434" s="71"/>
      <c r="E434" s="71"/>
      <c r="F434" s="71"/>
      <c r="G434" s="71" t="s">
        <v>543</v>
      </c>
      <c r="H434" s="71"/>
      <c r="I434" s="71"/>
      <c r="J434" s="71"/>
      <c r="K434" s="71"/>
      <c r="L434" s="71"/>
      <c r="M434" s="71"/>
      <c r="N434" s="71" t="s">
        <v>469</v>
      </c>
      <c r="O434" s="71"/>
      <c r="P434" s="71" t="str">
        <f>TEXT(기계경비총괄표!H10,"#,##0")</f>
        <v>49,778</v>
      </c>
      <c r="Q434" s="71"/>
      <c r="R434" s="71"/>
      <c r="S434" s="71"/>
      <c r="T434" s="71"/>
      <c r="U434" s="71"/>
      <c r="V434" s="71"/>
      <c r="W434" s="71"/>
      <c r="X434" s="71"/>
      <c r="Y434" s="71" t="s">
        <v>309</v>
      </c>
      <c r="Z434" s="71"/>
      <c r="AA434" s="71"/>
      <c r="AB434" s="71" t="str">
        <f>TEXT(AS432,"#,##0.#######")</f>
        <v>1.24</v>
      </c>
      <c r="AC434" s="71"/>
      <c r="AD434" s="71"/>
      <c r="AE434" s="71"/>
      <c r="AF434" s="71"/>
      <c r="AG434" s="71"/>
      <c r="AH434" s="71"/>
      <c r="AI434" s="71" t="s">
        <v>254</v>
      </c>
      <c r="AJ434" s="71"/>
      <c r="AK434" s="71" t="str">
        <f>TEXT(TRUNC(P434/AS432,1),"#,##0.#")</f>
        <v>40,143.5</v>
      </c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2"/>
      <c r="CZ434" s="72"/>
      <c r="DA434" s="72"/>
      <c r="DB434" s="72"/>
      <c r="DC434" s="72"/>
      <c r="DD434" s="72"/>
      <c r="DE434" s="72"/>
      <c r="DF434" s="72"/>
      <c r="DG434" s="72"/>
      <c r="DH434" s="72"/>
      <c r="DI434" s="72"/>
      <c r="DJ434" s="72"/>
      <c r="DK434" s="72"/>
      <c r="DL434" s="72"/>
      <c r="DM434" s="72"/>
      <c r="DN434" s="72"/>
      <c r="DO434" s="72"/>
      <c r="DP434" s="72"/>
      <c r="DQ434" s="72"/>
      <c r="DR434" s="72"/>
      <c r="DS434" s="72"/>
      <c r="DT434" s="72"/>
      <c r="DU434" s="72"/>
      <c r="DV434" s="72"/>
      <c r="DW434" s="72"/>
      <c r="DX434" s="72"/>
      <c r="DY434" s="72"/>
      <c r="DZ434" s="72"/>
      <c r="EA434" s="72"/>
      <c r="EB434" s="72"/>
      <c r="EC434" s="72"/>
      <c r="ED434" s="72"/>
      <c r="EE434" s="72"/>
      <c r="EF434" s="72"/>
      <c r="EG434" s="72"/>
      <c r="EH434" s="72"/>
      <c r="EI434" s="72"/>
      <c r="EJ434" s="72"/>
      <c r="EK434" s="72"/>
      <c r="EL434" s="79"/>
      <c r="EM434" s="79"/>
      <c r="EN434" s="79"/>
      <c r="EO434" s="80"/>
      <c r="EP434" s="78"/>
    </row>
    <row r="435" spans="2:146" ht="11.25" customHeight="1" x14ac:dyDescent="0.2">
      <c r="B435" s="70"/>
      <c r="C435" s="71"/>
      <c r="D435" s="71"/>
      <c r="E435" s="71"/>
      <c r="F435" s="71"/>
      <c r="G435" s="71" t="s">
        <v>400</v>
      </c>
      <c r="H435" s="71"/>
      <c r="I435" s="71"/>
      <c r="J435" s="71"/>
      <c r="K435" s="71"/>
      <c r="L435" s="71"/>
      <c r="M435" s="71"/>
      <c r="N435" s="71" t="s">
        <v>469</v>
      </c>
      <c r="O435" s="71"/>
      <c r="P435" s="71" t="str">
        <f>TEXT(기계경비총괄표!G10,"#,##0")</f>
        <v>22,015</v>
      </c>
      <c r="Q435" s="71"/>
      <c r="R435" s="71"/>
      <c r="S435" s="71"/>
      <c r="T435" s="71"/>
      <c r="U435" s="71"/>
      <c r="V435" s="71"/>
      <c r="W435" s="71"/>
      <c r="X435" s="71"/>
      <c r="Y435" s="71" t="s">
        <v>309</v>
      </c>
      <c r="Z435" s="71"/>
      <c r="AA435" s="71"/>
      <c r="AB435" s="71" t="str">
        <f>TEXT(AS432,"#,##0.#######")</f>
        <v>1.24</v>
      </c>
      <c r="AC435" s="71"/>
      <c r="AD435" s="71"/>
      <c r="AE435" s="71"/>
      <c r="AF435" s="71"/>
      <c r="AG435" s="71"/>
      <c r="AH435" s="71"/>
      <c r="AI435" s="71" t="s">
        <v>254</v>
      </c>
      <c r="AJ435" s="71"/>
      <c r="AK435" s="71" t="str">
        <f>TEXT(TRUNC(P435/AS432,1),"#,##0.#")</f>
        <v>17,754.</v>
      </c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2"/>
      <c r="CZ435" s="72"/>
      <c r="DA435" s="72"/>
      <c r="DB435" s="72"/>
      <c r="DC435" s="72"/>
      <c r="DD435" s="72"/>
      <c r="DE435" s="72"/>
      <c r="DF435" s="72"/>
      <c r="DG435" s="72"/>
      <c r="DH435" s="72"/>
      <c r="DI435" s="72"/>
      <c r="DJ435" s="72"/>
      <c r="DK435" s="72"/>
      <c r="DL435" s="72"/>
      <c r="DM435" s="72"/>
      <c r="DN435" s="72"/>
      <c r="DO435" s="72"/>
      <c r="DP435" s="72"/>
      <c r="DQ435" s="72"/>
      <c r="DR435" s="72"/>
      <c r="DS435" s="72"/>
      <c r="DT435" s="72"/>
      <c r="DU435" s="72"/>
      <c r="DV435" s="72"/>
      <c r="DW435" s="72"/>
      <c r="DX435" s="72"/>
      <c r="DY435" s="72"/>
      <c r="DZ435" s="72"/>
      <c r="EA435" s="72"/>
      <c r="EB435" s="72"/>
      <c r="EC435" s="72"/>
      <c r="ED435" s="72"/>
      <c r="EE435" s="72"/>
      <c r="EF435" s="72"/>
      <c r="EG435" s="72"/>
      <c r="EH435" s="72"/>
      <c r="EI435" s="72"/>
      <c r="EJ435" s="72"/>
      <c r="EK435" s="72"/>
      <c r="EL435" s="79"/>
      <c r="EM435" s="79"/>
      <c r="EN435" s="79"/>
      <c r="EO435" s="80"/>
      <c r="EP435" s="78"/>
    </row>
    <row r="436" spans="2:146" ht="11.25" customHeight="1" x14ac:dyDescent="0.2">
      <c r="B436" s="70"/>
      <c r="C436" s="71"/>
      <c r="D436" s="71"/>
      <c r="E436" s="71"/>
      <c r="F436" s="71"/>
      <c r="G436" s="71" t="s">
        <v>147</v>
      </c>
      <c r="H436" s="71"/>
      <c r="I436" s="71"/>
      <c r="J436" s="71"/>
      <c r="K436" s="71" t="s">
        <v>342</v>
      </c>
      <c r="L436" s="71"/>
      <c r="M436" s="71"/>
      <c r="N436" s="71" t="s">
        <v>469</v>
      </c>
      <c r="O436" s="71"/>
      <c r="P436" s="71" t="str">
        <f>TEXT(기계경비총괄표!I10,"#,##0")</f>
        <v>9,986</v>
      </c>
      <c r="Q436" s="71"/>
      <c r="R436" s="71"/>
      <c r="S436" s="71"/>
      <c r="T436" s="71"/>
      <c r="U436" s="71"/>
      <c r="V436" s="71"/>
      <c r="W436" s="71"/>
      <c r="X436" s="71" t="s">
        <v>309</v>
      </c>
      <c r="Y436" s="71"/>
      <c r="Z436" s="71"/>
      <c r="AA436" s="71" t="str">
        <f>TEXT(AS432,"#,##0.#######")</f>
        <v>1.24</v>
      </c>
      <c r="AB436" s="71"/>
      <c r="AC436" s="71"/>
      <c r="AD436" s="71"/>
      <c r="AE436" s="71"/>
      <c r="AF436" s="71"/>
      <c r="AG436" s="71"/>
      <c r="AH436" s="71" t="s">
        <v>254</v>
      </c>
      <c r="AI436" s="71"/>
      <c r="AJ436" s="71" t="str">
        <f>TEXT(TRUNC(P436/AS432,1),"#,##0.#")</f>
        <v>8,053.2</v>
      </c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2"/>
      <c r="CZ436" s="72"/>
      <c r="DA436" s="72"/>
      <c r="DB436" s="72"/>
      <c r="DC436" s="72"/>
      <c r="DD436" s="72"/>
      <c r="DE436" s="72"/>
      <c r="DF436" s="72"/>
      <c r="DG436" s="72"/>
      <c r="DH436" s="72"/>
      <c r="DI436" s="72"/>
      <c r="DJ436" s="72"/>
      <c r="DK436" s="72"/>
      <c r="DL436" s="72"/>
      <c r="DM436" s="72"/>
      <c r="DN436" s="72"/>
      <c r="DO436" s="72"/>
      <c r="DP436" s="72"/>
      <c r="DQ436" s="72"/>
      <c r="DR436" s="72"/>
      <c r="DS436" s="72"/>
      <c r="DT436" s="72"/>
      <c r="DU436" s="72"/>
      <c r="DV436" s="72"/>
      <c r="DW436" s="72"/>
      <c r="DX436" s="72"/>
      <c r="DY436" s="72"/>
      <c r="DZ436" s="72"/>
      <c r="EA436" s="72"/>
      <c r="EB436" s="72"/>
      <c r="EC436" s="72"/>
      <c r="ED436" s="72"/>
      <c r="EE436" s="72"/>
      <c r="EF436" s="72"/>
      <c r="EG436" s="72"/>
      <c r="EH436" s="72"/>
      <c r="EI436" s="72"/>
      <c r="EJ436" s="72"/>
      <c r="EK436" s="72"/>
      <c r="EL436" s="79"/>
      <c r="EM436" s="79"/>
      <c r="EN436" s="79"/>
      <c r="EO436" s="80"/>
      <c r="EP436" s="78"/>
    </row>
    <row r="437" spans="2:146" ht="11.25" customHeight="1" x14ac:dyDescent="0.2">
      <c r="B437" s="70"/>
      <c r="C437" s="71"/>
      <c r="D437" s="71"/>
      <c r="E437" s="71"/>
      <c r="F437" s="71"/>
      <c r="G437" s="71" t="s">
        <v>252</v>
      </c>
      <c r="H437" s="71"/>
      <c r="I437" s="71"/>
      <c r="J437" s="71"/>
      <c r="K437" s="71" t="s">
        <v>341</v>
      </c>
      <c r="L437" s="71"/>
      <c r="M437" s="71"/>
      <c r="N437" s="71" t="s">
        <v>469</v>
      </c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 t="str">
        <f>TEXT(AK434+AK435+AJ436,"#,##0.#######")</f>
        <v>65,950.7</v>
      </c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2"/>
      <c r="CZ437" s="72"/>
      <c r="DA437" s="72"/>
      <c r="DB437" s="72"/>
      <c r="DC437" s="72"/>
      <c r="DD437" s="72"/>
      <c r="DE437" s="72"/>
      <c r="DF437" s="72"/>
      <c r="DG437" s="72"/>
      <c r="DH437" s="72"/>
      <c r="DI437" s="72"/>
      <c r="DJ437" s="72"/>
      <c r="DK437" s="72"/>
      <c r="DL437" s="72"/>
      <c r="DM437" s="72"/>
      <c r="DN437" s="72"/>
      <c r="DO437" s="72"/>
      <c r="DP437" s="72"/>
      <c r="DQ437" s="72"/>
      <c r="DR437" s="72"/>
      <c r="DS437" s="72"/>
      <c r="DT437" s="72"/>
      <c r="DU437" s="72"/>
      <c r="DV437" s="72"/>
      <c r="DW437" s="72"/>
      <c r="DX437" s="72"/>
      <c r="DY437" s="72"/>
      <c r="DZ437" s="72"/>
      <c r="EA437" s="72"/>
      <c r="EB437" s="72"/>
      <c r="EC437" s="72"/>
      <c r="ED437" s="72"/>
      <c r="EE437" s="72"/>
      <c r="EF437" s="72"/>
      <c r="EG437" s="72"/>
      <c r="EH437" s="72"/>
      <c r="EI437" s="72"/>
      <c r="EJ437" s="72"/>
      <c r="EK437" s="72"/>
      <c r="EL437" s="79">
        <f>EN437+EM437+EO437</f>
        <v>65950.7</v>
      </c>
      <c r="EM437" s="79" t="str">
        <f>TEXT(AK435,"#,###.0")</f>
        <v>17,754.0</v>
      </c>
      <c r="EN437" s="79" t="str">
        <f>TEXT(AK434,"#,###.0")</f>
        <v>40,143.5</v>
      </c>
      <c r="EO437" s="80" t="str">
        <f>TEXT(AJ436,"#,###.0")</f>
        <v>8,053.2</v>
      </c>
      <c r="EP437" s="78"/>
    </row>
    <row r="438" spans="2:146" ht="11.25" customHeight="1" x14ac:dyDescent="0.2">
      <c r="B438" s="70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2"/>
      <c r="CZ438" s="72"/>
      <c r="DA438" s="72"/>
      <c r="DB438" s="72"/>
      <c r="DC438" s="72"/>
      <c r="DD438" s="72"/>
      <c r="DE438" s="72"/>
      <c r="DF438" s="72"/>
      <c r="DG438" s="72"/>
      <c r="DH438" s="72"/>
      <c r="DI438" s="72"/>
      <c r="DJ438" s="72"/>
      <c r="DK438" s="72"/>
      <c r="DL438" s="72"/>
      <c r="DM438" s="72"/>
      <c r="DN438" s="72"/>
      <c r="DO438" s="72"/>
      <c r="DP438" s="72"/>
      <c r="DQ438" s="72"/>
      <c r="DR438" s="72"/>
      <c r="DS438" s="72"/>
      <c r="DT438" s="72"/>
      <c r="DU438" s="72"/>
      <c r="DV438" s="72"/>
      <c r="DW438" s="72"/>
      <c r="DX438" s="72"/>
      <c r="DY438" s="72"/>
      <c r="DZ438" s="72"/>
      <c r="EA438" s="72"/>
      <c r="EB438" s="72"/>
      <c r="EC438" s="72"/>
      <c r="ED438" s="72"/>
      <c r="EE438" s="72"/>
      <c r="EF438" s="72"/>
      <c r="EG438" s="72"/>
      <c r="EH438" s="72"/>
      <c r="EI438" s="72"/>
      <c r="EJ438" s="72"/>
      <c r="EK438" s="72"/>
      <c r="EL438" s="79"/>
      <c r="EM438" s="79"/>
      <c r="EN438" s="79"/>
      <c r="EO438" s="80"/>
      <c r="EP438" s="78"/>
    </row>
    <row r="439" spans="2:146" ht="11.25" customHeight="1" x14ac:dyDescent="0.2">
      <c r="B439" s="70"/>
      <c r="C439" s="71"/>
      <c r="D439" s="71"/>
      <c r="E439" s="71" t="s">
        <v>398</v>
      </c>
      <c r="F439" s="71"/>
      <c r="G439" s="71" t="s">
        <v>459</v>
      </c>
      <c r="H439" s="71"/>
      <c r="I439" s="71" t="s">
        <v>252</v>
      </c>
      <c r="J439" s="71"/>
      <c r="K439" s="71"/>
      <c r="L439" s="71"/>
      <c r="M439" s="71" t="s">
        <v>341</v>
      </c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2"/>
      <c r="CZ439" s="72"/>
      <c r="DA439" s="72"/>
      <c r="DB439" s="72"/>
      <c r="DC439" s="72"/>
      <c r="DD439" s="72"/>
      <c r="DE439" s="72"/>
      <c r="DF439" s="72"/>
      <c r="DG439" s="72"/>
      <c r="DH439" s="72"/>
      <c r="DI439" s="72"/>
      <c r="DJ439" s="72"/>
      <c r="DK439" s="72"/>
      <c r="DL439" s="72"/>
      <c r="DM439" s="72"/>
      <c r="DN439" s="72"/>
      <c r="DO439" s="72"/>
      <c r="DP439" s="72"/>
      <c r="DQ439" s="72"/>
      <c r="DR439" s="72"/>
      <c r="DS439" s="72"/>
      <c r="DT439" s="72"/>
      <c r="DU439" s="72"/>
      <c r="DV439" s="72"/>
      <c r="DW439" s="72"/>
      <c r="DX439" s="72"/>
      <c r="DY439" s="72"/>
      <c r="DZ439" s="72"/>
      <c r="EA439" s="72"/>
      <c r="EB439" s="72"/>
      <c r="EC439" s="72"/>
      <c r="ED439" s="72"/>
      <c r="EE439" s="72"/>
      <c r="EF439" s="72"/>
      <c r="EG439" s="72"/>
      <c r="EH439" s="72"/>
      <c r="EI439" s="72"/>
      <c r="EJ439" s="72"/>
      <c r="EK439" s="72"/>
      <c r="EL439" s="79"/>
      <c r="EM439" s="79"/>
      <c r="EN439" s="79"/>
      <c r="EO439" s="80"/>
      <c r="EP439" s="78"/>
    </row>
    <row r="440" spans="2:146" ht="11.25" customHeight="1" x14ac:dyDescent="0.2">
      <c r="B440" s="70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2"/>
      <c r="CZ440" s="72"/>
      <c r="DA440" s="72"/>
      <c r="DB440" s="72"/>
      <c r="DC440" s="72"/>
      <c r="DD440" s="72"/>
      <c r="DE440" s="72"/>
      <c r="DF440" s="72"/>
      <c r="DG440" s="72"/>
      <c r="DH440" s="72"/>
      <c r="DI440" s="72"/>
      <c r="DJ440" s="72"/>
      <c r="DK440" s="72"/>
      <c r="DL440" s="72"/>
      <c r="DM440" s="72"/>
      <c r="DN440" s="72"/>
      <c r="DO440" s="72"/>
      <c r="DP440" s="72"/>
      <c r="DQ440" s="72"/>
      <c r="DR440" s="72"/>
      <c r="DS440" s="72"/>
      <c r="DT440" s="72"/>
      <c r="DU440" s="72"/>
      <c r="DV440" s="72"/>
      <c r="DW440" s="72"/>
      <c r="DX440" s="72"/>
      <c r="DY440" s="72"/>
      <c r="DZ440" s="72"/>
      <c r="EA440" s="72"/>
      <c r="EB440" s="72"/>
      <c r="EC440" s="72"/>
      <c r="ED440" s="72"/>
      <c r="EE440" s="72"/>
      <c r="EF440" s="72"/>
      <c r="EG440" s="72"/>
      <c r="EH440" s="72"/>
      <c r="EI440" s="72"/>
      <c r="EJ440" s="72"/>
      <c r="EK440" s="72"/>
      <c r="EL440" s="79"/>
      <c r="EM440" s="79"/>
      <c r="EN440" s="79"/>
      <c r="EO440" s="80"/>
      <c r="EP440" s="78"/>
    </row>
    <row r="441" spans="2:146" ht="11.25" customHeight="1" x14ac:dyDescent="0.2">
      <c r="B441" s="70"/>
      <c r="C441" s="71"/>
      <c r="D441" s="71"/>
      <c r="E441" s="71"/>
      <c r="F441" s="71"/>
      <c r="G441" s="71"/>
      <c r="H441" s="71" t="s">
        <v>543</v>
      </c>
      <c r="I441" s="71"/>
      <c r="J441" s="71"/>
      <c r="K441" s="71"/>
      <c r="L441" s="71"/>
      <c r="M441" s="71"/>
      <c r="N441" s="71"/>
      <c r="O441" s="71" t="s">
        <v>469</v>
      </c>
      <c r="P441" s="71"/>
      <c r="Q441" s="71" t="str">
        <f>EN437</f>
        <v>40,143.5</v>
      </c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2"/>
      <c r="CZ441" s="72"/>
      <c r="DA441" s="72"/>
      <c r="DB441" s="72"/>
      <c r="DC441" s="72"/>
      <c r="DD441" s="72"/>
      <c r="DE441" s="72"/>
      <c r="DF441" s="72"/>
      <c r="DG441" s="72"/>
      <c r="DH441" s="72"/>
      <c r="DI441" s="72"/>
      <c r="DJ441" s="72"/>
      <c r="DK441" s="72"/>
      <c r="DL441" s="72"/>
      <c r="DM441" s="72"/>
      <c r="DN441" s="72"/>
      <c r="DO441" s="72"/>
      <c r="DP441" s="72"/>
      <c r="DQ441" s="72"/>
      <c r="DR441" s="72"/>
      <c r="DS441" s="72"/>
      <c r="DT441" s="72"/>
      <c r="DU441" s="72"/>
      <c r="DV441" s="72"/>
      <c r="DW441" s="72"/>
      <c r="DX441" s="72"/>
      <c r="DY441" s="72"/>
      <c r="DZ441" s="72"/>
      <c r="EA441" s="72"/>
      <c r="EB441" s="72"/>
      <c r="EC441" s="72"/>
      <c r="ED441" s="72"/>
      <c r="EE441" s="72"/>
      <c r="EF441" s="72"/>
      <c r="EG441" s="72"/>
      <c r="EH441" s="72"/>
      <c r="EI441" s="72"/>
      <c r="EJ441" s="72"/>
      <c r="EK441" s="72"/>
      <c r="EL441" s="79"/>
      <c r="EM441" s="79"/>
      <c r="EN441" s="79"/>
      <c r="EO441" s="80"/>
      <c r="EP441" s="78"/>
    </row>
    <row r="442" spans="2:146" ht="11.25" customHeight="1" x14ac:dyDescent="0.2">
      <c r="B442" s="70"/>
      <c r="C442" s="71"/>
      <c r="D442" s="71"/>
      <c r="E442" s="71"/>
      <c r="F442" s="71"/>
      <c r="G442" s="71"/>
      <c r="H442" s="71" t="s">
        <v>400</v>
      </c>
      <c r="I442" s="71"/>
      <c r="J442" s="71"/>
      <c r="K442" s="71"/>
      <c r="L442" s="71"/>
      <c r="M442" s="71"/>
      <c r="N442" s="71"/>
      <c r="O442" s="71" t="s">
        <v>469</v>
      </c>
      <c r="P442" s="71"/>
      <c r="Q442" s="71" t="str">
        <f>EM437</f>
        <v>17,754.0</v>
      </c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2"/>
      <c r="CZ442" s="72"/>
      <c r="DA442" s="72"/>
      <c r="DB442" s="72"/>
      <c r="DC442" s="72"/>
      <c r="DD442" s="72"/>
      <c r="DE442" s="72"/>
      <c r="DF442" s="72"/>
      <c r="DG442" s="72"/>
      <c r="DH442" s="72"/>
      <c r="DI442" s="72"/>
      <c r="DJ442" s="72"/>
      <c r="DK442" s="72"/>
      <c r="DL442" s="72"/>
      <c r="DM442" s="72"/>
      <c r="DN442" s="72"/>
      <c r="DO442" s="72"/>
      <c r="DP442" s="72"/>
      <c r="DQ442" s="72"/>
      <c r="DR442" s="72"/>
      <c r="DS442" s="72"/>
      <c r="DT442" s="72"/>
      <c r="DU442" s="72"/>
      <c r="DV442" s="72"/>
      <c r="DW442" s="72"/>
      <c r="DX442" s="72"/>
      <c r="DY442" s="72"/>
      <c r="DZ442" s="72"/>
      <c r="EA442" s="72"/>
      <c r="EB442" s="72"/>
      <c r="EC442" s="72"/>
      <c r="ED442" s="72"/>
      <c r="EE442" s="72"/>
      <c r="EF442" s="72"/>
      <c r="EG442" s="72"/>
      <c r="EH442" s="72"/>
      <c r="EI442" s="72"/>
      <c r="EJ442" s="72"/>
      <c r="EK442" s="72"/>
      <c r="EL442" s="79"/>
      <c r="EM442" s="79"/>
      <c r="EN442" s="79"/>
      <c r="EO442" s="80"/>
      <c r="EP442" s="78"/>
    </row>
    <row r="443" spans="2:146" ht="11.25" customHeight="1" x14ac:dyDescent="0.2">
      <c r="B443" s="70"/>
      <c r="C443" s="71"/>
      <c r="D443" s="71"/>
      <c r="E443" s="71"/>
      <c r="F443" s="71"/>
      <c r="G443" s="71"/>
      <c r="H443" s="71" t="s">
        <v>147</v>
      </c>
      <c r="I443" s="71"/>
      <c r="J443" s="71"/>
      <c r="K443" s="71"/>
      <c r="L443" s="71" t="s">
        <v>342</v>
      </c>
      <c r="M443" s="71"/>
      <c r="N443" s="71"/>
      <c r="O443" s="71" t="s">
        <v>469</v>
      </c>
      <c r="P443" s="71"/>
      <c r="Q443" s="71" t="str">
        <f>EO437</f>
        <v>8,053.2</v>
      </c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2"/>
      <c r="CZ443" s="72"/>
      <c r="DA443" s="72"/>
      <c r="DB443" s="72"/>
      <c r="DC443" s="72"/>
      <c r="DD443" s="72"/>
      <c r="DE443" s="72"/>
      <c r="DF443" s="72"/>
      <c r="DG443" s="72"/>
      <c r="DH443" s="72"/>
      <c r="DI443" s="72"/>
      <c r="DJ443" s="72"/>
      <c r="DK443" s="72"/>
      <c r="DL443" s="72"/>
      <c r="DM443" s="72"/>
      <c r="DN443" s="72"/>
      <c r="DO443" s="72"/>
      <c r="DP443" s="72"/>
      <c r="DQ443" s="72"/>
      <c r="DR443" s="72"/>
      <c r="DS443" s="72"/>
      <c r="DT443" s="72"/>
      <c r="DU443" s="72"/>
      <c r="DV443" s="72"/>
      <c r="DW443" s="72"/>
      <c r="DX443" s="72"/>
      <c r="DY443" s="72"/>
      <c r="DZ443" s="72"/>
      <c r="EA443" s="72"/>
      <c r="EB443" s="72"/>
      <c r="EC443" s="72"/>
      <c r="ED443" s="72"/>
      <c r="EE443" s="72"/>
      <c r="EF443" s="72"/>
      <c r="EG443" s="72"/>
      <c r="EH443" s="72"/>
      <c r="EI443" s="72"/>
      <c r="EJ443" s="72"/>
      <c r="EK443" s="72"/>
      <c r="EL443" s="79"/>
      <c r="EM443" s="79"/>
      <c r="EN443" s="79"/>
      <c r="EO443" s="80"/>
      <c r="EP443" s="78"/>
    </row>
    <row r="444" spans="2:146" ht="11.25" customHeight="1" x14ac:dyDescent="0.2">
      <c r="B444" s="70"/>
      <c r="C444" s="71"/>
      <c r="D444" s="71"/>
      <c r="E444" s="71"/>
      <c r="F444" s="71"/>
      <c r="G444" s="71"/>
      <c r="H444" s="71"/>
      <c r="I444" s="71"/>
      <c r="J444" s="71" t="s">
        <v>341</v>
      </c>
      <c r="K444" s="71"/>
      <c r="L444" s="71"/>
      <c r="M444" s="71"/>
      <c r="N444" s="71"/>
      <c r="O444" s="71" t="s">
        <v>469</v>
      </c>
      <c r="P444" s="71"/>
      <c r="Q444" s="71"/>
      <c r="R444" s="71" t="str">
        <f>TEXT(Q441+Q442+Q443,"#,##0.#######")</f>
        <v>65,950.7</v>
      </c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2"/>
      <c r="CZ444" s="72"/>
      <c r="DA444" s="72"/>
      <c r="DB444" s="72"/>
      <c r="DC444" s="72"/>
      <c r="DD444" s="72"/>
      <c r="DE444" s="72"/>
      <c r="DF444" s="72"/>
      <c r="DG444" s="72"/>
      <c r="DH444" s="72"/>
      <c r="DI444" s="72"/>
      <c r="DJ444" s="72"/>
      <c r="DK444" s="72"/>
      <c r="DL444" s="72"/>
      <c r="DM444" s="72"/>
      <c r="DN444" s="72"/>
      <c r="DO444" s="72"/>
      <c r="DP444" s="72"/>
      <c r="DQ444" s="72"/>
      <c r="DR444" s="72"/>
      <c r="DS444" s="72"/>
      <c r="DT444" s="72"/>
      <c r="DU444" s="72"/>
      <c r="DV444" s="72"/>
      <c r="DW444" s="72"/>
      <c r="DX444" s="72"/>
      <c r="DY444" s="72"/>
      <c r="DZ444" s="72"/>
      <c r="EA444" s="72"/>
      <c r="EB444" s="72"/>
      <c r="EC444" s="72"/>
      <c r="ED444" s="72"/>
      <c r="EE444" s="72"/>
      <c r="EF444" s="72"/>
      <c r="EG444" s="72"/>
      <c r="EH444" s="72"/>
      <c r="EI444" s="72"/>
      <c r="EJ444" s="72"/>
      <c r="EK444" s="72"/>
      <c r="EL444" s="79">
        <f>EN444+EM444+EO444</f>
        <v>65950.7</v>
      </c>
      <c r="EM444" s="79" t="str">
        <f>TEXT(Q442,"#,###.0")</f>
        <v>17,754.0</v>
      </c>
      <c r="EN444" s="79" t="str">
        <f>TEXT(Q441,"#,###.0")</f>
        <v>40,143.5</v>
      </c>
      <c r="EO444" s="80" t="str">
        <f>TEXT(Q443,"#,###.0")</f>
        <v>8,053.2</v>
      </c>
      <c r="EP444" s="78"/>
    </row>
    <row r="445" spans="2:146" ht="11.25" customHeight="1" x14ac:dyDescent="0.2">
      <c r="B445" s="70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2"/>
      <c r="CZ445" s="72"/>
      <c r="DA445" s="72"/>
      <c r="DB445" s="72"/>
      <c r="DC445" s="72"/>
      <c r="DD445" s="72"/>
      <c r="DE445" s="72"/>
      <c r="DF445" s="72"/>
      <c r="DG445" s="72"/>
      <c r="DH445" s="72"/>
      <c r="DI445" s="72"/>
      <c r="DJ445" s="72"/>
      <c r="DK445" s="72"/>
      <c r="DL445" s="72"/>
      <c r="DM445" s="72"/>
      <c r="DN445" s="72"/>
      <c r="DO445" s="72"/>
      <c r="DP445" s="72"/>
      <c r="DQ445" s="72"/>
      <c r="DR445" s="72"/>
      <c r="DS445" s="72"/>
      <c r="DT445" s="72"/>
      <c r="DU445" s="72"/>
      <c r="DV445" s="72"/>
      <c r="DW445" s="72"/>
      <c r="DX445" s="72"/>
      <c r="DY445" s="72"/>
      <c r="DZ445" s="72"/>
      <c r="EA445" s="72"/>
      <c r="EB445" s="72"/>
      <c r="EC445" s="72"/>
      <c r="ED445" s="72"/>
      <c r="EE445" s="72"/>
      <c r="EF445" s="72"/>
      <c r="EG445" s="72"/>
      <c r="EH445" s="72"/>
      <c r="EI445" s="72"/>
      <c r="EJ445" s="72"/>
      <c r="EK445" s="72"/>
      <c r="EL445" s="79"/>
      <c r="EM445" s="79"/>
      <c r="EN445" s="79"/>
      <c r="EO445" s="80"/>
      <c r="EP445" s="78"/>
    </row>
    <row r="446" spans="2:146" ht="11.25" customHeight="1" x14ac:dyDescent="0.2">
      <c r="B446" s="70"/>
      <c r="C446" s="71"/>
      <c r="D446" s="71" t="s">
        <v>655</v>
      </c>
      <c r="E446" s="71"/>
      <c r="F446" s="71"/>
      <c r="G446" s="71" t="s">
        <v>437</v>
      </c>
      <c r="H446" s="71"/>
      <c r="I446" s="71"/>
      <c r="J446" s="71"/>
      <c r="K446" s="71" t="s">
        <v>341</v>
      </c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2"/>
      <c r="CZ446" s="72"/>
      <c r="DA446" s="72"/>
      <c r="DB446" s="72"/>
      <c r="DC446" s="72"/>
      <c r="DD446" s="72"/>
      <c r="DE446" s="72"/>
      <c r="DF446" s="72"/>
      <c r="DG446" s="72"/>
      <c r="DH446" s="72"/>
      <c r="DI446" s="72"/>
      <c r="DJ446" s="72"/>
      <c r="DK446" s="72"/>
      <c r="DL446" s="72"/>
      <c r="DM446" s="72"/>
      <c r="DN446" s="72"/>
      <c r="DO446" s="72"/>
      <c r="DP446" s="72"/>
      <c r="DQ446" s="72"/>
      <c r="DR446" s="72"/>
      <c r="DS446" s="72"/>
      <c r="DT446" s="72"/>
      <c r="DU446" s="72"/>
      <c r="DV446" s="72"/>
      <c r="DW446" s="72"/>
      <c r="DX446" s="72"/>
      <c r="DY446" s="72"/>
      <c r="DZ446" s="72"/>
      <c r="EA446" s="72"/>
      <c r="EB446" s="72"/>
      <c r="EC446" s="72"/>
      <c r="ED446" s="72"/>
      <c r="EE446" s="72"/>
      <c r="EF446" s="72"/>
      <c r="EG446" s="72"/>
      <c r="EH446" s="72"/>
      <c r="EI446" s="72"/>
      <c r="EJ446" s="72"/>
      <c r="EK446" s="72"/>
      <c r="EL446" s="79"/>
      <c r="EM446" s="79"/>
      <c r="EN446" s="79"/>
      <c r="EO446" s="80"/>
      <c r="EP446" s="78"/>
    </row>
    <row r="447" spans="2:146" ht="11.25" customHeight="1" x14ac:dyDescent="0.2">
      <c r="B447" s="70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2"/>
      <c r="CZ447" s="72"/>
      <c r="DA447" s="72"/>
      <c r="DB447" s="72"/>
      <c r="DC447" s="72"/>
      <c r="DD447" s="72"/>
      <c r="DE447" s="72"/>
      <c r="DF447" s="72"/>
      <c r="DG447" s="72"/>
      <c r="DH447" s="72"/>
      <c r="DI447" s="72"/>
      <c r="DJ447" s="72"/>
      <c r="DK447" s="72"/>
      <c r="DL447" s="72"/>
      <c r="DM447" s="72"/>
      <c r="DN447" s="72"/>
      <c r="DO447" s="72"/>
      <c r="DP447" s="72"/>
      <c r="DQ447" s="72"/>
      <c r="DR447" s="72"/>
      <c r="DS447" s="72"/>
      <c r="DT447" s="72"/>
      <c r="DU447" s="72"/>
      <c r="DV447" s="72"/>
      <c r="DW447" s="72"/>
      <c r="DX447" s="72"/>
      <c r="DY447" s="72"/>
      <c r="DZ447" s="72"/>
      <c r="EA447" s="72"/>
      <c r="EB447" s="72"/>
      <c r="EC447" s="72"/>
      <c r="ED447" s="72"/>
      <c r="EE447" s="72"/>
      <c r="EF447" s="72"/>
      <c r="EG447" s="72"/>
      <c r="EH447" s="72"/>
      <c r="EI447" s="72"/>
      <c r="EJ447" s="72"/>
      <c r="EK447" s="72"/>
      <c r="EL447" s="79"/>
      <c r="EM447" s="79"/>
      <c r="EN447" s="79"/>
      <c r="EO447" s="80"/>
      <c r="EP447" s="78"/>
    </row>
    <row r="448" spans="2:146" ht="11.25" customHeight="1" x14ac:dyDescent="0.2">
      <c r="B448" s="70"/>
      <c r="C448" s="71"/>
      <c r="D448" s="71"/>
      <c r="E448" s="71"/>
      <c r="F448" s="71"/>
      <c r="G448" s="71"/>
      <c r="H448" s="71" t="s">
        <v>543</v>
      </c>
      <c r="I448" s="71"/>
      <c r="J448" s="71"/>
      <c r="K448" s="71"/>
      <c r="L448" s="71"/>
      <c r="M448" s="71"/>
      <c r="N448" s="71"/>
      <c r="O448" s="71" t="s">
        <v>469</v>
      </c>
      <c r="P448" s="71"/>
      <c r="Q448" s="71" t="str">
        <f>TEXT(EN422,"#,###.##")</f>
        <v>184,437.5</v>
      </c>
      <c r="R448" s="71"/>
      <c r="S448" s="71"/>
      <c r="T448" s="71"/>
      <c r="U448" s="71"/>
      <c r="V448" s="71"/>
      <c r="W448" s="71"/>
      <c r="X448" s="71"/>
      <c r="Y448" s="71"/>
      <c r="Z448" s="71"/>
      <c r="AA448" s="71" t="s">
        <v>133</v>
      </c>
      <c r="AB448" s="71"/>
      <c r="AC448" s="71" t="str">
        <f>TEXT(EN444,"#,###.##")</f>
        <v>40,143.5</v>
      </c>
      <c r="AD448" s="71"/>
      <c r="AE448" s="71"/>
      <c r="AF448" s="71"/>
      <c r="AG448" s="71"/>
      <c r="AH448" s="71"/>
      <c r="AI448" s="71"/>
      <c r="AJ448" s="71"/>
      <c r="AK448" s="71"/>
      <c r="AL448" s="71" t="s">
        <v>254</v>
      </c>
      <c r="AM448" s="71"/>
      <c r="AN448" s="71"/>
      <c r="AO448" s="71" t="str">
        <f>TEXT(TRUNC(EN422+EN444,0),"#,##0")</f>
        <v>224,581</v>
      </c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2"/>
      <c r="CZ448" s="72"/>
      <c r="DA448" s="72"/>
      <c r="DB448" s="72"/>
      <c r="DC448" s="72"/>
      <c r="DD448" s="72"/>
      <c r="DE448" s="72"/>
      <c r="DF448" s="72"/>
      <c r="DG448" s="72"/>
      <c r="DH448" s="72"/>
      <c r="DI448" s="72"/>
      <c r="DJ448" s="72"/>
      <c r="DK448" s="72"/>
      <c r="DL448" s="72"/>
      <c r="DM448" s="72"/>
      <c r="DN448" s="72"/>
      <c r="DO448" s="72"/>
      <c r="DP448" s="72"/>
      <c r="DQ448" s="72"/>
      <c r="DR448" s="72"/>
      <c r="DS448" s="72"/>
      <c r="DT448" s="72"/>
      <c r="DU448" s="72"/>
      <c r="DV448" s="72"/>
      <c r="DW448" s="72"/>
      <c r="DX448" s="72"/>
      <c r="DY448" s="72"/>
      <c r="DZ448" s="72"/>
      <c r="EA448" s="72"/>
      <c r="EB448" s="72"/>
      <c r="EC448" s="72"/>
      <c r="ED448" s="72"/>
      <c r="EE448" s="72"/>
      <c r="EF448" s="72"/>
      <c r="EG448" s="72"/>
      <c r="EH448" s="72"/>
      <c r="EI448" s="72"/>
      <c r="EJ448" s="72"/>
      <c r="EK448" s="72"/>
      <c r="EL448" s="79"/>
      <c r="EM448" s="79"/>
      <c r="EN448" s="79"/>
      <c r="EO448" s="80"/>
      <c r="EP448" s="78"/>
    </row>
    <row r="449" spans="2:146" ht="11.25" customHeight="1" x14ac:dyDescent="0.2">
      <c r="B449" s="70"/>
      <c r="C449" s="71"/>
      <c r="D449" s="71"/>
      <c r="E449" s="71"/>
      <c r="F449" s="71"/>
      <c r="G449" s="71"/>
      <c r="H449" s="71" t="s">
        <v>400</v>
      </c>
      <c r="I449" s="71"/>
      <c r="J449" s="71"/>
      <c r="K449" s="71"/>
      <c r="L449" s="71"/>
      <c r="M449" s="71"/>
      <c r="N449" s="71"/>
      <c r="O449" s="71" t="s">
        <v>469</v>
      </c>
      <c r="P449" s="71"/>
      <c r="Q449" s="71" t="str">
        <f>TEXT(EM422,"#,###.##")</f>
        <v>67,866.5</v>
      </c>
      <c r="R449" s="71"/>
      <c r="S449" s="71"/>
      <c r="T449" s="71"/>
      <c r="U449" s="71"/>
      <c r="V449" s="71"/>
      <c r="W449" s="71"/>
      <c r="X449" s="71"/>
      <c r="Y449" s="71"/>
      <c r="Z449" s="71" t="s">
        <v>133</v>
      </c>
      <c r="AA449" s="71"/>
      <c r="AB449" s="71" t="str">
        <f>TEXT(EM444,"#,###.##")</f>
        <v>17,754.</v>
      </c>
      <c r="AC449" s="71"/>
      <c r="AD449" s="71"/>
      <c r="AE449" s="71"/>
      <c r="AF449" s="71"/>
      <c r="AG449" s="71"/>
      <c r="AH449" s="71"/>
      <c r="AI449" s="71" t="s">
        <v>254</v>
      </c>
      <c r="AJ449" s="71"/>
      <c r="AK449" s="71"/>
      <c r="AL449" s="71" t="str">
        <f>TEXT(TRUNC(EM422+EM444,0),"#,##0")</f>
        <v>85,620</v>
      </c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2"/>
      <c r="CZ449" s="72"/>
      <c r="DA449" s="72"/>
      <c r="DB449" s="72"/>
      <c r="DC449" s="72"/>
      <c r="DD449" s="72"/>
      <c r="DE449" s="72"/>
      <c r="DF449" s="72"/>
      <c r="DG449" s="72"/>
      <c r="DH449" s="72"/>
      <c r="DI449" s="72"/>
      <c r="DJ449" s="72"/>
      <c r="DK449" s="72"/>
      <c r="DL449" s="72"/>
      <c r="DM449" s="72"/>
      <c r="DN449" s="72"/>
      <c r="DO449" s="72"/>
      <c r="DP449" s="72"/>
      <c r="DQ449" s="72"/>
      <c r="DR449" s="72"/>
      <c r="DS449" s="72"/>
      <c r="DT449" s="72"/>
      <c r="DU449" s="72"/>
      <c r="DV449" s="72"/>
      <c r="DW449" s="72"/>
      <c r="DX449" s="72"/>
      <c r="DY449" s="72"/>
      <c r="DZ449" s="72"/>
      <c r="EA449" s="72"/>
      <c r="EB449" s="72"/>
      <c r="EC449" s="72"/>
      <c r="ED449" s="72"/>
      <c r="EE449" s="72"/>
      <c r="EF449" s="72"/>
      <c r="EG449" s="72"/>
      <c r="EH449" s="72"/>
      <c r="EI449" s="72"/>
      <c r="EJ449" s="72"/>
      <c r="EK449" s="72"/>
      <c r="EL449" s="79"/>
      <c r="EM449" s="79"/>
      <c r="EN449" s="79"/>
      <c r="EO449" s="80"/>
      <c r="EP449" s="78"/>
    </row>
    <row r="450" spans="2:146" ht="11.25" customHeight="1" x14ac:dyDescent="0.2">
      <c r="B450" s="70"/>
      <c r="C450" s="71"/>
      <c r="D450" s="71"/>
      <c r="E450" s="71"/>
      <c r="F450" s="71"/>
      <c r="G450" s="71"/>
      <c r="H450" s="71" t="s">
        <v>147</v>
      </c>
      <c r="I450" s="71"/>
      <c r="J450" s="71"/>
      <c r="K450" s="71"/>
      <c r="L450" s="71" t="s">
        <v>342</v>
      </c>
      <c r="M450" s="71"/>
      <c r="N450" s="71"/>
      <c r="O450" s="71" t="s">
        <v>469</v>
      </c>
      <c r="P450" s="71"/>
      <c r="Q450" s="71" t="str">
        <f>TEXT(EO422,"#,###.##")</f>
        <v>54,106.2</v>
      </c>
      <c r="R450" s="71"/>
      <c r="S450" s="71"/>
      <c r="T450" s="71"/>
      <c r="U450" s="71"/>
      <c r="V450" s="71"/>
      <c r="W450" s="71"/>
      <c r="X450" s="71"/>
      <c r="Y450" s="71"/>
      <c r="Z450" s="71" t="s">
        <v>133</v>
      </c>
      <c r="AA450" s="71"/>
      <c r="AB450" s="71" t="str">
        <f>TEXT(EO444,"#,###.##")</f>
        <v>8,053.2</v>
      </c>
      <c r="AC450" s="71"/>
      <c r="AD450" s="71"/>
      <c r="AE450" s="71"/>
      <c r="AF450" s="71"/>
      <c r="AG450" s="71"/>
      <c r="AH450" s="71"/>
      <c r="AI450" s="71"/>
      <c r="AJ450" s="71" t="s">
        <v>254</v>
      </c>
      <c r="AK450" s="71"/>
      <c r="AL450" s="71"/>
      <c r="AM450" s="71" t="str">
        <f>TEXT(TRUNC(EO422+EO444,0),"#,##0")</f>
        <v>62,159</v>
      </c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2"/>
      <c r="CZ450" s="72"/>
      <c r="DA450" s="72"/>
      <c r="DB450" s="72"/>
      <c r="DC450" s="72"/>
      <c r="DD450" s="72"/>
      <c r="DE450" s="72"/>
      <c r="DF450" s="72"/>
      <c r="DG450" s="72"/>
      <c r="DH450" s="72"/>
      <c r="DI450" s="72"/>
      <c r="DJ450" s="72"/>
      <c r="DK450" s="72"/>
      <c r="DL450" s="72"/>
      <c r="DM450" s="72"/>
      <c r="DN450" s="72"/>
      <c r="DO450" s="72"/>
      <c r="DP450" s="72"/>
      <c r="DQ450" s="72"/>
      <c r="DR450" s="72"/>
      <c r="DS450" s="72"/>
      <c r="DT450" s="72"/>
      <c r="DU450" s="72"/>
      <c r="DV450" s="72"/>
      <c r="DW450" s="72"/>
      <c r="DX450" s="72"/>
      <c r="DY450" s="72"/>
      <c r="DZ450" s="72"/>
      <c r="EA450" s="72"/>
      <c r="EB450" s="72"/>
      <c r="EC450" s="72"/>
      <c r="ED450" s="72"/>
      <c r="EE450" s="72"/>
      <c r="EF450" s="72"/>
      <c r="EG450" s="72"/>
      <c r="EH450" s="72"/>
      <c r="EI450" s="72"/>
      <c r="EJ450" s="72"/>
      <c r="EK450" s="72"/>
      <c r="EL450" s="79"/>
      <c r="EM450" s="79"/>
      <c r="EN450" s="79"/>
      <c r="EO450" s="80"/>
      <c r="EP450" s="78"/>
    </row>
    <row r="451" spans="2:146" ht="11.25" customHeight="1" x14ac:dyDescent="0.2">
      <c r="B451" s="70"/>
      <c r="C451" s="71"/>
      <c r="D451" s="71"/>
      <c r="E451" s="71"/>
      <c r="F451" s="71"/>
      <c r="G451" s="71"/>
      <c r="H451" s="71"/>
      <c r="I451" s="71"/>
      <c r="J451" s="71" t="s">
        <v>341</v>
      </c>
      <c r="K451" s="71"/>
      <c r="L451" s="71"/>
      <c r="M451" s="71"/>
      <c r="N451" s="71"/>
      <c r="O451" s="71" t="s">
        <v>469</v>
      </c>
      <c r="P451" s="71"/>
      <c r="Q451" s="71"/>
      <c r="R451" s="71" t="str">
        <f>TEXT(AO448+AL449+AM450,"#,##0")</f>
        <v>372,360</v>
      </c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2"/>
      <c r="CZ451" s="72"/>
      <c r="DA451" s="72"/>
      <c r="DB451" s="72"/>
      <c r="DC451" s="72"/>
      <c r="DD451" s="72"/>
      <c r="DE451" s="72"/>
      <c r="DF451" s="72"/>
      <c r="DG451" s="72"/>
      <c r="DH451" s="72"/>
      <c r="DI451" s="72"/>
      <c r="DJ451" s="72"/>
      <c r="DK451" s="72"/>
      <c r="DL451" s="72"/>
      <c r="DM451" s="72"/>
      <c r="DN451" s="72"/>
      <c r="DO451" s="72"/>
      <c r="DP451" s="72"/>
      <c r="DQ451" s="72"/>
      <c r="DR451" s="72"/>
      <c r="DS451" s="72"/>
      <c r="DT451" s="72"/>
      <c r="DU451" s="72"/>
      <c r="DV451" s="72"/>
      <c r="DW451" s="72"/>
      <c r="DX451" s="72"/>
      <c r="DY451" s="72"/>
      <c r="DZ451" s="72"/>
      <c r="EA451" s="72"/>
      <c r="EB451" s="72"/>
      <c r="EC451" s="72"/>
      <c r="ED451" s="72"/>
      <c r="EE451" s="72"/>
      <c r="EF451" s="72"/>
      <c r="EG451" s="72"/>
      <c r="EH451" s="72"/>
      <c r="EI451" s="72"/>
      <c r="EJ451" s="72"/>
      <c r="EK451" s="72"/>
      <c r="EL451" s="81">
        <f>EN451+EM451+EO451</f>
        <v>372360</v>
      </c>
      <c r="EM451" s="79" t="str">
        <f>TEXT(AL449,"#,##0")</f>
        <v>85,620</v>
      </c>
      <c r="EN451" s="79" t="str">
        <f>TEXT(AO448,"#,##0")</f>
        <v>224,581</v>
      </c>
      <c r="EO451" s="80" t="str">
        <f>TEXT(AM450,"#,##0")</f>
        <v>62,159</v>
      </c>
      <c r="EP451" s="78"/>
    </row>
    <row r="452" spans="2:146" ht="11.25" customHeight="1" x14ac:dyDescent="0.2">
      <c r="B452" s="70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2"/>
      <c r="CZ452" s="72"/>
      <c r="DA452" s="72"/>
      <c r="DB452" s="72"/>
      <c r="DC452" s="72"/>
      <c r="DD452" s="72"/>
      <c r="DE452" s="72"/>
      <c r="DF452" s="72"/>
      <c r="DG452" s="72"/>
      <c r="DH452" s="72"/>
      <c r="DI452" s="72"/>
      <c r="DJ452" s="72"/>
      <c r="DK452" s="72"/>
      <c r="DL452" s="72"/>
      <c r="DM452" s="72"/>
      <c r="DN452" s="72"/>
      <c r="DO452" s="72"/>
      <c r="DP452" s="72"/>
      <c r="DQ452" s="72"/>
      <c r="DR452" s="72"/>
      <c r="DS452" s="72"/>
      <c r="DT452" s="72"/>
      <c r="DU452" s="72"/>
      <c r="DV452" s="72"/>
      <c r="DW452" s="72"/>
      <c r="DX452" s="72"/>
      <c r="DY452" s="72"/>
      <c r="DZ452" s="72"/>
      <c r="EA452" s="72"/>
      <c r="EB452" s="72"/>
      <c r="EC452" s="72"/>
      <c r="ED452" s="72"/>
      <c r="EE452" s="72"/>
      <c r="EF452" s="72"/>
      <c r="EG452" s="72"/>
      <c r="EH452" s="72"/>
      <c r="EI452" s="72"/>
      <c r="EJ452" s="72"/>
      <c r="EK452" s="72"/>
      <c r="EL452" s="79"/>
      <c r="EM452" s="79"/>
      <c r="EN452" s="79"/>
      <c r="EO452" s="80"/>
      <c r="EP452" s="78"/>
    </row>
    <row r="453" spans="2:146" ht="11.25" customHeight="1" x14ac:dyDescent="0.2">
      <c r="B453" s="75" t="s">
        <v>233</v>
      </c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1"/>
      <c r="CH453" s="71"/>
      <c r="CI453" s="71"/>
      <c r="CJ453" s="71"/>
      <c r="CK453" s="71"/>
      <c r="CL453" s="71"/>
      <c r="CM453" s="71"/>
      <c r="CN453" s="71"/>
      <c r="CO453" s="71"/>
      <c r="CP453" s="71"/>
      <c r="CQ453" s="71"/>
      <c r="CR453" s="71"/>
      <c r="CS453" s="71"/>
      <c r="CT453" s="71"/>
      <c r="CU453" s="71"/>
      <c r="CV453" s="71"/>
      <c r="CW453" s="71"/>
      <c r="CX453" s="71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  <c r="DN453" s="72"/>
      <c r="DO453" s="72"/>
      <c r="DP453" s="72"/>
      <c r="DQ453" s="72"/>
      <c r="DR453" s="72"/>
      <c r="DS453" s="72"/>
      <c r="DT453" s="72"/>
      <c r="DU453" s="72"/>
      <c r="DV453" s="72"/>
      <c r="DW453" s="72"/>
      <c r="DX453" s="72"/>
      <c r="DY453" s="72"/>
      <c r="DZ453" s="72"/>
      <c r="EA453" s="72"/>
      <c r="EB453" s="72"/>
      <c r="EC453" s="72"/>
      <c r="ED453" s="72"/>
      <c r="EE453" s="72"/>
      <c r="EF453" s="72"/>
      <c r="EG453" s="72"/>
      <c r="EH453" s="72"/>
      <c r="EI453" s="72"/>
      <c r="EJ453" s="72"/>
      <c r="EK453" s="72"/>
      <c r="EL453" s="76">
        <f>EL486</f>
        <v>14567</v>
      </c>
      <c r="EM453" s="76" t="str">
        <f>EM486</f>
        <v>2,223</v>
      </c>
      <c r="EN453" s="76" t="str">
        <f>EN486</f>
        <v>10,543</v>
      </c>
      <c r="EO453" s="77" t="str">
        <f>EO486</f>
        <v>1,801</v>
      </c>
      <c r="EP453" s="78"/>
    </row>
    <row r="454" spans="2:146" ht="11.25" customHeight="1" x14ac:dyDescent="0.2">
      <c r="B454" s="70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2"/>
      <c r="CZ454" s="72"/>
      <c r="DA454" s="72"/>
      <c r="DB454" s="72"/>
      <c r="DC454" s="72"/>
      <c r="DD454" s="72"/>
      <c r="DE454" s="72"/>
      <c r="DF454" s="72"/>
      <c r="DG454" s="72"/>
      <c r="DH454" s="72"/>
      <c r="DI454" s="72"/>
      <c r="DJ454" s="72"/>
      <c r="DK454" s="72"/>
      <c r="DL454" s="72"/>
      <c r="DM454" s="72"/>
      <c r="DN454" s="72"/>
      <c r="DO454" s="72"/>
      <c r="DP454" s="72"/>
      <c r="DQ454" s="72"/>
      <c r="DR454" s="72"/>
      <c r="DS454" s="72"/>
      <c r="DT454" s="72"/>
      <c r="DU454" s="72"/>
      <c r="DV454" s="72"/>
      <c r="DW454" s="72"/>
      <c r="DX454" s="72"/>
      <c r="DY454" s="72"/>
      <c r="DZ454" s="72"/>
      <c r="EA454" s="72"/>
      <c r="EB454" s="72"/>
      <c r="EC454" s="72"/>
      <c r="ED454" s="72"/>
      <c r="EE454" s="72"/>
      <c r="EF454" s="72"/>
      <c r="EG454" s="72"/>
      <c r="EH454" s="72"/>
      <c r="EI454" s="72"/>
      <c r="EJ454" s="72"/>
      <c r="EK454" s="72"/>
      <c r="EL454" s="79"/>
      <c r="EM454" s="79"/>
      <c r="EN454" s="79"/>
      <c r="EO454" s="80"/>
      <c r="EP454" s="78"/>
    </row>
    <row r="455" spans="2:146" ht="11.25" customHeight="1" x14ac:dyDescent="0.2">
      <c r="B455" s="70"/>
      <c r="C455" s="71"/>
      <c r="D455" s="71" t="s">
        <v>0</v>
      </c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2"/>
      <c r="CZ455" s="72"/>
      <c r="DA455" s="72"/>
      <c r="DB455" s="72"/>
      <c r="DC455" s="72"/>
      <c r="DD455" s="72"/>
      <c r="DE455" s="72"/>
      <c r="DF455" s="72"/>
      <c r="DG455" s="72"/>
      <c r="DH455" s="72"/>
      <c r="DI455" s="72"/>
      <c r="DJ455" s="72"/>
      <c r="DK455" s="72"/>
      <c r="DL455" s="72"/>
      <c r="DM455" s="72"/>
      <c r="DN455" s="72"/>
      <c r="DO455" s="72"/>
      <c r="DP455" s="72"/>
      <c r="DQ455" s="72"/>
      <c r="DR455" s="72"/>
      <c r="DS455" s="72"/>
      <c r="DT455" s="72"/>
      <c r="DU455" s="72"/>
      <c r="DV455" s="72"/>
      <c r="DW455" s="72"/>
      <c r="DX455" s="72"/>
      <c r="DY455" s="72"/>
      <c r="DZ455" s="72"/>
      <c r="EA455" s="72"/>
      <c r="EB455" s="72"/>
      <c r="EC455" s="72"/>
      <c r="ED455" s="72"/>
      <c r="EE455" s="72"/>
      <c r="EF455" s="72"/>
      <c r="EG455" s="72"/>
      <c r="EH455" s="72"/>
      <c r="EI455" s="72"/>
      <c r="EJ455" s="72"/>
      <c r="EK455" s="72"/>
      <c r="EL455" s="79"/>
      <c r="EM455" s="79"/>
      <c r="EN455" s="79"/>
      <c r="EO455" s="80"/>
      <c r="EP455" s="78"/>
    </row>
    <row r="456" spans="2:146" ht="11.25" customHeight="1" x14ac:dyDescent="0.2">
      <c r="B456" s="70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2"/>
      <c r="CZ456" s="72"/>
      <c r="DA456" s="72"/>
      <c r="DB456" s="72"/>
      <c r="DC456" s="72"/>
      <c r="DD456" s="72"/>
      <c r="DE456" s="72"/>
      <c r="DF456" s="72"/>
      <c r="DG456" s="72"/>
      <c r="DH456" s="72"/>
      <c r="DI456" s="72"/>
      <c r="DJ456" s="72"/>
      <c r="DK456" s="72"/>
      <c r="DL456" s="72"/>
      <c r="DM456" s="72"/>
      <c r="DN456" s="72"/>
      <c r="DO456" s="72"/>
      <c r="DP456" s="72"/>
      <c r="DQ456" s="72"/>
      <c r="DR456" s="72"/>
      <c r="DS456" s="72"/>
      <c r="DT456" s="72"/>
      <c r="DU456" s="72"/>
      <c r="DV456" s="72"/>
      <c r="DW456" s="72"/>
      <c r="DX456" s="72"/>
      <c r="DY456" s="72"/>
      <c r="DZ456" s="72"/>
      <c r="EA456" s="72"/>
      <c r="EB456" s="72"/>
      <c r="EC456" s="72"/>
      <c r="ED456" s="72"/>
      <c r="EE456" s="72"/>
      <c r="EF456" s="72"/>
      <c r="EG456" s="72"/>
      <c r="EH456" s="72"/>
      <c r="EI456" s="72"/>
      <c r="EJ456" s="72"/>
      <c r="EK456" s="72"/>
      <c r="EL456" s="79"/>
      <c r="EM456" s="79"/>
      <c r="EN456" s="79"/>
      <c r="EO456" s="80"/>
      <c r="EP456" s="78"/>
    </row>
    <row r="457" spans="2:146" ht="11.25" customHeight="1" x14ac:dyDescent="0.2">
      <c r="B457" s="70"/>
      <c r="C457" s="71"/>
      <c r="D457" s="71" t="s">
        <v>315</v>
      </c>
      <c r="E457" s="71"/>
      <c r="F457" s="71"/>
      <c r="G457" s="71" t="s">
        <v>400</v>
      </c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9"/>
      <c r="EM457" s="79"/>
      <c r="EN457" s="79"/>
      <c r="EO457" s="80"/>
      <c r="EP457" s="78"/>
    </row>
    <row r="458" spans="2:146" ht="11.25" customHeight="1" x14ac:dyDescent="0.2">
      <c r="B458" s="70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9"/>
      <c r="EM458" s="79"/>
      <c r="EN458" s="79"/>
      <c r="EO458" s="80"/>
      <c r="EP458" s="78"/>
    </row>
    <row r="459" spans="2:146" ht="11.25" customHeight="1" x14ac:dyDescent="0.2">
      <c r="B459" s="70"/>
      <c r="C459" s="71"/>
      <c r="D459" s="71"/>
      <c r="E459" s="71"/>
      <c r="F459" s="71"/>
      <c r="G459" s="71" t="s">
        <v>308</v>
      </c>
      <c r="H459" s="71"/>
      <c r="I459" s="71"/>
      <c r="J459" s="71"/>
      <c r="K459" s="71"/>
      <c r="L459" s="71"/>
      <c r="M459" s="71"/>
      <c r="N459" s="71"/>
      <c r="O459" s="71"/>
      <c r="P459" s="71"/>
      <c r="Q459" s="71" t="s">
        <v>336</v>
      </c>
      <c r="R459" s="71" t="s">
        <v>650</v>
      </c>
      <c r="S459" s="71"/>
      <c r="T459" s="71"/>
      <c r="U459" s="71" t="s">
        <v>95</v>
      </c>
      <c r="V459" s="71"/>
      <c r="W459" s="71"/>
      <c r="X459" s="71" t="s">
        <v>104</v>
      </c>
      <c r="Y459" s="71"/>
      <c r="Z459" s="71"/>
      <c r="AA459" s="71" t="s">
        <v>374</v>
      </c>
      <c r="AB459" s="71"/>
      <c r="AC459" s="71" t="s">
        <v>112</v>
      </c>
      <c r="AD459" s="71" t="s">
        <v>47</v>
      </c>
      <c r="AE459" s="71"/>
      <c r="AF459" s="71" t="s">
        <v>80</v>
      </c>
      <c r="AG459" s="71"/>
      <c r="AH459" s="71" t="s">
        <v>469</v>
      </c>
      <c r="AI459" s="71"/>
      <c r="AJ459" s="71" t="s">
        <v>12</v>
      </c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9"/>
      <c r="EM459" s="79"/>
      <c r="EN459" s="79"/>
      <c r="EO459" s="80"/>
      <c r="EP459" s="78"/>
    </row>
    <row r="460" spans="2:146" ht="11.25" customHeight="1" x14ac:dyDescent="0.2">
      <c r="B460" s="73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/>
      <c r="AB460" s="64"/>
      <c r="AC460" s="64"/>
      <c r="AD460" s="64"/>
      <c r="AE460" s="64"/>
      <c r="AF460" s="64"/>
      <c r="AG460" s="64"/>
      <c r="AH460" s="64"/>
      <c r="AI460" s="64"/>
      <c r="AJ460" s="64"/>
      <c r="AK460" s="64"/>
      <c r="AL460" s="64"/>
      <c r="AM460" s="64"/>
      <c r="AN460" s="64"/>
      <c r="AO460" s="64"/>
      <c r="AP460" s="64"/>
      <c r="AQ460" s="64"/>
      <c r="AR460" s="64"/>
      <c r="AS460" s="64"/>
      <c r="AT460" s="64"/>
      <c r="AU460" s="64"/>
      <c r="AV460" s="64"/>
      <c r="AW460" s="64"/>
      <c r="AX460" s="64"/>
      <c r="AY460" s="64"/>
      <c r="AZ460" s="64"/>
      <c r="BA460" s="64"/>
      <c r="BB460" s="64"/>
      <c r="BC460" s="64"/>
      <c r="BD460" s="64"/>
      <c r="BE460" s="64"/>
      <c r="BF460" s="64"/>
      <c r="BG460" s="64"/>
      <c r="BH460" s="64"/>
      <c r="BI460" s="64"/>
      <c r="BJ460" s="64"/>
      <c r="BK460" s="64"/>
      <c r="BL460" s="64"/>
      <c r="BM460" s="64"/>
      <c r="BN460" s="64"/>
      <c r="BO460" s="64"/>
      <c r="BP460" s="64"/>
      <c r="BQ460" s="64"/>
      <c r="BR460" s="64"/>
      <c r="BS460" s="64"/>
      <c r="BT460" s="64"/>
      <c r="BU460" s="64"/>
      <c r="BV460" s="64"/>
      <c r="BW460" s="64"/>
      <c r="BX460" s="64"/>
      <c r="BY460" s="64"/>
      <c r="BZ460" s="64"/>
      <c r="CA460" s="64"/>
      <c r="CB460" s="64"/>
      <c r="CC460" s="64"/>
      <c r="CD460" s="64"/>
      <c r="CE460" s="64"/>
      <c r="CF460" s="64"/>
      <c r="CG460" s="64"/>
      <c r="CH460" s="64"/>
      <c r="CI460" s="64"/>
      <c r="CJ460" s="64"/>
      <c r="CK460" s="64"/>
      <c r="CL460" s="64"/>
      <c r="CM460" s="64"/>
      <c r="CN460" s="64"/>
      <c r="CO460" s="64"/>
      <c r="CP460" s="64"/>
      <c r="CQ460" s="64"/>
      <c r="CR460" s="64"/>
      <c r="CS460" s="64"/>
      <c r="CT460" s="64"/>
      <c r="CU460" s="64"/>
      <c r="CV460" s="64"/>
      <c r="CW460" s="64"/>
      <c r="CX460" s="64"/>
      <c r="CY460" s="74"/>
      <c r="CZ460" s="74"/>
      <c r="DA460" s="74"/>
      <c r="DB460" s="74"/>
      <c r="DC460" s="74"/>
      <c r="DD460" s="74"/>
      <c r="DE460" s="74"/>
      <c r="DF460" s="74"/>
      <c r="DG460" s="74"/>
      <c r="DH460" s="74"/>
      <c r="DI460" s="74"/>
      <c r="DJ460" s="74"/>
      <c r="DK460" s="74"/>
      <c r="DL460" s="74"/>
      <c r="DM460" s="74"/>
      <c r="DN460" s="74"/>
      <c r="DO460" s="74"/>
      <c r="DP460" s="74"/>
      <c r="DQ460" s="74"/>
      <c r="DR460" s="74"/>
      <c r="DS460" s="74"/>
      <c r="DT460" s="74"/>
      <c r="DU460" s="74"/>
      <c r="DV460" s="74"/>
      <c r="DW460" s="74"/>
      <c r="DX460" s="74"/>
      <c r="DY460" s="74"/>
      <c r="DZ460" s="74"/>
      <c r="EA460" s="74"/>
      <c r="EB460" s="74"/>
      <c r="EC460" s="74"/>
      <c r="ED460" s="74"/>
      <c r="EE460" s="74"/>
      <c r="EF460" s="74"/>
      <c r="EG460" s="74"/>
      <c r="EH460" s="74"/>
      <c r="EI460" s="74"/>
      <c r="EJ460" s="74"/>
      <c r="EK460" s="74"/>
      <c r="EL460" s="82"/>
      <c r="EM460" s="82"/>
      <c r="EN460" s="82"/>
      <c r="EO460" s="83"/>
      <c r="EP460" s="78"/>
    </row>
    <row r="461" spans="2:146" ht="11.25" customHeight="1" x14ac:dyDescent="0.2">
      <c r="B461" s="70"/>
      <c r="C461" s="71"/>
      <c r="D461" s="71" t="s">
        <v>463</v>
      </c>
      <c r="E461" s="71"/>
      <c r="F461" s="71"/>
      <c r="G461" s="71" t="s">
        <v>543</v>
      </c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2"/>
      <c r="CZ461" s="72"/>
      <c r="DA461" s="72"/>
      <c r="DB461" s="72"/>
      <c r="DC461" s="72"/>
      <c r="DD461" s="72"/>
      <c r="DE461" s="72"/>
      <c r="DF461" s="72"/>
      <c r="DG461" s="72"/>
      <c r="DH461" s="72"/>
      <c r="DI461" s="72"/>
      <c r="DJ461" s="72"/>
      <c r="DK461" s="72"/>
      <c r="DL461" s="72"/>
      <c r="DM461" s="72"/>
      <c r="DN461" s="72"/>
      <c r="DO461" s="72"/>
      <c r="DP461" s="72"/>
      <c r="DQ461" s="72"/>
      <c r="DR461" s="72"/>
      <c r="DS461" s="72"/>
      <c r="DT461" s="72"/>
      <c r="DU461" s="72"/>
      <c r="DV461" s="72"/>
      <c r="DW461" s="72"/>
      <c r="DX461" s="72"/>
      <c r="DY461" s="72"/>
      <c r="DZ461" s="72"/>
      <c r="EA461" s="72"/>
      <c r="EB461" s="72"/>
      <c r="EC461" s="72"/>
      <c r="ED461" s="72"/>
      <c r="EE461" s="72"/>
      <c r="EF461" s="72"/>
      <c r="EG461" s="72"/>
      <c r="EH461" s="72"/>
      <c r="EI461" s="72"/>
      <c r="EJ461" s="72"/>
      <c r="EK461" s="72"/>
      <c r="EL461" s="79"/>
      <c r="EM461" s="79"/>
      <c r="EN461" s="79"/>
      <c r="EO461" s="80"/>
      <c r="EP461" s="78"/>
    </row>
    <row r="462" spans="2:146" ht="11.25" customHeight="1" x14ac:dyDescent="0.2">
      <c r="B462" s="70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2"/>
      <c r="CZ462" s="72"/>
      <c r="DA462" s="72"/>
      <c r="DB462" s="72"/>
      <c r="DC462" s="72"/>
      <c r="DD462" s="72"/>
      <c r="DE462" s="72"/>
      <c r="DF462" s="72"/>
      <c r="DG462" s="72"/>
      <c r="DH462" s="72"/>
      <c r="DI462" s="72"/>
      <c r="DJ462" s="72"/>
      <c r="DK462" s="72"/>
      <c r="DL462" s="72"/>
      <c r="DM462" s="72"/>
      <c r="DN462" s="72"/>
      <c r="DO462" s="72"/>
      <c r="DP462" s="72"/>
      <c r="DQ462" s="72"/>
      <c r="DR462" s="72"/>
      <c r="DS462" s="72"/>
      <c r="DT462" s="72"/>
      <c r="DU462" s="72"/>
      <c r="DV462" s="72"/>
      <c r="DW462" s="72"/>
      <c r="DX462" s="72"/>
      <c r="DY462" s="72"/>
      <c r="DZ462" s="72"/>
      <c r="EA462" s="72"/>
      <c r="EB462" s="72"/>
      <c r="EC462" s="72"/>
      <c r="ED462" s="72"/>
      <c r="EE462" s="72"/>
      <c r="EF462" s="72"/>
      <c r="EG462" s="72"/>
      <c r="EH462" s="72"/>
      <c r="EI462" s="72"/>
      <c r="EJ462" s="72"/>
      <c r="EK462" s="72"/>
      <c r="EL462" s="79"/>
      <c r="EM462" s="79"/>
      <c r="EN462" s="79"/>
      <c r="EO462" s="80"/>
      <c r="EP462" s="78"/>
    </row>
    <row r="463" spans="2:146" ht="11.25" customHeight="1" x14ac:dyDescent="0.2">
      <c r="B463" s="70"/>
      <c r="C463" s="71"/>
      <c r="D463" s="71"/>
      <c r="E463" s="71"/>
      <c r="F463" s="71"/>
      <c r="G463" s="71" t="s">
        <v>36</v>
      </c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 t="s">
        <v>469</v>
      </c>
      <c r="S463" s="71"/>
      <c r="T463" s="71" t="str">
        <f>TEXT(노임단가!F13,"#,##0")</f>
        <v>226,122</v>
      </c>
      <c r="U463" s="71"/>
      <c r="V463" s="71"/>
      <c r="W463" s="71"/>
      <c r="X463" s="71"/>
      <c r="Y463" s="71"/>
      <c r="Z463" s="71"/>
      <c r="AA463" s="71"/>
      <c r="AB463" s="71"/>
      <c r="AC463" s="71"/>
      <c r="AD463" s="71" t="s">
        <v>542</v>
      </c>
      <c r="AE463" s="71"/>
      <c r="AF463" s="71"/>
      <c r="AG463" s="71" t="str">
        <f>TEXT(2,"#,##0.#######")</f>
        <v>2.</v>
      </c>
      <c r="AH463" s="71" t="s">
        <v>602</v>
      </c>
      <c r="AI463" s="71"/>
      <c r="AJ463" s="71"/>
      <c r="AK463" s="71" t="s">
        <v>309</v>
      </c>
      <c r="AL463" s="71"/>
      <c r="AM463" s="71"/>
      <c r="AN463" s="71" t="str">
        <f>TEXT(52,"#,##0.#######")</f>
        <v>52.</v>
      </c>
      <c r="AO463" s="71"/>
      <c r="AP463" s="71" t="s">
        <v>47</v>
      </c>
      <c r="AQ463" s="71"/>
      <c r="AR463" s="71"/>
      <c r="AS463" s="71" t="s">
        <v>309</v>
      </c>
      <c r="AT463" s="71"/>
      <c r="AU463" s="71"/>
      <c r="AV463" s="71" t="str">
        <f>TEXT(2,"#,##0.#######")</f>
        <v>2.</v>
      </c>
      <c r="AW463" s="71" t="s">
        <v>375</v>
      </c>
      <c r="AX463" s="71"/>
      <c r="AY463" s="71" t="s">
        <v>254</v>
      </c>
      <c r="AZ463" s="71"/>
      <c r="BA463" s="71" t="str">
        <f>TEXT(TRUNC(T463*AG463/AN463/AV463,1),"#,##0.#######")</f>
        <v>4,348.5</v>
      </c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2"/>
      <c r="CZ463" s="72"/>
      <c r="DA463" s="72"/>
      <c r="DB463" s="72"/>
      <c r="DC463" s="72"/>
      <c r="DD463" s="72"/>
      <c r="DE463" s="72"/>
      <c r="DF463" s="72"/>
      <c r="DG463" s="72"/>
      <c r="DH463" s="72"/>
      <c r="DI463" s="72"/>
      <c r="DJ463" s="72"/>
      <c r="DK463" s="72"/>
      <c r="DL463" s="72"/>
      <c r="DM463" s="72"/>
      <c r="DN463" s="72"/>
      <c r="DO463" s="72"/>
      <c r="DP463" s="72"/>
      <c r="DQ463" s="72"/>
      <c r="DR463" s="72"/>
      <c r="DS463" s="72"/>
      <c r="DT463" s="72"/>
      <c r="DU463" s="72"/>
      <c r="DV463" s="72"/>
      <c r="DW463" s="72"/>
      <c r="DX463" s="72"/>
      <c r="DY463" s="72"/>
      <c r="DZ463" s="72"/>
      <c r="EA463" s="72"/>
      <c r="EB463" s="72"/>
      <c r="EC463" s="72"/>
      <c r="ED463" s="72"/>
      <c r="EE463" s="72"/>
      <c r="EF463" s="72"/>
      <c r="EG463" s="72"/>
      <c r="EH463" s="72"/>
      <c r="EI463" s="72"/>
      <c r="EJ463" s="72"/>
      <c r="EK463" s="72"/>
      <c r="EL463" s="79"/>
      <c r="EM463" s="79"/>
      <c r="EN463" s="79"/>
      <c r="EO463" s="80"/>
      <c r="EP463" s="78"/>
    </row>
    <row r="464" spans="2:146" ht="11.25" customHeight="1" x14ac:dyDescent="0.2">
      <c r="B464" s="70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2"/>
      <c r="CZ464" s="72"/>
      <c r="DA464" s="72"/>
      <c r="DB464" s="72"/>
      <c r="DC464" s="72"/>
      <c r="DD464" s="72"/>
      <c r="DE464" s="72"/>
      <c r="DF464" s="72"/>
      <c r="DG464" s="72"/>
      <c r="DH464" s="72"/>
      <c r="DI464" s="72"/>
      <c r="DJ464" s="72"/>
      <c r="DK464" s="72"/>
      <c r="DL464" s="72"/>
      <c r="DM464" s="72"/>
      <c r="DN464" s="72"/>
      <c r="DO464" s="72"/>
      <c r="DP464" s="72"/>
      <c r="DQ464" s="72"/>
      <c r="DR464" s="72"/>
      <c r="DS464" s="72"/>
      <c r="DT464" s="72"/>
      <c r="DU464" s="72"/>
      <c r="DV464" s="72"/>
      <c r="DW464" s="72"/>
      <c r="DX464" s="72"/>
      <c r="DY464" s="72"/>
      <c r="DZ464" s="72"/>
      <c r="EA464" s="72"/>
      <c r="EB464" s="72"/>
      <c r="EC464" s="72"/>
      <c r="ED464" s="72"/>
      <c r="EE464" s="72"/>
      <c r="EF464" s="72"/>
      <c r="EG464" s="72"/>
      <c r="EH464" s="72"/>
      <c r="EI464" s="72"/>
      <c r="EJ464" s="72"/>
      <c r="EK464" s="72"/>
      <c r="EL464" s="79"/>
      <c r="EM464" s="79"/>
      <c r="EN464" s="79"/>
      <c r="EO464" s="80"/>
      <c r="EP464" s="78"/>
    </row>
    <row r="465" spans="2:146" ht="11.25" customHeight="1" x14ac:dyDescent="0.2">
      <c r="B465" s="70"/>
      <c r="C465" s="71"/>
      <c r="D465" s="71"/>
      <c r="E465" s="71"/>
      <c r="F465" s="71"/>
      <c r="G465" s="71" t="s">
        <v>43</v>
      </c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 t="s">
        <v>469</v>
      </c>
      <c r="S465" s="71"/>
      <c r="T465" s="71" t="str">
        <f>TEXT(노임단가!F4,"#,##0")</f>
        <v>172,068</v>
      </c>
      <c r="U465" s="71"/>
      <c r="V465" s="71"/>
      <c r="W465" s="71"/>
      <c r="X465" s="71"/>
      <c r="Y465" s="71"/>
      <c r="Z465" s="71"/>
      <c r="AA465" s="71"/>
      <c r="AB465" s="71"/>
      <c r="AC465" s="71"/>
      <c r="AD465" s="71" t="s">
        <v>542</v>
      </c>
      <c r="AE465" s="71"/>
      <c r="AF465" s="71"/>
      <c r="AG465" s="71" t="str">
        <f>TEXT(1,"#,##0.#######")</f>
        <v>1.</v>
      </c>
      <c r="AH465" s="71" t="s">
        <v>602</v>
      </c>
      <c r="AI465" s="71"/>
      <c r="AJ465" s="71"/>
      <c r="AK465" s="71" t="s">
        <v>309</v>
      </c>
      <c r="AL465" s="71"/>
      <c r="AM465" s="71"/>
      <c r="AN465" s="71" t="str">
        <f>TEXT(52,"#,##0.#######")</f>
        <v>52.</v>
      </c>
      <c r="AO465" s="71"/>
      <c r="AP465" s="71" t="s">
        <v>47</v>
      </c>
      <c r="AQ465" s="71"/>
      <c r="AR465" s="71"/>
      <c r="AS465" s="71" t="s">
        <v>309</v>
      </c>
      <c r="AT465" s="71"/>
      <c r="AU465" s="71"/>
      <c r="AV465" s="71" t="str">
        <f>TEXT(2,"#,##0.#######")</f>
        <v>2.</v>
      </c>
      <c r="AW465" s="71" t="s">
        <v>375</v>
      </c>
      <c r="AX465" s="71"/>
      <c r="AY465" s="71" t="s">
        <v>254</v>
      </c>
      <c r="AZ465" s="71"/>
      <c r="BA465" s="71" t="str">
        <f>TEXT(TRUNC(T465*AG465/AN465/AV465,1),"#,##0.#######")</f>
        <v>1,654.5</v>
      </c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2"/>
      <c r="CZ465" s="72"/>
      <c r="DA465" s="72"/>
      <c r="DB465" s="72"/>
      <c r="DC465" s="72"/>
      <c r="DD465" s="72"/>
      <c r="DE465" s="72"/>
      <c r="DF465" s="72"/>
      <c r="DG465" s="72"/>
      <c r="DH465" s="72"/>
      <c r="DI465" s="72"/>
      <c r="DJ465" s="72"/>
      <c r="DK465" s="72"/>
      <c r="DL465" s="72"/>
      <c r="DM465" s="72"/>
      <c r="DN465" s="72"/>
      <c r="DO465" s="72"/>
      <c r="DP465" s="72"/>
      <c r="DQ465" s="72"/>
      <c r="DR465" s="72"/>
      <c r="DS465" s="72"/>
      <c r="DT465" s="72"/>
      <c r="DU465" s="72"/>
      <c r="DV465" s="72"/>
      <c r="DW465" s="72"/>
      <c r="DX465" s="72"/>
      <c r="DY465" s="72"/>
      <c r="DZ465" s="72"/>
      <c r="EA465" s="72"/>
      <c r="EB465" s="72"/>
      <c r="EC465" s="72"/>
      <c r="ED465" s="72"/>
      <c r="EE465" s="72"/>
      <c r="EF465" s="72"/>
      <c r="EG465" s="72"/>
      <c r="EH465" s="72"/>
      <c r="EI465" s="72"/>
      <c r="EJ465" s="72"/>
      <c r="EK465" s="72"/>
      <c r="EL465" s="79"/>
      <c r="EM465" s="79"/>
      <c r="EN465" s="79"/>
      <c r="EO465" s="80"/>
      <c r="EP465" s="78"/>
    </row>
    <row r="466" spans="2:146" ht="11.25" customHeight="1" x14ac:dyDescent="0.2">
      <c r="B466" s="70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2"/>
      <c r="CZ466" s="72"/>
      <c r="DA466" s="72"/>
      <c r="DB466" s="72"/>
      <c r="DC466" s="72"/>
      <c r="DD466" s="72"/>
      <c r="DE466" s="72"/>
      <c r="DF466" s="72"/>
      <c r="DG466" s="72"/>
      <c r="DH466" s="72"/>
      <c r="DI466" s="72"/>
      <c r="DJ466" s="72"/>
      <c r="DK466" s="72"/>
      <c r="DL466" s="72"/>
      <c r="DM466" s="72"/>
      <c r="DN466" s="72"/>
      <c r="DO466" s="72"/>
      <c r="DP466" s="72"/>
      <c r="DQ466" s="72"/>
      <c r="DR466" s="72"/>
      <c r="DS466" s="72"/>
      <c r="DT466" s="72"/>
      <c r="DU466" s="72"/>
      <c r="DV466" s="72"/>
      <c r="DW466" s="72"/>
      <c r="DX466" s="72"/>
      <c r="DY466" s="72"/>
      <c r="DZ466" s="72"/>
      <c r="EA466" s="72"/>
      <c r="EB466" s="72"/>
      <c r="EC466" s="72"/>
      <c r="ED466" s="72"/>
      <c r="EE466" s="72"/>
      <c r="EF466" s="72"/>
      <c r="EG466" s="72"/>
      <c r="EH466" s="72"/>
      <c r="EI466" s="72"/>
      <c r="EJ466" s="72"/>
      <c r="EK466" s="72"/>
      <c r="EL466" s="79"/>
      <c r="EM466" s="79"/>
      <c r="EN466" s="79"/>
      <c r="EO466" s="80"/>
      <c r="EP466" s="78"/>
    </row>
    <row r="467" spans="2:146" ht="11.25" customHeight="1" x14ac:dyDescent="0.2">
      <c r="B467" s="70"/>
      <c r="C467" s="71"/>
      <c r="D467" s="71"/>
      <c r="E467" s="71"/>
      <c r="F467" s="71"/>
      <c r="G467" s="71" t="s">
        <v>440</v>
      </c>
      <c r="H467" s="71"/>
      <c r="I467" s="71"/>
      <c r="J467" s="71"/>
      <c r="K467" s="71"/>
      <c r="L467" s="71"/>
      <c r="M467" s="71"/>
      <c r="N467" s="71"/>
      <c r="O467" s="71"/>
      <c r="P467" s="71" t="s">
        <v>469</v>
      </c>
      <c r="Q467" s="71"/>
      <c r="R467" s="71" t="str">
        <f>TEXT(TRUNC(BA463+BA465,1),"#,##0.#######")</f>
        <v>6,003.</v>
      </c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2"/>
      <c r="CZ467" s="72"/>
      <c r="DA467" s="72"/>
      <c r="DB467" s="72"/>
      <c r="DC467" s="72"/>
      <c r="DD467" s="72"/>
      <c r="DE467" s="72"/>
      <c r="DF467" s="72"/>
      <c r="DG467" s="72"/>
      <c r="DH467" s="72"/>
      <c r="DI467" s="72"/>
      <c r="DJ467" s="72"/>
      <c r="DK467" s="72"/>
      <c r="DL467" s="72"/>
      <c r="DM467" s="72"/>
      <c r="DN467" s="72"/>
      <c r="DO467" s="72"/>
      <c r="DP467" s="72"/>
      <c r="DQ467" s="72"/>
      <c r="DR467" s="72"/>
      <c r="DS467" s="72"/>
      <c r="DT467" s="72"/>
      <c r="DU467" s="72"/>
      <c r="DV467" s="72"/>
      <c r="DW467" s="72"/>
      <c r="DX467" s="72"/>
      <c r="DY467" s="72"/>
      <c r="DZ467" s="72"/>
      <c r="EA467" s="72"/>
      <c r="EB467" s="72"/>
      <c r="EC467" s="72"/>
      <c r="ED467" s="72"/>
      <c r="EE467" s="72"/>
      <c r="EF467" s="72"/>
      <c r="EG467" s="72"/>
      <c r="EH467" s="72"/>
      <c r="EI467" s="72"/>
      <c r="EJ467" s="72"/>
      <c r="EK467" s="72"/>
      <c r="EL467" s="79"/>
      <c r="EM467" s="79"/>
      <c r="EN467" s="79" t="str">
        <f>R467</f>
        <v>6,003.</v>
      </c>
      <c r="EO467" s="80"/>
      <c r="EP467" s="78"/>
    </row>
    <row r="468" spans="2:146" ht="11.25" customHeight="1" x14ac:dyDescent="0.2">
      <c r="B468" s="70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2"/>
      <c r="CZ468" s="72"/>
      <c r="DA468" s="72"/>
      <c r="DB468" s="72"/>
      <c r="DC468" s="72"/>
      <c r="DD468" s="72"/>
      <c r="DE468" s="72"/>
      <c r="DF468" s="72"/>
      <c r="DG468" s="72"/>
      <c r="DH468" s="72"/>
      <c r="DI468" s="72"/>
      <c r="DJ468" s="72"/>
      <c r="DK468" s="72"/>
      <c r="DL468" s="72"/>
      <c r="DM468" s="72"/>
      <c r="DN468" s="72"/>
      <c r="DO468" s="72"/>
      <c r="DP468" s="72"/>
      <c r="DQ468" s="72"/>
      <c r="DR468" s="72"/>
      <c r="DS468" s="72"/>
      <c r="DT468" s="72"/>
      <c r="DU468" s="72"/>
      <c r="DV468" s="72"/>
      <c r="DW468" s="72"/>
      <c r="DX468" s="72"/>
      <c r="DY468" s="72"/>
      <c r="DZ468" s="72"/>
      <c r="EA468" s="72"/>
      <c r="EB468" s="72"/>
      <c r="EC468" s="72"/>
      <c r="ED468" s="72"/>
      <c r="EE468" s="72"/>
      <c r="EF468" s="72"/>
      <c r="EG468" s="72"/>
      <c r="EH468" s="72"/>
      <c r="EI468" s="72"/>
      <c r="EJ468" s="72"/>
      <c r="EK468" s="72"/>
      <c r="EL468" s="79"/>
      <c r="EM468" s="79"/>
      <c r="EN468" s="79"/>
      <c r="EO468" s="80"/>
      <c r="EP468" s="78"/>
    </row>
    <row r="469" spans="2:146" ht="11.25" customHeight="1" x14ac:dyDescent="0.2">
      <c r="B469" s="70"/>
      <c r="C469" s="71"/>
      <c r="D469" s="71"/>
      <c r="E469" s="71"/>
      <c r="F469" s="71"/>
      <c r="G469" s="71" t="s">
        <v>346</v>
      </c>
      <c r="H469" s="71"/>
      <c r="I469" s="71"/>
      <c r="J469" s="71"/>
      <c r="K469" s="71"/>
      <c r="L469" s="71"/>
      <c r="M469" s="71"/>
      <c r="N469" s="71"/>
      <c r="O469" s="71"/>
      <c r="P469" s="71" t="s">
        <v>268</v>
      </c>
      <c r="Q469" s="71"/>
      <c r="R469" s="71"/>
      <c r="S469" s="71" t="s">
        <v>352</v>
      </c>
      <c r="T469" s="71"/>
      <c r="U469" s="71"/>
      <c r="V469" s="71"/>
      <c r="W469" s="71"/>
      <c r="X469" s="71"/>
      <c r="Y469" s="71"/>
      <c r="Z469" s="71"/>
      <c r="AA469" s="71"/>
      <c r="AB469" s="71" t="s">
        <v>336</v>
      </c>
      <c r="AC469" s="71" t="s">
        <v>99</v>
      </c>
      <c r="AD469" s="71"/>
      <c r="AE469" s="71"/>
      <c r="AF469" s="71"/>
      <c r="AG469" s="71"/>
      <c r="AH469" s="71"/>
      <c r="AI469" s="71"/>
      <c r="AJ469" s="71"/>
      <c r="AK469" s="71"/>
      <c r="AL469" s="71" t="s">
        <v>598</v>
      </c>
      <c r="AM469" s="71" t="s">
        <v>144</v>
      </c>
      <c r="AN469" s="71" t="s">
        <v>80</v>
      </c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2"/>
      <c r="CZ469" s="72"/>
      <c r="DA469" s="72"/>
      <c r="DB469" s="72"/>
      <c r="DC469" s="72"/>
      <c r="DD469" s="72"/>
      <c r="DE469" s="72"/>
      <c r="DF469" s="72"/>
      <c r="DG469" s="72"/>
      <c r="DH469" s="72"/>
      <c r="DI469" s="72"/>
      <c r="DJ469" s="72"/>
      <c r="DK469" s="72"/>
      <c r="DL469" s="72"/>
      <c r="DM469" s="72"/>
      <c r="DN469" s="72"/>
      <c r="DO469" s="72"/>
      <c r="DP469" s="72"/>
      <c r="DQ469" s="72"/>
      <c r="DR469" s="72"/>
      <c r="DS469" s="72"/>
      <c r="DT469" s="72"/>
      <c r="DU469" s="72"/>
      <c r="DV469" s="72"/>
      <c r="DW469" s="72"/>
      <c r="DX469" s="72"/>
      <c r="DY469" s="72"/>
      <c r="DZ469" s="72"/>
      <c r="EA469" s="72"/>
      <c r="EB469" s="72"/>
      <c r="EC469" s="72"/>
      <c r="ED469" s="72"/>
      <c r="EE469" s="72"/>
      <c r="EF469" s="72"/>
      <c r="EG469" s="72"/>
      <c r="EH469" s="72"/>
      <c r="EI469" s="72"/>
      <c r="EJ469" s="72"/>
      <c r="EK469" s="72"/>
      <c r="EL469" s="79"/>
      <c r="EM469" s="79"/>
      <c r="EN469" s="79"/>
      <c r="EO469" s="80"/>
      <c r="EP469" s="78"/>
    </row>
    <row r="470" spans="2:146" ht="11.25" customHeight="1" x14ac:dyDescent="0.2">
      <c r="B470" s="70"/>
      <c r="C470" s="71"/>
      <c r="D470" s="71"/>
      <c r="E470" s="71"/>
      <c r="F470" s="71"/>
      <c r="G470" s="71" t="str">
        <f>R467</f>
        <v>6,003.</v>
      </c>
      <c r="H470" s="71"/>
      <c r="I470" s="71"/>
      <c r="J470" s="71"/>
      <c r="K470" s="71"/>
      <c r="L470" s="71"/>
      <c r="M470" s="71"/>
      <c r="N470" s="71"/>
      <c r="O470" s="71" t="s">
        <v>542</v>
      </c>
      <c r="P470" s="71"/>
      <c r="Q470" s="71"/>
      <c r="R470" s="71" t="str">
        <f>TEXT(8,"#,##0.#######")</f>
        <v>8.</v>
      </c>
      <c r="S470" s="71" t="s">
        <v>144</v>
      </c>
      <c r="T470" s="71"/>
      <c r="U470" s="71" t="s">
        <v>254</v>
      </c>
      <c r="V470" s="71"/>
      <c r="W470" s="71" t="str">
        <f>TEXT(TRUNC(R467*(R470*(1/100)),1),"#,##0.#")</f>
        <v>480.2</v>
      </c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2"/>
      <c r="CZ470" s="72"/>
      <c r="DA470" s="72"/>
      <c r="DB470" s="72"/>
      <c r="DC470" s="72"/>
      <c r="DD470" s="72"/>
      <c r="DE470" s="72"/>
      <c r="DF470" s="72"/>
      <c r="DG470" s="72"/>
      <c r="DH470" s="72"/>
      <c r="DI470" s="72"/>
      <c r="DJ470" s="72"/>
      <c r="DK470" s="72"/>
      <c r="DL470" s="72"/>
      <c r="DM470" s="72"/>
      <c r="DN470" s="72"/>
      <c r="DO470" s="72"/>
      <c r="DP470" s="72"/>
      <c r="DQ470" s="72"/>
      <c r="DR470" s="72"/>
      <c r="DS470" s="72"/>
      <c r="DT470" s="72"/>
      <c r="DU470" s="72"/>
      <c r="DV470" s="72"/>
      <c r="DW470" s="72"/>
      <c r="DX470" s="72"/>
      <c r="DY470" s="72"/>
      <c r="DZ470" s="72"/>
      <c r="EA470" s="72"/>
      <c r="EB470" s="72"/>
      <c r="EC470" s="72"/>
      <c r="ED470" s="72"/>
      <c r="EE470" s="72"/>
      <c r="EF470" s="72"/>
      <c r="EG470" s="72"/>
      <c r="EH470" s="72"/>
      <c r="EI470" s="72"/>
      <c r="EJ470" s="72"/>
      <c r="EK470" s="72"/>
      <c r="EL470" s="79">
        <f>EN470+EM470+EO470</f>
        <v>480.2</v>
      </c>
      <c r="EM470" s="79" t="str">
        <f>W470</f>
        <v>480.2</v>
      </c>
      <c r="EN470" s="79"/>
      <c r="EO470" s="80"/>
      <c r="EP470" s="78"/>
    </row>
    <row r="471" spans="2:146" ht="11.25" customHeight="1" x14ac:dyDescent="0.2">
      <c r="B471" s="70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2"/>
      <c r="CZ471" s="72"/>
      <c r="DA471" s="72"/>
      <c r="DB471" s="72"/>
      <c r="DC471" s="72"/>
      <c r="DD471" s="72"/>
      <c r="DE471" s="72"/>
      <c r="DF471" s="72"/>
      <c r="DG471" s="72"/>
      <c r="DH471" s="72"/>
      <c r="DI471" s="72"/>
      <c r="DJ471" s="72"/>
      <c r="DK471" s="72"/>
      <c r="DL471" s="72"/>
      <c r="DM471" s="72"/>
      <c r="DN471" s="72"/>
      <c r="DO471" s="72"/>
      <c r="DP471" s="72"/>
      <c r="DQ471" s="72"/>
      <c r="DR471" s="72"/>
      <c r="DS471" s="72"/>
      <c r="DT471" s="72"/>
      <c r="DU471" s="72"/>
      <c r="DV471" s="72"/>
      <c r="DW471" s="72"/>
      <c r="DX471" s="72"/>
      <c r="DY471" s="72"/>
      <c r="DZ471" s="72"/>
      <c r="EA471" s="72"/>
      <c r="EB471" s="72"/>
      <c r="EC471" s="72"/>
      <c r="ED471" s="72"/>
      <c r="EE471" s="72"/>
      <c r="EF471" s="72"/>
      <c r="EG471" s="72"/>
      <c r="EH471" s="72"/>
      <c r="EI471" s="72"/>
      <c r="EJ471" s="72"/>
      <c r="EK471" s="72"/>
      <c r="EL471" s="79"/>
      <c r="EM471" s="79"/>
      <c r="EN471" s="79"/>
      <c r="EO471" s="80"/>
      <c r="EP471" s="78"/>
    </row>
    <row r="472" spans="2:146" ht="11.25" customHeight="1" x14ac:dyDescent="0.2">
      <c r="B472" s="70"/>
      <c r="C472" s="71"/>
      <c r="D472" s="71" t="s">
        <v>655</v>
      </c>
      <c r="E472" s="71"/>
      <c r="F472" s="71"/>
      <c r="G472" s="71" t="s">
        <v>541</v>
      </c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 t="s">
        <v>287</v>
      </c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2"/>
      <c r="CZ472" s="72"/>
      <c r="DA472" s="72"/>
      <c r="DB472" s="72"/>
      <c r="DC472" s="72"/>
      <c r="DD472" s="72"/>
      <c r="DE472" s="72"/>
      <c r="DF472" s="72"/>
      <c r="DG472" s="72"/>
      <c r="DH472" s="72"/>
      <c r="DI472" s="72"/>
      <c r="DJ472" s="72"/>
      <c r="DK472" s="72"/>
      <c r="DL472" s="72"/>
      <c r="DM472" s="72"/>
      <c r="DN472" s="72"/>
      <c r="DO472" s="72"/>
      <c r="DP472" s="72"/>
      <c r="DQ472" s="72"/>
      <c r="DR472" s="72"/>
      <c r="DS472" s="72"/>
      <c r="DT472" s="72"/>
      <c r="DU472" s="72"/>
      <c r="DV472" s="72"/>
      <c r="DW472" s="72"/>
      <c r="DX472" s="72"/>
      <c r="DY472" s="72"/>
      <c r="DZ472" s="72"/>
      <c r="EA472" s="72"/>
      <c r="EB472" s="72"/>
      <c r="EC472" s="72"/>
      <c r="ED472" s="72"/>
      <c r="EE472" s="72"/>
      <c r="EF472" s="72"/>
      <c r="EG472" s="72"/>
      <c r="EH472" s="72"/>
      <c r="EI472" s="72"/>
      <c r="EJ472" s="72"/>
      <c r="EK472" s="72"/>
      <c r="EL472" s="79"/>
      <c r="EM472" s="79"/>
      <c r="EN472" s="79"/>
      <c r="EO472" s="80"/>
      <c r="EP472" s="78"/>
    </row>
    <row r="473" spans="2:146" ht="11.25" customHeight="1" x14ac:dyDescent="0.2">
      <c r="B473" s="70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2"/>
      <c r="CZ473" s="72"/>
      <c r="DA473" s="72"/>
      <c r="DB473" s="72"/>
      <c r="DC473" s="72"/>
      <c r="DD473" s="72"/>
      <c r="DE473" s="72"/>
      <c r="DF473" s="72"/>
      <c r="DG473" s="72"/>
      <c r="DH473" s="72"/>
      <c r="DI473" s="72"/>
      <c r="DJ473" s="72"/>
      <c r="DK473" s="72"/>
      <c r="DL473" s="72"/>
      <c r="DM473" s="72"/>
      <c r="DN473" s="72"/>
      <c r="DO473" s="72"/>
      <c r="DP473" s="72"/>
      <c r="DQ473" s="72"/>
      <c r="DR473" s="72"/>
      <c r="DS473" s="72"/>
      <c r="DT473" s="72"/>
      <c r="DU473" s="72"/>
      <c r="DV473" s="72"/>
      <c r="DW473" s="72"/>
      <c r="DX473" s="72"/>
      <c r="DY473" s="72"/>
      <c r="DZ473" s="72"/>
      <c r="EA473" s="72"/>
      <c r="EB473" s="72"/>
      <c r="EC473" s="72"/>
      <c r="ED473" s="72"/>
      <c r="EE473" s="72"/>
      <c r="EF473" s="72"/>
      <c r="EG473" s="72"/>
      <c r="EH473" s="72"/>
      <c r="EI473" s="72"/>
      <c r="EJ473" s="72"/>
      <c r="EK473" s="72"/>
      <c r="EL473" s="79"/>
      <c r="EM473" s="79"/>
      <c r="EN473" s="79"/>
      <c r="EO473" s="80"/>
      <c r="EP473" s="78"/>
    </row>
    <row r="474" spans="2:146" ht="11.25" customHeight="1" x14ac:dyDescent="0.2">
      <c r="B474" s="70"/>
      <c r="C474" s="71"/>
      <c r="D474" s="71"/>
      <c r="E474" s="71"/>
      <c r="F474" s="71"/>
      <c r="G474" s="71" t="s">
        <v>40</v>
      </c>
      <c r="H474" s="71"/>
      <c r="I474" s="71" t="s">
        <v>254</v>
      </c>
      <c r="J474" s="71"/>
      <c r="K474" s="71" t="str">
        <f>TEXT(52,"#,##0.#######")</f>
        <v>52.</v>
      </c>
      <c r="L474" s="71"/>
      <c r="M474" s="71" t="s">
        <v>47</v>
      </c>
      <c r="N474" s="71"/>
      <c r="O474" s="71"/>
      <c r="P474" s="71" t="s">
        <v>112</v>
      </c>
      <c r="Q474" s="71"/>
      <c r="R474" s="71" t="str">
        <f>TEXT(8,"#,##0.#######")</f>
        <v>8.</v>
      </c>
      <c r="S474" s="71" t="s">
        <v>467</v>
      </c>
      <c r="T474" s="71"/>
      <c r="U474" s="71"/>
      <c r="V474" s="71" t="s">
        <v>254</v>
      </c>
      <c r="W474" s="71"/>
      <c r="X474" s="71" t="str">
        <f>TEXT(ROUND(K474/R474,2),"#,##0.#######")</f>
        <v>6.5</v>
      </c>
      <c r="Y474" s="71"/>
      <c r="Z474" s="71"/>
      <c r="AA474" s="71"/>
      <c r="AB474" s="71"/>
      <c r="AC474" s="71"/>
      <c r="AD474" s="71" t="s">
        <v>47</v>
      </c>
      <c r="AE474" s="71"/>
      <c r="AF474" s="71" t="s">
        <v>112</v>
      </c>
      <c r="AG474" s="71" t="s">
        <v>467</v>
      </c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2"/>
      <c r="CZ474" s="72"/>
      <c r="DA474" s="72"/>
      <c r="DB474" s="72"/>
      <c r="DC474" s="72"/>
      <c r="DD474" s="72"/>
      <c r="DE474" s="72"/>
      <c r="DF474" s="72"/>
      <c r="DG474" s="72"/>
      <c r="DH474" s="72"/>
      <c r="DI474" s="72"/>
      <c r="DJ474" s="72"/>
      <c r="DK474" s="72"/>
      <c r="DL474" s="72"/>
      <c r="DM474" s="72"/>
      <c r="DN474" s="72"/>
      <c r="DO474" s="72"/>
      <c r="DP474" s="72"/>
      <c r="DQ474" s="72"/>
      <c r="DR474" s="72"/>
      <c r="DS474" s="72"/>
      <c r="DT474" s="72"/>
      <c r="DU474" s="72"/>
      <c r="DV474" s="72"/>
      <c r="DW474" s="72"/>
      <c r="DX474" s="72"/>
      <c r="DY474" s="72"/>
      <c r="DZ474" s="72"/>
      <c r="EA474" s="72"/>
      <c r="EB474" s="72"/>
      <c r="EC474" s="72"/>
      <c r="ED474" s="72"/>
      <c r="EE474" s="72"/>
      <c r="EF474" s="72"/>
      <c r="EG474" s="72"/>
      <c r="EH474" s="72"/>
      <c r="EI474" s="72"/>
      <c r="EJ474" s="72"/>
      <c r="EK474" s="72"/>
      <c r="EL474" s="79"/>
      <c r="EM474" s="79"/>
      <c r="EN474" s="79"/>
      <c r="EO474" s="80"/>
      <c r="EP474" s="78"/>
    </row>
    <row r="475" spans="2:146" ht="11.25" customHeight="1" x14ac:dyDescent="0.2">
      <c r="B475" s="70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2"/>
      <c r="CZ475" s="72"/>
      <c r="DA475" s="72"/>
      <c r="DB475" s="72"/>
      <c r="DC475" s="72"/>
      <c r="DD475" s="72"/>
      <c r="DE475" s="72"/>
      <c r="DF475" s="72"/>
      <c r="DG475" s="72"/>
      <c r="DH475" s="72"/>
      <c r="DI475" s="72"/>
      <c r="DJ475" s="72"/>
      <c r="DK475" s="72"/>
      <c r="DL475" s="72"/>
      <c r="DM475" s="72"/>
      <c r="DN475" s="72"/>
      <c r="DO475" s="72"/>
      <c r="DP475" s="72"/>
      <c r="DQ475" s="72"/>
      <c r="DR475" s="72"/>
      <c r="DS475" s="72"/>
      <c r="DT475" s="72"/>
      <c r="DU475" s="72"/>
      <c r="DV475" s="72"/>
      <c r="DW475" s="72"/>
      <c r="DX475" s="72"/>
      <c r="DY475" s="72"/>
      <c r="DZ475" s="72"/>
      <c r="EA475" s="72"/>
      <c r="EB475" s="72"/>
      <c r="EC475" s="72"/>
      <c r="ED475" s="72"/>
      <c r="EE475" s="72"/>
      <c r="EF475" s="72"/>
      <c r="EG475" s="72"/>
      <c r="EH475" s="72"/>
      <c r="EI475" s="72"/>
      <c r="EJ475" s="72"/>
      <c r="EK475" s="72"/>
      <c r="EL475" s="79"/>
      <c r="EM475" s="79"/>
      <c r="EN475" s="79"/>
      <c r="EO475" s="80"/>
      <c r="EP475" s="78"/>
    </row>
    <row r="476" spans="2:146" ht="11.25" customHeight="1" x14ac:dyDescent="0.2">
      <c r="B476" s="70"/>
      <c r="C476" s="71"/>
      <c r="D476" s="71"/>
      <c r="E476" s="71"/>
      <c r="F476" s="71"/>
      <c r="G476" s="71" t="s">
        <v>543</v>
      </c>
      <c r="H476" s="71"/>
      <c r="I476" s="71"/>
      <c r="J476" s="71"/>
      <c r="K476" s="71"/>
      <c r="L476" s="71"/>
      <c r="M476" s="71"/>
      <c r="N476" s="71" t="s">
        <v>469</v>
      </c>
      <c r="O476" s="71"/>
      <c r="P476" s="71" t="str">
        <f>TEXT(기계경비총괄표!H11,"#,##0")</f>
        <v>59,020</v>
      </c>
      <c r="Q476" s="71"/>
      <c r="R476" s="71"/>
      <c r="S476" s="71"/>
      <c r="T476" s="71"/>
      <c r="U476" s="71"/>
      <c r="V476" s="71"/>
      <c r="W476" s="71"/>
      <c r="X476" s="71"/>
      <c r="Y476" s="71" t="s">
        <v>309</v>
      </c>
      <c r="Z476" s="71"/>
      <c r="AA476" s="71"/>
      <c r="AB476" s="71" t="str">
        <f>TEXT(X474,"#,##0.#######")</f>
        <v>6.5</v>
      </c>
      <c r="AC476" s="71"/>
      <c r="AD476" s="71"/>
      <c r="AE476" s="71"/>
      <c r="AF476" s="71"/>
      <c r="AG476" s="71"/>
      <c r="AH476" s="71" t="s">
        <v>309</v>
      </c>
      <c r="AI476" s="71"/>
      <c r="AJ476" s="71"/>
      <c r="AK476" s="71" t="str">
        <f>TEXT(2,"#,##0.#######")</f>
        <v>2.</v>
      </c>
      <c r="AL476" s="71" t="s">
        <v>375</v>
      </c>
      <c r="AM476" s="71"/>
      <c r="AN476" s="71" t="s">
        <v>254</v>
      </c>
      <c r="AO476" s="71"/>
      <c r="AP476" s="71" t="str">
        <f>TEXT(TRUNC(P476/X474/AK476,1),"#,##0.#")</f>
        <v>4,540.</v>
      </c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2"/>
      <c r="CZ476" s="72"/>
      <c r="DA476" s="72"/>
      <c r="DB476" s="72"/>
      <c r="DC476" s="72"/>
      <c r="DD476" s="72"/>
      <c r="DE476" s="72"/>
      <c r="DF476" s="72"/>
      <c r="DG476" s="72"/>
      <c r="DH476" s="72"/>
      <c r="DI476" s="72"/>
      <c r="DJ476" s="72"/>
      <c r="DK476" s="72"/>
      <c r="DL476" s="72"/>
      <c r="DM476" s="72"/>
      <c r="DN476" s="72"/>
      <c r="DO476" s="72"/>
      <c r="DP476" s="72"/>
      <c r="DQ476" s="72"/>
      <c r="DR476" s="72"/>
      <c r="DS476" s="72"/>
      <c r="DT476" s="72"/>
      <c r="DU476" s="72"/>
      <c r="DV476" s="72"/>
      <c r="DW476" s="72"/>
      <c r="DX476" s="72"/>
      <c r="DY476" s="72"/>
      <c r="DZ476" s="72"/>
      <c r="EA476" s="72"/>
      <c r="EB476" s="72"/>
      <c r="EC476" s="72"/>
      <c r="ED476" s="72"/>
      <c r="EE476" s="72"/>
      <c r="EF476" s="72"/>
      <c r="EG476" s="72"/>
      <c r="EH476" s="72"/>
      <c r="EI476" s="72"/>
      <c r="EJ476" s="72"/>
      <c r="EK476" s="72"/>
      <c r="EL476" s="79"/>
      <c r="EM476" s="79"/>
      <c r="EN476" s="79"/>
      <c r="EO476" s="80"/>
      <c r="EP476" s="78"/>
    </row>
    <row r="477" spans="2:146" ht="11.25" customHeight="1" x14ac:dyDescent="0.2">
      <c r="B477" s="70"/>
      <c r="C477" s="71"/>
      <c r="D477" s="71"/>
      <c r="E477" s="71"/>
      <c r="F477" s="71"/>
      <c r="G477" s="71" t="s">
        <v>400</v>
      </c>
      <c r="H477" s="71"/>
      <c r="I477" s="71"/>
      <c r="J477" s="71"/>
      <c r="K477" s="71"/>
      <c r="L477" s="71"/>
      <c r="M477" s="71"/>
      <c r="N477" s="71" t="s">
        <v>469</v>
      </c>
      <c r="O477" s="71"/>
      <c r="P477" s="71" t="str">
        <f>TEXT(기계경비총괄표!G11,"#,##0")</f>
        <v>22,660</v>
      </c>
      <c r="Q477" s="71"/>
      <c r="R477" s="71"/>
      <c r="S477" s="71"/>
      <c r="T477" s="71"/>
      <c r="U477" s="71"/>
      <c r="V477" s="71"/>
      <c r="W477" s="71"/>
      <c r="X477" s="71"/>
      <c r="Y477" s="71" t="s">
        <v>309</v>
      </c>
      <c r="Z477" s="71"/>
      <c r="AA477" s="71"/>
      <c r="AB477" s="71" t="str">
        <f>TEXT(X474,"#,##0.#######")</f>
        <v>6.5</v>
      </c>
      <c r="AC477" s="71"/>
      <c r="AD477" s="71"/>
      <c r="AE477" s="71"/>
      <c r="AF477" s="71"/>
      <c r="AG477" s="71"/>
      <c r="AH477" s="71" t="s">
        <v>309</v>
      </c>
      <c r="AI477" s="71"/>
      <c r="AJ477" s="71"/>
      <c r="AK477" s="71" t="str">
        <f>TEXT(2,"#,##0.#######")</f>
        <v>2.</v>
      </c>
      <c r="AL477" s="71" t="s">
        <v>375</v>
      </c>
      <c r="AM477" s="71"/>
      <c r="AN477" s="71" t="s">
        <v>254</v>
      </c>
      <c r="AO477" s="71"/>
      <c r="AP477" s="71" t="str">
        <f>TEXT(TRUNC(P477/X474/AK477,1),"#,##0.#")</f>
        <v>1,743.</v>
      </c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2"/>
      <c r="CZ477" s="72"/>
      <c r="DA477" s="72"/>
      <c r="DB477" s="72"/>
      <c r="DC477" s="72"/>
      <c r="DD477" s="72"/>
      <c r="DE477" s="72"/>
      <c r="DF477" s="72"/>
      <c r="DG477" s="72"/>
      <c r="DH477" s="72"/>
      <c r="DI477" s="72"/>
      <c r="DJ477" s="72"/>
      <c r="DK477" s="72"/>
      <c r="DL477" s="72"/>
      <c r="DM477" s="72"/>
      <c r="DN477" s="72"/>
      <c r="DO477" s="72"/>
      <c r="DP477" s="72"/>
      <c r="DQ477" s="72"/>
      <c r="DR477" s="72"/>
      <c r="DS477" s="72"/>
      <c r="DT477" s="72"/>
      <c r="DU477" s="72"/>
      <c r="DV477" s="72"/>
      <c r="DW477" s="72"/>
      <c r="DX477" s="72"/>
      <c r="DY477" s="72"/>
      <c r="DZ477" s="72"/>
      <c r="EA477" s="72"/>
      <c r="EB477" s="72"/>
      <c r="EC477" s="72"/>
      <c r="ED477" s="72"/>
      <c r="EE477" s="72"/>
      <c r="EF477" s="72"/>
      <c r="EG477" s="72"/>
      <c r="EH477" s="72"/>
      <c r="EI477" s="72"/>
      <c r="EJ477" s="72"/>
      <c r="EK477" s="72"/>
      <c r="EL477" s="79"/>
      <c r="EM477" s="79"/>
      <c r="EN477" s="79"/>
      <c r="EO477" s="80"/>
      <c r="EP477" s="78"/>
    </row>
    <row r="478" spans="2:146" ht="11.25" customHeight="1" x14ac:dyDescent="0.2">
      <c r="B478" s="70"/>
      <c r="C478" s="71"/>
      <c r="D478" s="71"/>
      <c r="E478" s="71"/>
      <c r="F478" s="71"/>
      <c r="G478" s="71" t="s">
        <v>147</v>
      </c>
      <c r="H478" s="71"/>
      <c r="I478" s="71"/>
      <c r="J478" s="71"/>
      <c r="K478" s="71" t="s">
        <v>342</v>
      </c>
      <c r="L478" s="71"/>
      <c r="M478" s="71"/>
      <c r="N478" s="71" t="s">
        <v>469</v>
      </c>
      <c r="O478" s="71"/>
      <c r="P478" s="71" t="str">
        <f>TEXT(기계경비총괄표!I11,"#,##0")</f>
        <v>23,423</v>
      </c>
      <c r="Q478" s="71"/>
      <c r="R478" s="71"/>
      <c r="S478" s="71"/>
      <c r="T478" s="71"/>
      <c r="U478" s="71"/>
      <c r="V478" s="71"/>
      <c r="W478" s="71"/>
      <c r="X478" s="71"/>
      <c r="Y478" s="71" t="s">
        <v>309</v>
      </c>
      <c r="Z478" s="71"/>
      <c r="AA478" s="71"/>
      <c r="AB478" s="71" t="str">
        <f>TEXT(X474,"#,##0.#######")</f>
        <v>6.5</v>
      </c>
      <c r="AC478" s="71"/>
      <c r="AD478" s="71"/>
      <c r="AE478" s="71"/>
      <c r="AF478" s="71"/>
      <c r="AG478" s="71"/>
      <c r="AH478" s="71" t="s">
        <v>309</v>
      </c>
      <c r="AI478" s="71"/>
      <c r="AJ478" s="71"/>
      <c r="AK478" s="71" t="str">
        <f>TEXT(2,"#,##0.#######")</f>
        <v>2.</v>
      </c>
      <c r="AL478" s="71" t="s">
        <v>375</v>
      </c>
      <c r="AM478" s="71"/>
      <c r="AN478" s="71" t="s">
        <v>254</v>
      </c>
      <c r="AO478" s="71"/>
      <c r="AP478" s="71" t="str">
        <f>TEXT(TRUNC(P478/X474/AK478,1),"#,##0.#")</f>
        <v>1,801.7</v>
      </c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2"/>
      <c r="CZ478" s="72"/>
      <c r="DA478" s="72"/>
      <c r="DB478" s="72"/>
      <c r="DC478" s="72"/>
      <c r="DD478" s="72"/>
      <c r="DE478" s="72"/>
      <c r="DF478" s="72"/>
      <c r="DG478" s="72"/>
      <c r="DH478" s="72"/>
      <c r="DI478" s="72"/>
      <c r="DJ478" s="72"/>
      <c r="DK478" s="72"/>
      <c r="DL478" s="72"/>
      <c r="DM478" s="72"/>
      <c r="DN478" s="72"/>
      <c r="DO478" s="72"/>
      <c r="DP478" s="72"/>
      <c r="DQ478" s="72"/>
      <c r="DR478" s="72"/>
      <c r="DS478" s="72"/>
      <c r="DT478" s="72"/>
      <c r="DU478" s="72"/>
      <c r="DV478" s="72"/>
      <c r="DW478" s="72"/>
      <c r="DX478" s="72"/>
      <c r="DY478" s="72"/>
      <c r="DZ478" s="72"/>
      <c r="EA478" s="72"/>
      <c r="EB478" s="72"/>
      <c r="EC478" s="72"/>
      <c r="ED478" s="72"/>
      <c r="EE478" s="72"/>
      <c r="EF478" s="72"/>
      <c r="EG478" s="72"/>
      <c r="EH478" s="72"/>
      <c r="EI478" s="72"/>
      <c r="EJ478" s="72"/>
      <c r="EK478" s="72"/>
      <c r="EL478" s="79"/>
      <c r="EM478" s="79"/>
      <c r="EN478" s="79"/>
      <c r="EO478" s="80"/>
      <c r="EP478" s="78"/>
    </row>
    <row r="479" spans="2:146" ht="11.25" customHeight="1" x14ac:dyDescent="0.2">
      <c r="B479" s="70"/>
      <c r="C479" s="71"/>
      <c r="D479" s="71"/>
      <c r="E479" s="71"/>
      <c r="F479" s="71"/>
      <c r="G479" s="71" t="s">
        <v>252</v>
      </c>
      <c r="H479" s="71"/>
      <c r="I479" s="71"/>
      <c r="J479" s="71"/>
      <c r="K479" s="71" t="s">
        <v>341</v>
      </c>
      <c r="L479" s="71"/>
      <c r="M479" s="71"/>
      <c r="N479" s="71" t="s">
        <v>469</v>
      </c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 t="str">
        <f>TEXT(AP476+AP477+AP478,"#,##0.#######")</f>
        <v>8,084.7</v>
      </c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2"/>
      <c r="CZ479" s="72"/>
      <c r="DA479" s="72"/>
      <c r="DB479" s="72"/>
      <c r="DC479" s="72"/>
      <c r="DD479" s="72"/>
      <c r="DE479" s="72"/>
      <c r="DF479" s="72"/>
      <c r="DG479" s="72"/>
      <c r="DH479" s="72"/>
      <c r="DI479" s="72"/>
      <c r="DJ479" s="72"/>
      <c r="DK479" s="72"/>
      <c r="DL479" s="72"/>
      <c r="DM479" s="72"/>
      <c r="DN479" s="72"/>
      <c r="DO479" s="72"/>
      <c r="DP479" s="72"/>
      <c r="DQ479" s="72"/>
      <c r="DR479" s="72"/>
      <c r="DS479" s="72"/>
      <c r="DT479" s="72"/>
      <c r="DU479" s="72"/>
      <c r="DV479" s="72"/>
      <c r="DW479" s="72"/>
      <c r="DX479" s="72"/>
      <c r="DY479" s="72"/>
      <c r="DZ479" s="72"/>
      <c r="EA479" s="72"/>
      <c r="EB479" s="72"/>
      <c r="EC479" s="72"/>
      <c r="ED479" s="72"/>
      <c r="EE479" s="72"/>
      <c r="EF479" s="72"/>
      <c r="EG479" s="72"/>
      <c r="EH479" s="72"/>
      <c r="EI479" s="72"/>
      <c r="EJ479" s="72"/>
      <c r="EK479" s="72"/>
      <c r="EL479" s="79">
        <f>EN479+EM479+EO479</f>
        <v>8084.7</v>
      </c>
      <c r="EM479" s="79" t="str">
        <f>TEXT(AP477,"#,###.0")</f>
        <v>1,743.0</v>
      </c>
      <c r="EN479" s="79" t="str">
        <f>TEXT(AP476,"#,###.0")</f>
        <v>4,540.0</v>
      </c>
      <c r="EO479" s="80" t="str">
        <f>TEXT(AP478,"#,###.0")</f>
        <v>1,801.7</v>
      </c>
      <c r="EP479" s="78"/>
    </row>
    <row r="480" spans="2:146" ht="11.25" customHeight="1" x14ac:dyDescent="0.2">
      <c r="B480" s="70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2"/>
      <c r="CZ480" s="72"/>
      <c r="DA480" s="72"/>
      <c r="DB480" s="72"/>
      <c r="DC480" s="72"/>
      <c r="DD480" s="72"/>
      <c r="DE480" s="72"/>
      <c r="DF480" s="72"/>
      <c r="DG480" s="72"/>
      <c r="DH480" s="72"/>
      <c r="DI480" s="72"/>
      <c r="DJ480" s="72"/>
      <c r="DK480" s="72"/>
      <c r="DL480" s="72"/>
      <c r="DM480" s="72"/>
      <c r="DN480" s="72"/>
      <c r="DO480" s="72"/>
      <c r="DP480" s="72"/>
      <c r="DQ480" s="72"/>
      <c r="DR480" s="72"/>
      <c r="DS480" s="72"/>
      <c r="DT480" s="72"/>
      <c r="DU480" s="72"/>
      <c r="DV480" s="72"/>
      <c r="DW480" s="72"/>
      <c r="DX480" s="72"/>
      <c r="DY480" s="72"/>
      <c r="DZ480" s="72"/>
      <c r="EA480" s="72"/>
      <c r="EB480" s="72"/>
      <c r="EC480" s="72"/>
      <c r="ED480" s="72"/>
      <c r="EE480" s="72"/>
      <c r="EF480" s="72"/>
      <c r="EG480" s="72"/>
      <c r="EH480" s="72"/>
      <c r="EI480" s="72"/>
      <c r="EJ480" s="72"/>
      <c r="EK480" s="72"/>
      <c r="EL480" s="79"/>
      <c r="EM480" s="79"/>
      <c r="EN480" s="79"/>
      <c r="EO480" s="80"/>
      <c r="EP480" s="78"/>
    </row>
    <row r="481" spans="2:146" ht="11.25" customHeight="1" x14ac:dyDescent="0.2">
      <c r="B481" s="70"/>
      <c r="C481" s="71"/>
      <c r="D481" s="71" t="s">
        <v>150</v>
      </c>
      <c r="E481" s="71"/>
      <c r="F481" s="71"/>
      <c r="G481" s="71" t="s">
        <v>437</v>
      </c>
      <c r="H481" s="71"/>
      <c r="I481" s="71"/>
      <c r="J481" s="71"/>
      <c r="K481" s="71"/>
      <c r="L481" s="71" t="s">
        <v>341</v>
      </c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2"/>
      <c r="CZ481" s="72"/>
      <c r="DA481" s="72"/>
      <c r="DB481" s="72"/>
      <c r="DC481" s="72"/>
      <c r="DD481" s="72"/>
      <c r="DE481" s="72"/>
      <c r="DF481" s="72"/>
      <c r="DG481" s="72"/>
      <c r="DH481" s="72"/>
      <c r="DI481" s="72"/>
      <c r="DJ481" s="72"/>
      <c r="DK481" s="72"/>
      <c r="DL481" s="72"/>
      <c r="DM481" s="72"/>
      <c r="DN481" s="72"/>
      <c r="DO481" s="72"/>
      <c r="DP481" s="72"/>
      <c r="DQ481" s="72"/>
      <c r="DR481" s="72"/>
      <c r="DS481" s="72"/>
      <c r="DT481" s="72"/>
      <c r="DU481" s="72"/>
      <c r="DV481" s="72"/>
      <c r="DW481" s="72"/>
      <c r="DX481" s="72"/>
      <c r="DY481" s="72"/>
      <c r="DZ481" s="72"/>
      <c r="EA481" s="72"/>
      <c r="EB481" s="72"/>
      <c r="EC481" s="72"/>
      <c r="ED481" s="72"/>
      <c r="EE481" s="72"/>
      <c r="EF481" s="72"/>
      <c r="EG481" s="72"/>
      <c r="EH481" s="72"/>
      <c r="EI481" s="72"/>
      <c r="EJ481" s="72"/>
      <c r="EK481" s="72"/>
      <c r="EL481" s="79"/>
      <c r="EM481" s="79"/>
      <c r="EN481" s="79"/>
      <c r="EO481" s="80"/>
      <c r="EP481" s="78"/>
    </row>
    <row r="482" spans="2:146" ht="11.25" customHeight="1" x14ac:dyDescent="0.2">
      <c r="B482" s="70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2"/>
      <c r="CZ482" s="72"/>
      <c r="DA482" s="72"/>
      <c r="DB482" s="72"/>
      <c r="DC482" s="72"/>
      <c r="DD482" s="72"/>
      <c r="DE482" s="72"/>
      <c r="DF482" s="72"/>
      <c r="DG482" s="72"/>
      <c r="DH482" s="72"/>
      <c r="DI482" s="72"/>
      <c r="DJ482" s="72"/>
      <c r="DK482" s="72"/>
      <c r="DL482" s="72"/>
      <c r="DM482" s="72"/>
      <c r="DN482" s="72"/>
      <c r="DO482" s="72"/>
      <c r="DP482" s="72"/>
      <c r="DQ482" s="72"/>
      <c r="DR482" s="72"/>
      <c r="DS482" s="72"/>
      <c r="DT482" s="72"/>
      <c r="DU482" s="72"/>
      <c r="DV482" s="72"/>
      <c r="DW482" s="72"/>
      <c r="DX482" s="72"/>
      <c r="DY482" s="72"/>
      <c r="DZ482" s="72"/>
      <c r="EA482" s="72"/>
      <c r="EB482" s="72"/>
      <c r="EC482" s="72"/>
      <c r="ED482" s="72"/>
      <c r="EE482" s="72"/>
      <c r="EF482" s="72"/>
      <c r="EG482" s="72"/>
      <c r="EH482" s="72"/>
      <c r="EI482" s="72"/>
      <c r="EJ482" s="72"/>
      <c r="EK482" s="72"/>
      <c r="EL482" s="79"/>
      <c r="EM482" s="79"/>
      <c r="EN482" s="79"/>
      <c r="EO482" s="80"/>
      <c r="EP482" s="78"/>
    </row>
    <row r="483" spans="2:146" ht="11.25" customHeight="1" x14ac:dyDescent="0.2">
      <c r="B483" s="70"/>
      <c r="C483" s="71"/>
      <c r="D483" s="71"/>
      <c r="E483" s="71"/>
      <c r="F483" s="71"/>
      <c r="G483" s="71"/>
      <c r="H483" s="71" t="s">
        <v>543</v>
      </c>
      <c r="I483" s="71"/>
      <c r="J483" s="71"/>
      <c r="K483" s="71"/>
      <c r="L483" s="71"/>
      <c r="M483" s="71"/>
      <c r="N483" s="71"/>
      <c r="O483" s="71" t="s">
        <v>469</v>
      </c>
      <c r="P483" s="71"/>
      <c r="Q483" s="71" t="str">
        <f>TEXT(EN467,"#,###.##")</f>
        <v>6,003.</v>
      </c>
      <c r="R483" s="71"/>
      <c r="S483" s="71"/>
      <c r="T483" s="71"/>
      <c r="U483" s="71"/>
      <c r="V483" s="71"/>
      <c r="W483" s="71" t="s">
        <v>133</v>
      </c>
      <c r="X483" s="71"/>
      <c r="Y483" s="71" t="str">
        <f>TEXT(EN479,"#,###.##")</f>
        <v>4,540.</v>
      </c>
      <c r="Z483" s="71"/>
      <c r="AA483" s="71"/>
      <c r="AB483" s="71"/>
      <c r="AC483" s="71"/>
      <c r="AD483" s="71"/>
      <c r="AE483" s="71" t="s">
        <v>254</v>
      </c>
      <c r="AF483" s="71"/>
      <c r="AG483" s="71"/>
      <c r="AH483" s="71" t="str">
        <f>TEXT(TRUNC(EN467+EN479,0),"#,##0")</f>
        <v>10,543</v>
      </c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2"/>
      <c r="CZ483" s="72"/>
      <c r="DA483" s="72"/>
      <c r="DB483" s="72"/>
      <c r="DC483" s="72"/>
      <c r="DD483" s="72"/>
      <c r="DE483" s="72"/>
      <c r="DF483" s="72"/>
      <c r="DG483" s="72"/>
      <c r="DH483" s="72"/>
      <c r="DI483" s="72"/>
      <c r="DJ483" s="72"/>
      <c r="DK483" s="72"/>
      <c r="DL483" s="72"/>
      <c r="DM483" s="72"/>
      <c r="DN483" s="72"/>
      <c r="DO483" s="72"/>
      <c r="DP483" s="72"/>
      <c r="DQ483" s="72"/>
      <c r="DR483" s="72"/>
      <c r="DS483" s="72"/>
      <c r="DT483" s="72"/>
      <c r="DU483" s="72"/>
      <c r="DV483" s="72"/>
      <c r="DW483" s="72"/>
      <c r="DX483" s="72"/>
      <c r="DY483" s="72"/>
      <c r="DZ483" s="72"/>
      <c r="EA483" s="72"/>
      <c r="EB483" s="72"/>
      <c r="EC483" s="72"/>
      <c r="ED483" s="72"/>
      <c r="EE483" s="72"/>
      <c r="EF483" s="72"/>
      <c r="EG483" s="72"/>
      <c r="EH483" s="72"/>
      <c r="EI483" s="72"/>
      <c r="EJ483" s="72"/>
      <c r="EK483" s="72"/>
      <c r="EL483" s="79"/>
      <c r="EM483" s="79"/>
      <c r="EN483" s="79"/>
      <c r="EO483" s="80"/>
      <c r="EP483" s="78"/>
    </row>
    <row r="484" spans="2:146" ht="11.25" customHeight="1" x14ac:dyDescent="0.2">
      <c r="B484" s="70"/>
      <c r="C484" s="71"/>
      <c r="D484" s="71"/>
      <c r="E484" s="71"/>
      <c r="F484" s="71"/>
      <c r="G484" s="71"/>
      <c r="H484" s="71" t="s">
        <v>400</v>
      </c>
      <c r="I484" s="71"/>
      <c r="J484" s="71"/>
      <c r="K484" s="71"/>
      <c r="L484" s="71"/>
      <c r="M484" s="71"/>
      <c r="N484" s="71"/>
      <c r="O484" s="71" t="s">
        <v>469</v>
      </c>
      <c r="P484" s="71"/>
      <c r="Q484" s="71" t="str">
        <f>TEXT(EM470,"#,###.##")</f>
        <v>480.2</v>
      </c>
      <c r="R484" s="71"/>
      <c r="S484" s="71"/>
      <c r="T484" s="71"/>
      <c r="U484" s="71"/>
      <c r="V484" s="71"/>
      <c r="W484" s="71" t="s">
        <v>133</v>
      </c>
      <c r="X484" s="71"/>
      <c r="Y484" s="71" t="str">
        <f>TEXT(EM479,"#,###.##")</f>
        <v>1,743.</v>
      </c>
      <c r="Z484" s="71"/>
      <c r="AA484" s="71"/>
      <c r="AB484" s="71"/>
      <c r="AC484" s="71"/>
      <c r="AD484" s="71"/>
      <c r="AE484" s="71" t="s">
        <v>254</v>
      </c>
      <c r="AF484" s="71"/>
      <c r="AG484" s="71"/>
      <c r="AH484" s="71" t="str">
        <f>TEXT(TRUNC(EM470+EM479,0),"#,##0")</f>
        <v>2,223</v>
      </c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2"/>
      <c r="CZ484" s="72"/>
      <c r="DA484" s="72"/>
      <c r="DB484" s="72"/>
      <c r="DC484" s="72"/>
      <c r="DD484" s="72"/>
      <c r="DE484" s="72"/>
      <c r="DF484" s="72"/>
      <c r="DG484" s="72"/>
      <c r="DH484" s="72"/>
      <c r="DI484" s="72"/>
      <c r="DJ484" s="72"/>
      <c r="DK484" s="72"/>
      <c r="DL484" s="72"/>
      <c r="DM484" s="72"/>
      <c r="DN484" s="72"/>
      <c r="DO484" s="72"/>
      <c r="DP484" s="72"/>
      <c r="DQ484" s="72"/>
      <c r="DR484" s="72"/>
      <c r="DS484" s="72"/>
      <c r="DT484" s="72"/>
      <c r="DU484" s="72"/>
      <c r="DV484" s="72"/>
      <c r="DW484" s="72"/>
      <c r="DX484" s="72"/>
      <c r="DY484" s="72"/>
      <c r="DZ484" s="72"/>
      <c r="EA484" s="72"/>
      <c r="EB484" s="72"/>
      <c r="EC484" s="72"/>
      <c r="ED484" s="72"/>
      <c r="EE484" s="72"/>
      <c r="EF484" s="72"/>
      <c r="EG484" s="72"/>
      <c r="EH484" s="72"/>
      <c r="EI484" s="72"/>
      <c r="EJ484" s="72"/>
      <c r="EK484" s="72"/>
      <c r="EL484" s="79"/>
      <c r="EM484" s="79"/>
      <c r="EN484" s="79"/>
      <c r="EO484" s="80"/>
      <c r="EP484" s="78"/>
    </row>
    <row r="485" spans="2:146" ht="11.25" customHeight="1" x14ac:dyDescent="0.2">
      <c r="B485" s="70"/>
      <c r="C485" s="71"/>
      <c r="D485" s="71"/>
      <c r="E485" s="71"/>
      <c r="F485" s="71"/>
      <c r="G485" s="71"/>
      <c r="H485" s="71" t="s">
        <v>147</v>
      </c>
      <c r="I485" s="71"/>
      <c r="J485" s="71"/>
      <c r="K485" s="71"/>
      <c r="L485" s="71" t="s">
        <v>342</v>
      </c>
      <c r="M485" s="71"/>
      <c r="N485" s="71"/>
      <c r="O485" s="71" t="s">
        <v>469</v>
      </c>
      <c r="P485" s="71"/>
      <c r="Q485" s="71" t="str">
        <f>TEXT(TRUNC(EO479,0),"#,##0")</f>
        <v>1,801</v>
      </c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2"/>
      <c r="CZ485" s="72"/>
      <c r="DA485" s="72"/>
      <c r="DB485" s="72"/>
      <c r="DC485" s="72"/>
      <c r="DD485" s="72"/>
      <c r="DE485" s="72"/>
      <c r="DF485" s="72"/>
      <c r="DG485" s="72"/>
      <c r="DH485" s="72"/>
      <c r="DI485" s="72"/>
      <c r="DJ485" s="72"/>
      <c r="DK485" s="72"/>
      <c r="DL485" s="72"/>
      <c r="DM485" s="72"/>
      <c r="DN485" s="72"/>
      <c r="DO485" s="72"/>
      <c r="DP485" s="72"/>
      <c r="DQ485" s="72"/>
      <c r="DR485" s="72"/>
      <c r="DS485" s="72"/>
      <c r="DT485" s="72"/>
      <c r="DU485" s="72"/>
      <c r="DV485" s="72"/>
      <c r="DW485" s="72"/>
      <c r="DX485" s="72"/>
      <c r="DY485" s="72"/>
      <c r="DZ485" s="72"/>
      <c r="EA485" s="72"/>
      <c r="EB485" s="72"/>
      <c r="EC485" s="72"/>
      <c r="ED485" s="72"/>
      <c r="EE485" s="72"/>
      <c r="EF485" s="72"/>
      <c r="EG485" s="72"/>
      <c r="EH485" s="72"/>
      <c r="EI485" s="72"/>
      <c r="EJ485" s="72"/>
      <c r="EK485" s="72"/>
      <c r="EL485" s="79"/>
      <c r="EM485" s="79"/>
      <c r="EN485" s="79"/>
      <c r="EO485" s="80"/>
      <c r="EP485" s="78"/>
    </row>
    <row r="486" spans="2:146" ht="11.25" customHeight="1" x14ac:dyDescent="0.2">
      <c r="B486" s="70"/>
      <c r="C486" s="71"/>
      <c r="D486" s="71"/>
      <c r="E486" s="71"/>
      <c r="F486" s="71"/>
      <c r="G486" s="71"/>
      <c r="H486" s="71"/>
      <c r="I486" s="71"/>
      <c r="J486" s="71" t="s">
        <v>341</v>
      </c>
      <c r="K486" s="71"/>
      <c r="L486" s="71"/>
      <c r="M486" s="71"/>
      <c r="N486" s="71"/>
      <c r="O486" s="71" t="s">
        <v>469</v>
      </c>
      <c r="P486" s="71"/>
      <c r="Q486" s="71"/>
      <c r="R486" s="71" t="str">
        <f>TEXT(AH483+AH484+Q485,"#,##0")</f>
        <v>14,567</v>
      </c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81">
        <f>EN486+EM486+EO486</f>
        <v>14567</v>
      </c>
      <c r="EM486" s="79" t="str">
        <f>TEXT(AH484,"#,##0")</f>
        <v>2,223</v>
      </c>
      <c r="EN486" s="79" t="str">
        <f>TEXT(AH483,"#,##0")</f>
        <v>10,543</v>
      </c>
      <c r="EO486" s="80" t="str">
        <f>TEXT(Q485,"#,##0")</f>
        <v>1,801</v>
      </c>
      <c r="EP486" s="78"/>
    </row>
    <row r="487" spans="2:146" ht="11.25" customHeight="1" x14ac:dyDescent="0.2">
      <c r="B487" s="70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9"/>
      <c r="EM487" s="79"/>
      <c r="EN487" s="79"/>
      <c r="EO487" s="80"/>
      <c r="EP487" s="78"/>
    </row>
    <row r="488" spans="2:146" ht="11.25" customHeight="1" x14ac:dyDescent="0.2">
      <c r="B488" s="75" t="s">
        <v>369</v>
      </c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6">
        <f>EL503</f>
        <v>2460</v>
      </c>
      <c r="EM488" s="79">
        <f>EM503</f>
        <v>0</v>
      </c>
      <c r="EN488" s="76" t="str">
        <f>EN503</f>
        <v>2,460</v>
      </c>
      <c r="EO488" s="80">
        <f>EO503</f>
        <v>0</v>
      </c>
      <c r="EP488" s="78"/>
    </row>
    <row r="489" spans="2:146" ht="11.25" customHeight="1" x14ac:dyDescent="0.2">
      <c r="B489" s="70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2"/>
      <c r="CZ489" s="72"/>
      <c r="DA489" s="72"/>
      <c r="DB489" s="72"/>
      <c r="DC489" s="72"/>
      <c r="DD489" s="72"/>
      <c r="DE489" s="72"/>
      <c r="DF489" s="72"/>
      <c r="DG489" s="72"/>
      <c r="DH489" s="72"/>
      <c r="DI489" s="72"/>
      <c r="DJ489" s="72"/>
      <c r="DK489" s="72"/>
      <c r="DL489" s="72"/>
      <c r="DM489" s="72"/>
      <c r="DN489" s="72"/>
      <c r="DO489" s="72"/>
      <c r="DP489" s="72"/>
      <c r="DQ489" s="72"/>
      <c r="DR489" s="72"/>
      <c r="DS489" s="72"/>
      <c r="DT489" s="72"/>
      <c r="DU489" s="72"/>
      <c r="DV489" s="72"/>
      <c r="DW489" s="72"/>
      <c r="DX489" s="72"/>
      <c r="DY489" s="72"/>
      <c r="DZ489" s="72"/>
      <c r="EA489" s="72"/>
      <c r="EB489" s="72"/>
      <c r="EC489" s="72"/>
      <c r="ED489" s="72"/>
      <c r="EE489" s="72"/>
      <c r="EF489" s="72"/>
      <c r="EG489" s="72"/>
      <c r="EH489" s="72"/>
      <c r="EI489" s="72"/>
      <c r="EJ489" s="72"/>
      <c r="EK489" s="72"/>
      <c r="EL489" s="79"/>
      <c r="EM489" s="79"/>
      <c r="EN489" s="79"/>
      <c r="EO489" s="80"/>
      <c r="EP489" s="78"/>
    </row>
    <row r="490" spans="2:146" ht="11.25" customHeight="1" x14ac:dyDescent="0.2">
      <c r="B490" s="70"/>
      <c r="C490" s="71"/>
      <c r="D490" s="71" t="s">
        <v>315</v>
      </c>
      <c r="E490" s="71"/>
      <c r="F490" s="71"/>
      <c r="G490" s="71" t="s">
        <v>400</v>
      </c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2"/>
      <c r="CZ490" s="72"/>
      <c r="DA490" s="72"/>
      <c r="DB490" s="72"/>
      <c r="DC490" s="72"/>
      <c r="DD490" s="72"/>
      <c r="DE490" s="72"/>
      <c r="DF490" s="72"/>
      <c r="DG490" s="72"/>
      <c r="DH490" s="72"/>
      <c r="DI490" s="72"/>
      <c r="DJ490" s="72"/>
      <c r="DK490" s="72"/>
      <c r="DL490" s="72"/>
      <c r="DM490" s="72"/>
      <c r="DN490" s="72"/>
      <c r="DO490" s="72"/>
      <c r="DP490" s="72"/>
      <c r="DQ490" s="72"/>
      <c r="DR490" s="72"/>
      <c r="DS490" s="72"/>
      <c r="DT490" s="72"/>
      <c r="DU490" s="72"/>
      <c r="DV490" s="72"/>
      <c r="DW490" s="72"/>
      <c r="DX490" s="72"/>
      <c r="DY490" s="72"/>
      <c r="DZ490" s="72"/>
      <c r="EA490" s="72"/>
      <c r="EB490" s="72"/>
      <c r="EC490" s="72"/>
      <c r="ED490" s="72"/>
      <c r="EE490" s="72"/>
      <c r="EF490" s="72"/>
      <c r="EG490" s="72"/>
      <c r="EH490" s="72"/>
      <c r="EI490" s="72"/>
      <c r="EJ490" s="72"/>
      <c r="EK490" s="72"/>
      <c r="EL490" s="79"/>
      <c r="EM490" s="79"/>
      <c r="EN490" s="79"/>
      <c r="EO490" s="80"/>
      <c r="EP490" s="78"/>
    </row>
    <row r="491" spans="2:146" ht="11.25" customHeight="1" x14ac:dyDescent="0.2">
      <c r="B491" s="70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2"/>
      <c r="CZ491" s="72"/>
      <c r="DA491" s="72"/>
      <c r="DB491" s="72"/>
      <c r="DC491" s="72"/>
      <c r="DD491" s="72"/>
      <c r="DE491" s="72"/>
      <c r="DF491" s="72"/>
      <c r="DG491" s="72"/>
      <c r="DH491" s="72"/>
      <c r="DI491" s="72"/>
      <c r="DJ491" s="72"/>
      <c r="DK491" s="72"/>
      <c r="DL491" s="72"/>
      <c r="DM491" s="72"/>
      <c r="DN491" s="72"/>
      <c r="DO491" s="72"/>
      <c r="DP491" s="72"/>
      <c r="DQ491" s="72"/>
      <c r="DR491" s="72"/>
      <c r="DS491" s="72"/>
      <c r="DT491" s="72"/>
      <c r="DU491" s="72"/>
      <c r="DV491" s="72"/>
      <c r="DW491" s="72"/>
      <c r="DX491" s="72"/>
      <c r="DY491" s="72"/>
      <c r="DZ491" s="72"/>
      <c r="EA491" s="72"/>
      <c r="EB491" s="72"/>
      <c r="EC491" s="72"/>
      <c r="ED491" s="72"/>
      <c r="EE491" s="72"/>
      <c r="EF491" s="72"/>
      <c r="EG491" s="72"/>
      <c r="EH491" s="72"/>
      <c r="EI491" s="72"/>
      <c r="EJ491" s="72"/>
      <c r="EK491" s="72"/>
      <c r="EL491" s="79"/>
      <c r="EM491" s="79"/>
      <c r="EN491" s="79"/>
      <c r="EO491" s="80"/>
      <c r="EP491" s="78"/>
    </row>
    <row r="492" spans="2:146" ht="11.25" customHeight="1" x14ac:dyDescent="0.2">
      <c r="B492" s="70"/>
      <c r="C492" s="71"/>
      <c r="D492" s="71"/>
      <c r="E492" s="71"/>
      <c r="F492" s="71"/>
      <c r="G492" s="71" t="s">
        <v>169</v>
      </c>
      <c r="H492" s="71"/>
      <c r="I492" s="71"/>
      <c r="J492" s="71"/>
      <c r="K492" s="71"/>
      <c r="L492" s="71"/>
      <c r="M492" s="71"/>
      <c r="N492" s="71" t="s">
        <v>12</v>
      </c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2"/>
      <c r="CZ492" s="72"/>
      <c r="DA492" s="72"/>
      <c r="DB492" s="72"/>
      <c r="DC492" s="72"/>
      <c r="DD492" s="72"/>
      <c r="DE492" s="72"/>
      <c r="DF492" s="72"/>
      <c r="DG492" s="72"/>
      <c r="DH492" s="72"/>
      <c r="DI492" s="72"/>
      <c r="DJ492" s="72"/>
      <c r="DK492" s="72"/>
      <c r="DL492" s="72"/>
      <c r="DM492" s="72"/>
      <c r="DN492" s="72"/>
      <c r="DO492" s="72"/>
      <c r="DP492" s="72"/>
      <c r="DQ492" s="72"/>
      <c r="DR492" s="72"/>
      <c r="DS492" s="72"/>
      <c r="DT492" s="72"/>
      <c r="DU492" s="72"/>
      <c r="DV492" s="72"/>
      <c r="DW492" s="72"/>
      <c r="DX492" s="72"/>
      <c r="DY492" s="72"/>
      <c r="DZ492" s="72"/>
      <c r="EA492" s="72"/>
      <c r="EB492" s="72"/>
      <c r="EC492" s="72"/>
      <c r="ED492" s="72"/>
      <c r="EE492" s="72"/>
      <c r="EF492" s="72"/>
      <c r="EG492" s="72"/>
      <c r="EH492" s="72"/>
      <c r="EI492" s="72"/>
      <c r="EJ492" s="72"/>
      <c r="EK492" s="72"/>
      <c r="EL492" s="79"/>
      <c r="EM492" s="79"/>
      <c r="EN492" s="79"/>
      <c r="EO492" s="80"/>
      <c r="EP492" s="78"/>
    </row>
    <row r="493" spans="2:146" ht="11.25" customHeight="1" x14ac:dyDescent="0.2">
      <c r="B493" s="70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2"/>
      <c r="CZ493" s="72"/>
      <c r="DA493" s="72"/>
      <c r="DB493" s="72"/>
      <c r="DC493" s="72"/>
      <c r="DD493" s="72"/>
      <c r="DE493" s="72"/>
      <c r="DF493" s="72"/>
      <c r="DG493" s="72"/>
      <c r="DH493" s="72"/>
      <c r="DI493" s="72"/>
      <c r="DJ493" s="72"/>
      <c r="DK493" s="72"/>
      <c r="DL493" s="72"/>
      <c r="DM493" s="72"/>
      <c r="DN493" s="72"/>
      <c r="DO493" s="72"/>
      <c r="DP493" s="72"/>
      <c r="DQ493" s="72"/>
      <c r="DR493" s="72"/>
      <c r="DS493" s="72"/>
      <c r="DT493" s="72"/>
      <c r="DU493" s="72"/>
      <c r="DV493" s="72"/>
      <c r="DW493" s="72"/>
      <c r="DX493" s="72"/>
      <c r="DY493" s="72"/>
      <c r="DZ493" s="72"/>
      <c r="EA493" s="72"/>
      <c r="EB493" s="72"/>
      <c r="EC493" s="72"/>
      <c r="ED493" s="72"/>
      <c r="EE493" s="72"/>
      <c r="EF493" s="72"/>
      <c r="EG493" s="72"/>
      <c r="EH493" s="72"/>
      <c r="EI493" s="72"/>
      <c r="EJ493" s="72"/>
      <c r="EK493" s="72"/>
      <c r="EL493" s="79"/>
      <c r="EM493" s="79"/>
      <c r="EN493" s="79"/>
      <c r="EO493" s="80"/>
      <c r="EP493" s="78"/>
    </row>
    <row r="494" spans="2:146" ht="11.25" customHeight="1" x14ac:dyDescent="0.2">
      <c r="B494" s="70"/>
      <c r="C494" s="71"/>
      <c r="D494" s="71" t="s">
        <v>463</v>
      </c>
      <c r="E494" s="71"/>
      <c r="F494" s="71"/>
      <c r="G494" s="71" t="s">
        <v>384</v>
      </c>
      <c r="H494" s="71"/>
      <c r="I494" s="71"/>
      <c r="J494" s="71"/>
      <c r="K494" s="71"/>
      <c r="L494" s="71"/>
      <c r="M494" s="71" t="s">
        <v>336</v>
      </c>
      <c r="N494" s="71" t="s">
        <v>297</v>
      </c>
      <c r="O494" s="71"/>
      <c r="P494" s="71"/>
      <c r="Q494" s="71"/>
      <c r="R494" s="71"/>
      <c r="S494" s="71"/>
      <c r="T494" s="71"/>
      <c r="U494" s="71"/>
      <c r="V494" s="71"/>
      <c r="W494" s="71" t="s">
        <v>210</v>
      </c>
      <c r="X494" s="71" t="s">
        <v>144</v>
      </c>
      <c r="Y494" s="71" t="s">
        <v>80</v>
      </c>
      <c r="Z494" s="71"/>
      <c r="AA494" s="71"/>
      <c r="AB494" s="71"/>
      <c r="AC494" s="71"/>
      <c r="AD494" s="71"/>
      <c r="AE494" s="71"/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2"/>
      <c r="CZ494" s="72"/>
      <c r="DA494" s="72"/>
      <c r="DB494" s="72"/>
      <c r="DC494" s="72"/>
      <c r="DD494" s="72"/>
      <c r="DE494" s="72"/>
      <c r="DF494" s="72"/>
      <c r="DG494" s="72"/>
      <c r="DH494" s="72"/>
      <c r="DI494" s="72"/>
      <c r="DJ494" s="72"/>
      <c r="DK494" s="72"/>
      <c r="DL494" s="72"/>
      <c r="DM494" s="72"/>
      <c r="DN494" s="72"/>
      <c r="DO494" s="72"/>
      <c r="DP494" s="72"/>
      <c r="DQ494" s="72"/>
      <c r="DR494" s="72"/>
      <c r="DS494" s="72"/>
      <c r="DT494" s="72"/>
      <c r="DU494" s="72"/>
      <c r="DV494" s="72"/>
      <c r="DW494" s="72"/>
      <c r="DX494" s="72"/>
      <c r="DY494" s="72"/>
      <c r="DZ494" s="72"/>
      <c r="EA494" s="72"/>
      <c r="EB494" s="72"/>
      <c r="EC494" s="72"/>
      <c r="ED494" s="72"/>
      <c r="EE494" s="72"/>
      <c r="EF494" s="72"/>
      <c r="EG494" s="72"/>
      <c r="EH494" s="72"/>
      <c r="EI494" s="72"/>
      <c r="EJ494" s="72"/>
      <c r="EK494" s="72"/>
      <c r="EL494" s="79"/>
      <c r="EM494" s="79"/>
      <c r="EN494" s="79"/>
      <c r="EO494" s="80"/>
      <c r="EP494" s="78"/>
    </row>
    <row r="495" spans="2:146" ht="11.25" customHeight="1" x14ac:dyDescent="0.2">
      <c r="B495" s="70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2"/>
      <c r="CZ495" s="72"/>
      <c r="DA495" s="72"/>
      <c r="DB495" s="72"/>
      <c r="DC495" s="72"/>
      <c r="DD495" s="72"/>
      <c r="DE495" s="72"/>
      <c r="DF495" s="72"/>
      <c r="DG495" s="72"/>
      <c r="DH495" s="72"/>
      <c r="DI495" s="72"/>
      <c r="DJ495" s="72"/>
      <c r="DK495" s="72"/>
      <c r="DL495" s="72"/>
      <c r="DM495" s="72"/>
      <c r="DN495" s="72"/>
      <c r="DO495" s="72"/>
      <c r="DP495" s="72"/>
      <c r="DQ495" s="72"/>
      <c r="DR495" s="72"/>
      <c r="DS495" s="72"/>
      <c r="DT495" s="72"/>
      <c r="DU495" s="72"/>
      <c r="DV495" s="72"/>
      <c r="DW495" s="72"/>
      <c r="DX495" s="72"/>
      <c r="DY495" s="72"/>
      <c r="DZ495" s="72"/>
      <c r="EA495" s="72"/>
      <c r="EB495" s="72"/>
      <c r="EC495" s="72"/>
      <c r="ED495" s="72"/>
      <c r="EE495" s="72"/>
      <c r="EF495" s="72"/>
      <c r="EG495" s="72"/>
      <c r="EH495" s="72"/>
      <c r="EI495" s="72"/>
      <c r="EJ495" s="72"/>
      <c r="EK495" s="72"/>
      <c r="EL495" s="79"/>
      <c r="EM495" s="79"/>
      <c r="EN495" s="79"/>
      <c r="EO495" s="80"/>
      <c r="EP495" s="78"/>
    </row>
    <row r="496" spans="2:146" ht="11.25" customHeight="1" x14ac:dyDescent="0.2">
      <c r="B496" s="70"/>
      <c r="C496" s="71"/>
      <c r="D496" s="71"/>
      <c r="E496" s="71" t="s">
        <v>588</v>
      </c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 t="s">
        <v>166</v>
      </c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 t="str">
        <f>TEXT(자재단가!R14,"#,##0.#######")</f>
        <v>49,200.</v>
      </c>
      <c r="AM496" s="71"/>
      <c r="AN496" s="71"/>
      <c r="AO496" s="71"/>
      <c r="AP496" s="71"/>
      <c r="AQ496" s="71"/>
      <c r="AR496" s="71"/>
      <c r="AS496" s="71"/>
      <c r="AT496" s="71"/>
      <c r="AU496" s="71" t="s">
        <v>542</v>
      </c>
      <c r="AV496" s="71"/>
      <c r="AW496" s="71"/>
      <c r="AX496" s="71" t="str">
        <f>TEXT(5,"#,##0.#######")</f>
        <v>5.</v>
      </c>
      <c r="AY496" s="71" t="s">
        <v>144</v>
      </c>
      <c r="AZ496" s="71"/>
      <c r="BA496" s="71" t="s">
        <v>254</v>
      </c>
      <c r="BB496" s="71"/>
      <c r="BC496" s="71" t="str">
        <f>TEXT(TRUNC(AL496*(AX496*(1/100)),1),"#,##0.#")</f>
        <v>2,460.</v>
      </c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2"/>
      <c r="CZ496" s="72"/>
      <c r="DA496" s="72"/>
      <c r="DB496" s="72"/>
      <c r="DC496" s="72"/>
      <c r="DD496" s="72"/>
      <c r="DE496" s="72"/>
      <c r="DF496" s="72"/>
      <c r="DG496" s="72"/>
      <c r="DH496" s="72"/>
      <c r="DI496" s="72"/>
      <c r="DJ496" s="72"/>
      <c r="DK496" s="72"/>
      <c r="DL496" s="72"/>
      <c r="DM496" s="72"/>
      <c r="DN496" s="72"/>
      <c r="DO496" s="72"/>
      <c r="DP496" s="72"/>
      <c r="DQ496" s="72"/>
      <c r="DR496" s="72"/>
      <c r="DS496" s="72"/>
      <c r="DT496" s="72"/>
      <c r="DU496" s="72"/>
      <c r="DV496" s="72"/>
      <c r="DW496" s="72"/>
      <c r="DX496" s="72"/>
      <c r="DY496" s="72"/>
      <c r="DZ496" s="72"/>
      <c r="EA496" s="72"/>
      <c r="EB496" s="72"/>
      <c r="EC496" s="72"/>
      <c r="ED496" s="72"/>
      <c r="EE496" s="72"/>
      <c r="EF496" s="72"/>
      <c r="EG496" s="72"/>
      <c r="EH496" s="72"/>
      <c r="EI496" s="72"/>
      <c r="EJ496" s="72"/>
      <c r="EK496" s="72"/>
      <c r="EL496" s="79">
        <f>EN496+EM496+EO496</f>
        <v>2460</v>
      </c>
      <c r="EM496" s="79"/>
      <c r="EN496" s="79" t="str">
        <f>BC496</f>
        <v>2,460.</v>
      </c>
      <c r="EO496" s="80"/>
      <c r="EP496" s="78"/>
    </row>
    <row r="497" spans="2:146" ht="11.25" customHeight="1" x14ac:dyDescent="0.2">
      <c r="B497" s="70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1"/>
      <c r="CH497" s="71"/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1"/>
      <c r="CV497" s="71"/>
      <c r="CW497" s="71"/>
      <c r="CX497" s="71"/>
      <c r="CY497" s="72"/>
      <c r="CZ497" s="72"/>
      <c r="DA497" s="72"/>
      <c r="DB497" s="72"/>
      <c r="DC497" s="72"/>
      <c r="DD497" s="72"/>
      <c r="DE497" s="72"/>
      <c r="DF497" s="72"/>
      <c r="DG497" s="72"/>
      <c r="DH497" s="72"/>
      <c r="DI497" s="72"/>
      <c r="DJ497" s="72"/>
      <c r="DK497" s="72"/>
      <c r="DL497" s="72"/>
      <c r="DM497" s="72"/>
      <c r="DN497" s="72"/>
      <c r="DO497" s="72"/>
      <c r="DP497" s="72"/>
      <c r="DQ497" s="72"/>
      <c r="DR497" s="72"/>
      <c r="DS497" s="72"/>
      <c r="DT497" s="72"/>
      <c r="DU497" s="72"/>
      <c r="DV497" s="72"/>
      <c r="DW497" s="72"/>
      <c r="DX497" s="72"/>
      <c r="DY497" s="72"/>
      <c r="DZ497" s="72"/>
      <c r="EA497" s="72"/>
      <c r="EB497" s="72"/>
      <c r="EC497" s="72"/>
      <c r="ED497" s="72"/>
      <c r="EE497" s="72"/>
      <c r="EF497" s="72"/>
      <c r="EG497" s="72"/>
      <c r="EH497" s="72"/>
      <c r="EI497" s="72"/>
      <c r="EJ497" s="72"/>
      <c r="EK497" s="72"/>
      <c r="EL497" s="79"/>
      <c r="EM497" s="79"/>
      <c r="EN497" s="79"/>
      <c r="EO497" s="80"/>
      <c r="EP497" s="78"/>
    </row>
    <row r="498" spans="2:146" ht="11.25" customHeight="1" x14ac:dyDescent="0.2">
      <c r="B498" s="70"/>
      <c r="C498" s="71"/>
      <c r="D498" s="71" t="s">
        <v>655</v>
      </c>
      <c r="E498" s="71"/>
      <c r="F498" s="71"/>
      <c r="G498" s="71" t="s">
        <v>437</v>
      </c>
      <c r="H498" s="71"/>
      <c r="I498" s="71"/>
      <c r="J498" s="71" t="s">
        <v>341</v>
      </c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2"/>
      <c r="CZ498" s="72"/>
      <c r="DA498" s="72"/>
      <c r="DB498" s="72"/>
      <c r="DC498" s="72"/>
      <c r="DD498" s="72"/>
      <c r="DE498" s="72"/>
      <c r="DF498" s="72"/>
      <c r="DG498" s="72"/>
      <c r="DH498" s="72"/>
      <c r="DI498" s="72"/>
      <c r="DJ498" s="72"/>
      <c r="DK498" s="72"/>
      <c r="DL498" s="72"/>
      <c r="DM498" s="72"/>
      <c r="DN498" s="72"/>
      <c r="DO498" s="72"/>
      <c r="DP498" s="72"/>
      <c r="DQ498" s="72"/>
      <c r="DR498" s="72"/>
      <c r="DS498" s="72"/>
      <c r="DT498" s="72"/>
      <c r="DU498" s="72"/>
      <c r="DV498" s="72"/>
      <c r="DW498" s="72"/>
      <c r="DX498" s="72"/>
      <c r="DY498" s="72"/>
      <c r="DZ498" s="72"/>
      <c r="EA498" s="72"/>
      <c r="EB498" s="72"/>
      <c r="EC498" s="72"/>
      <c r="ED498" s="72"/>
      <c r="EE498" s="72"/>
      <c r="EF498" s="72"/>
      <c r="EG498" s="72"/>
      <c r="EH498" s="72"/>
      <c r="EI498" s="72"/>
      <c r="EJ498" s="72"/>
      <c r="EK498" s="72"/>
      <c r="EL498" s="79"/>
      <c r="EM498" s="79"/>
      <c r="EN498" s="79"/>
      <c r="EO498" s="80"/>
      <c r="EP498" s="78"/>
    </row>
    <row r="499" spans="2:146" ht="11.25" customHeight="1" x14ac:dyDescent="0.2">
      <c r="B499" s="70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2"/>
      <c r="CZ499" s="72"/>
      <c r="DA499" s="72"/>
      <c r="DB499" s="72"/>
      <c r="DC499" s="72"/>
      <c r="DD499" s="72"/>
      <c r="DE499" s="72"/>
      <c r="DF499" s="72"/>
      <c r="DG499" s="72"/>
      <c r="DH499" s="72"/>
      <c r="DI499" s="72"/>
      <c r="DJ499" s="72"/>
      <c r="DK499" s="72"/>
      <c r="DL499" s="72"/>
      <c r="DM499" s="72"/>
      <c r="DN499" s="72"/>
      <c r="DO499" s="72"/>
      <c r="DP499" s="72"/>
      <c r="DQ499" s="72"/>
      <c r="DR499" s="72"/>
      <c r="DS499" s="72"/>
      <c r="DT499" s="72"/>
      <c r="DU499" s="72"/>
      <c r="DV499" s="72"/>
      <c r="DW499" s="72"/>
      <c r="DX499" s="72"/>
      <c r="DY499" s="72"/>
      <c r="DZ499" s="72"/>
      <c r="EA499" s="72"/>
      <c r="EB499" s="72"/>
      <c r="EC499" s="72"/>
      <c r="ED499" s="72"/>
      <c r="EE499" s="72"/>
      <c r="EF499" s="72"/>
      <c r="EG499" s="72"/>
      <c r="EH499" s="72"/>
      <c r="EI499" s="72"/>
      <c r="EJ499" s="72"/>
      <c r="EK499" s="72"/>
      <c r="EL499" s="79"/>
      <c r="EM499" s="79"/>
      <c r="EN499" s="79"/>
      <c r="EO499" s="80"/>
      <c r="EP499" s="78"/>
    </row>
    <row r="500" spans="2:146" ht="11.25" customHeight="1" x14ac:dyDescent="0.2">
      <c r="B500" s="70"/>
      <c r="C500" s="71"/>
      <c r="D500" s="71"/>
      <c r="E500" s="71"/>
      <c r="F500" s="71"/>
      <c r="G500" s="71"/>
      <c r="H500" s="71" t="s">
        <v>543</v>
      </c>
      <c r="I500" s="71"/>
      <c r="J500" s="71"/>
      <c r="K500" s="71"/>
      <c r="L500" s="71"/>
      <c r="M500" s="71"/>
      <c r="N500" s="71"/>
      <c r="O500" s="71" t="s">
        <v>469</v>
      </c>
      <c r="P500" s="71"/>
      <c r="Q500" s="71" t="str">
        <f>TEXT(TRUNC(EN496,0),"#,##0")</f>
        <v>2,460</v>
      </c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  <c r="AC500" s="71"/>
      <c r="AD500" s="71"/>
      <c r="AE500" s="71"/>
      <c r="AF500" s="71"/>
      <c r="AG500" s="71"/>
      <c r="AH500" s="71"/>
      <c r="AI500" s="71"/>
      <c r="AJ500" s="71"/>
      <c r="AK500" s="71"/>
      <c r="AL500" s="71"/>
      <c r="AM500" s="71"/>
      <c r="AN500" s="71"/>
      <c r="AO500" s="71"/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2"/>
      <c r="CZ500" s="72"/>
      <c r="DA500" s="72"/>
      <c r="DB500" s="72"/>
      <c r="DC500" s="72"/>
      <c r="DD500" s="72"/>
      <c r="DE500" s="72"/>
      <c r="DF500" s="72"/>
      <c r="DG500" s="72"/>
      <c r="DH500" s="72"/>
      <c r="DI500" s="72"/>
      <c r="DJ500" s="72"/>
      <c r="DK500" s="72"/>
      <c r="DL500" s="72"/>
      <c r="DM500" s="72"/>
      <c r="DN500" s="72"/>
      <c r="DO500" s="72"/>
      <c r="DP500" s="72"/>
      <c r="DQ500" s="72"/>
      <c r="DR500" s="72"/>
      <c r="DS500" s="72"/>
      <c r="DT500" s="72"/>
      <c r="DU500" s="72"/>
      <c r="DV500" s="72"/>
      <c r="DW500" s="72"/>
      <c r="DX500" s="72"/>
      <c r="DY500" s="72"/>
      <c r="DZ500" s="72"/>
      <c r="EA500" s="72"/>
      <c r="EB500" s="72"/>
      <c r="EC500" s="72"/>
      <c r="ED500" s="72"/>
      <c r="EE500" s="72"/>
      <c r="EF500" s="72"/>
      <c r="EG500" s="72"/>
      <c r="EH500" s="72"/>
      <c r="EI500" s="72"/>
      <c r="EJ500" s="72"/>
      <c r="EK500" s="72"/>
      <c r="EL500" s="79"/>
      <c r="EM500" s="79"/>
      <c r="EN500" s="79"/>
      <c r="EO500" s="80"/>
      <c r="EP500" s="78"/>
    </row>
    <row r="501" spans="2:146" ht="11.25" customHeight="1" x14ac:dyDescent="0.2">
      <c r="B501" s="70"/>
      <c r="C501" s="71"/>
      <c r="D501" s="71"/>
      <c r="E501" s="71"/>
      <c r="F501" s="71"/>
      <c r="G501" s="71"/>
      <c r="H501" s="71" t="s">
        <v>400</v>
      </c>
      <c r="I501" s="71"/>
      <c r="J501" s="71"/>
      <c r="K501" s="71"/>
      <c r="L501" s="71"/>
      <c r="M501" s="71"/>
      <c r="N501" s="71"/>
      <c r="O501" s="71" t="s">
        <v>469</v>
      </c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2"/>
      <c r="CZ501" s="72"/>
      <c r="DA501" s="72"/>
      <c r="DB501" s="72"/>
      <c r="DC501" s="72"/>
      <c r="DD501" s="72"/>
      <c r="DE501" s="72"/>
      <c r="DF501" s="72"/>
      <c r="DG501" s="72"/>
      <c r="DH501" s="72"/>
      <c r="DI501" s="72"/>
      <c r="DJ501" s="72"/>
      <c r="DK501" s="72"/>
      <c r="DL501" s="72"/>
      <c r="DM501" s="72"/>
      <c r="DN501" s="72"/>
      <c r="DO501" s="72"/>
      <c r="DP501" s="72"/>
      <c r="DQ501" s="72"/>
      <c r="DR501" s="72"/>
      <c r="DS501" s="72"/>
      <c r="DT501" s="72"/>
      <c r="DU501" s="72"/>
      <c r="DV501" s="72"/>
      <c r="DW501" s="72"/>
      <c r="DX501" s="72"/>
      <c r="DY501" s="72"/>
      <c r="DZ501" s="72"/>
      <c r="EA501" s="72"/>
      <c r="EB501" s="72"/>
      <c r="EC501" s="72"/>
      <c r="ED501" s="72"/>
      <c r="EE501" s="72"/>
      <c r="EF501" s="72"/>
      <c r="EG501" s="72"/>
      <c r="EH501" s="72"/>
      <c r="EI501" s="72"/>
      <c r="EJ501" s="72"/>
      <c r="EK501" s="72"/>
      <c r="EL501" s="79"/>
      <c r="EM501" s="79"/>
      <c r="EN501" s="79"/>
      <c r="EO501" s="80"/>
      <c r="EP501" s="78"/>
    </row>
    <row r="502" spans="2:146" ht="11.25" customHeight="1" x14ac:dyDescent="0.2">
      <c r="B502" s="70"/>
      <c r="C502" s="71"/>
      <c r="D502" s="71"/>
      <c r="E502" s="71"/>
      <c r="F502" s="71"/>
      <c r="G502" s="71"/>
      <c r="H502" s="71" t="s">
        <v>147</v>
      </c>
      <c r="I502" s="71"/>
      <c r="J502" s="71"/>
      <c r="K502" s="71"/>
      <c r="L502" s="71" t="s">
        <v>342</v>
      </c>
      <c r="M502" s="71"/>
      <c r="N502" s="71"/>
      <c r="O502" s="71" t="s">
        <v>469</v>
      </c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  <c r="AC502" s="71"/>
      <c r="AD502" s="71"/>
      <c r="AE502" s="71"/>
      <c r="AF502" s="71"/>
      <c r="AG502" s="71"/>
      <c r="AH502" s="71"/>
      <c r="AI502" s="71"/>
      <c r="AJ502" s="71"/>
      <c r="AK502" s="71"/>
      <c r="AL502" s="71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2"/>
      <c r="CZ502" s="72"/>
      <c r="DA502" s="72"/>
      <c r="DB502" s="72"/>
      <c r="DC502" s="72"/>
      <c r="DD502" s="72"/>
      <c r="DE502" s="72"/>
      <c r="DF502" s="72"/>
      <c r="DG502" s="72"/>
      <c r="DH502" s="72"/>
      <c r="DI502" s="72"/>
      <c r="DJ502" s="72"/>
      <c r="DK502" s="72"/>
      <c r="DL502" s="72"/>
      <c r="DM502" s="72"/>
      <c r="DN502" s="72"/>
      <c r="DO502" s="72"/>
      <c r="DP502" s="72"/>
      <c r="DQ502" s="72"/>
      <c r="DR502" s="72"/>
      <c r="DS502" s="72"/>
      <c r="DT502" s="72"/>
      <c r="DU502" s="72"/>
      <c r="DV502" s="72"/>
      <c r="DW502" s="72"/>
      <c r="DX502" s="72"/>
      <c r="DY502" s="72"/>
      <c r="DZ502" s="72"/>
      <c r="EA502" s="72"/>
      <c r="EB502" s="72"/>
      <c r="EC502" s="72"/>
      <c r="ED502" s="72"/>
      <c r="EE502" s="72"/>
      <c r="EF502" s="72"/>
      <c r="EG502" s="72"/>
      <c r="EH502" s="72"/>
      <c r="EI502" s="72"/>
      <c r="EJ502" s="72"/>
      <c r="EK502" s="72"/>
      <c r="EL502" s="79"/>
      <c r="EM502" s="79"/>
      <c r="EN502" s="79"/>
      <c r="EO502" s="80"/>
      <c r="EP502" s="78"/>
    </row>
    <row r="503" spans="2:146" ht="11.25" customHeight="1" x14ac:dyDescent="0.2">
      <c r="B503" s="70"/>
      <c r="C503" s="71"/>
      <c r="D503" s="71"/>
      <c r="E503" s="71"/>
      <c r="F503" s="71"/>
      <c r="G503" s="71"/>
      <c r="H503" s="71"/>
      <c r="I503" s="71"/>
      <c r="J503" s="71" t="s">
        <v>341</v>
      </c>
      <c r="K503" s="71"/>
      <c r="L503" s="71"/>
      <c r="M503" s="71"/>
      <c r="N503" s="71"/>
      <c r="O503" s="71" t="s">
        <v>469</v>
      </c>
      <c r="P503" s="71"/>
      <c r="Q503" s="71"/>
      <c r="R503" s="71" t="str">
        <f>TEXT(Q500,"#,##0")</f>
        <v>2,460</v>
      </c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2"/>
      <c r="CZ503" s="72"/>
      <c r="DA503" s="72"/>
      <c r="DB503" s="72"/>
      <c r="DC503" s="72"/>
      <c r="DD503" s="72"/>
      <c r="DE503" s="72"/>
      <c r="DF503" s="72"/>
      <c r="DG503" s="72"/>
      <c r="DH503" s="72"/>
      <c r="DI503" s="72"/>
      <c r="DJ503" s="72"/>
      <c r="DK503" s="72"/>
      <c r="DL503" s="72"/>
      <c r="DM503" s="72"/>
      <c r="DN503" s="72"/>
      <c r="DO503" s="72"/>
      <c r="DP503" s="72"/>
      <c r="DQ503" s="72"/>
      <c r="DR503" s="72"/>
      <c r="DS503" s="72"/>
      <c r="DT503" s="72"/>
      <c r="DU503" s="72"/>
      <c r="DV503" s="72"/>
      <c r="DW503" s="72"/>
      <c r="DX503" s="72"/>
      <c r="DY503" s="72"/>
      <c r="DZ503" s="72"/>
      <c r="EA503" s="72"/>
      <c r="EB503" s="72"/>
      <c r="EC503" s="72"/>
      <c r="ED503" s="72"/>
      <c r="EE503" s="72"/>
      <c r="EF503" s="72"/>
      <c r="EG503" s="72"/>
      <c r="EH503" s="72"/>
      <c r="EI503" s="72"/>
      <c r="EJ503" s="72"/>
      <c r="EK503" s="72"/>
      <c r="EL503" s="81">
        <f>EN503+EM503+EO503</f>
        <v>2460</v>
      </c>
      <c r="EM503" s="79"/>
      <c r="EN503" s="79" t="str">
        <f>TEXT(Q500,"#,##0")</f>
        <v>2,460</v>
      </c>
      <c r="EO503" s="80"/>
      <c r="EP503" s="78"/>
    </row>
    <row r="504" spans="2:146" ht="11.25" customHeight="1" x14ac:dyDescent="0.2">
      <c r="B504" s="70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1"/>
      <c r="CG504" s="71"/>
      <c r="CH504" s="71"/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1"/>
      <c r="CV504" s="71"/>
      <c r="CW504" s="71"/>
      <c r="CX504" s="71"/>
      <c r="CY504" s="72"/>
      <c r="CZ504" s="72"/>
      <c r="DA504" s="72"/>
      <c r="DB504" s="72"/>
      <c r="DC504" s="72"/>
      <c r="DD504" s="72"/>
      <c r="DE504" s="72"/>
      <c r="DF504" s="72"/>
      <c r="DG504" s="72"/>
      <c r="DH504" s="72"/>
      <c r="DI504" s="72"/>
      <c r="DJ504" s="72"/>
      <c r="DK504" s="72"/>
      <c r="DL504" s="72"/>
      <c r="DM504" s="72"/>
      <c r="DN504" s="72"/>
      <c r="DO504" s="72"/>
      <c r="DP504" s="72"/>
      <c r="DQ504" s="72"/>
      <c r="DR504" s="72"/>
      <c r="DS504" s="72"/>
      <c r="DT504" s="72"/>
      <c r="DU504" s="72"/>
      <c r="DV504" s="72"/>
      <c r="DW504" s="72"/>
      <c r="DX504" s="72"/>
      <c r="DY504" s="72"/>
      <c r="DZ504" s="72"/>
      <c r="EA504" s="72"/>
      <c r="EB504" s="72"/>
      <c r="EC504" s="72"/>
      <c r="ED504" s="72"/>
      <c r="EE504" s="72"/>
      <c r="EF504" s="72"/>
      <c r="EG504" s="72"/>
      <c r="EH504" s="72"/>
      <c r="EI504" s="72"/>
      <c r="EJ504" s="72"/>
      <c r="EK504" s="72"/>
      <c r="EL504" s="79"/>
      <c r="EM504" s="79"/>
      <c r="EN504" s="79"/>
      <c r="EO504" s="80"/>
      <c r="EP504" s="78"/>
    </row>
    <row r="505" spans="2:146" ht="11.25" customHeight="1" x14ac:dyDescent="0.2">
      <c r="B505" s="75" t="s">
        <v>357</v>
      </c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1"/>
      <c r="CH505" s="71"/>
      <c r="CI505" s="71"/>
      <c r="CJ505" s="71"/>
      <c r="CK505" s="71"/>
      <c r="CL505" s="71"/>
      <c r="CM505" s="71"/>
      <c r="CN505" s="71"/>
      <c r="CO505" s="71"/>
      <c r="CP505" s="71"/>
      <c r="CQ505" s="71"/>
      <c r="CR505" s="71"/>
      <c r="CS505" s="71"/>
      <c r="CT505" s="71"/>
      <c r="CU505" s="71"/>
      <c r="CV505" s="71"/>
      <c r="CW505" s="71"/>
      <c r="CX505" s="71"/>
      <c r="CY505" s="72"/>
      <c r="CZ505" s="72"/>
      <c r="DA505" s="72"/>
      <c r="DB505" s="72"/>
      <c r="DC505" s="72"/>
      <c r="DD505" s="72"/>
      <c r="DE505" s="72"/>
      <c r="DF505" s="72"/>
      <c r="DG505" s="72"/>
      <c r="DH505" s="72"/>
      <c r="DI505" s="72"/>
      <c r="DJ505" s="72"/>
      <c r="DK505" s="72"/>
      <c r="DL505" s="72"/>
      <c r="DM505" s="72"/>
      <c r="DN505" s="72"/>
      <c r="DO505" s="72"/>
      <c r="DP505" s="72"/>
      <c r="DQ505" s="72"/>
      <c r="DR505" s="72"/>
      <c r="DS505" s="72"/>
      <c r="DT505" s="72"/>
      <c r="DU505" s="72"/>
      <c r="DV505" s="72"/>
      <c r="DW505" s="72"/>
      <c r="DX505" s="72"/>
      <c r="DY505" s="72"/>
      <c r="DZ505" s="72"/>
      <c r="EA505" s="72"/>
      <c r="EB505" s="72"/>
      <c r="EC505" s="72"/>
      <c r="ED505" s="72"/>
      <c r="EE505" s="72"/>
      <c r="EF505" s="72"/>
      <c r="EG505" s="72"/>
      <c r="EH505" s="72"/>
      <c r="EI505" s="72"/>
      <c r="EJ505" s="72"/>
      <c r="EK505" s="72"/>
      <c r="EL505" s="76">
        <f>EL547</f>
        <v>31668</v>
      </c>
      <c r="EM505" s="76" t="str">
        <f>EM547</f>
        <v>3,406</v>
      </c>
      <c r="EN505" s="76" t="str">
        <f>EN547</f>
        <v>24,934</v>
      </c>
      <c r="EO505" s="77" t="str">
        <f>EO547</f>
        <v>3,328</v>
      </c>
      <c r="EP505" s="78"/>
    </row>
    <row r="506" spans="2:146" ht="11.25" customHeight="1" x14ac:dyDescent="0.2">
      <c r="B506" s="70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1"/>
      <c r="CG506" s="71"/>
      <c r="CH506" s="71"/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1"/>
      <c r="CV506" s="71"/>
      <c r="CW506" s="71"/>
      <c r="CX506" s="71"/>
      <c r="CY506" s="72"/>
      <c r="CZ506" s="72"/>
      <c r="DA506" s="72"/>
      <c r="DB506" s="72"/>
      <c r="DC506" s="72"/>
      <c r="DD506" s="72"/>
      <c r="DE506" s="72"/>
      <c r="DF506" s="72"/>
      <c r="DG506" s="72"/>
      <c r="DH506" s="72"/>
      <c r="DI506" s="72"/>
      <c r="DJ506" s="72"/>
      <c r="DK506" s="72"/>
      <c r="DL506" s="72"/>
      <c r="DM506" s="72"/>
      <c r="DN506" s="72"/>
      <c r="DO506" s="72"/>
      <c r="DP506" s="72"/>
      <c r="DQ506" s="72"/>
      <c r="DR506" s="72"/>
      <c r="DS506" s="72"/>
      <c r="DT506" s="72"/>
      <c r="DU506" s="72"/>
      <c r="DV506" s="72"/>
      <c r="DW506" s="72"/>
      <c r="DX506" s="72"/>
      <c r="DY506" s="72"/>
      <c r="DZ506" s="72"/>
      <c r="EA506" s="72"/>
      <c r="EB506" s="72"/>
      <c r="EC506" s="72"/>
      <c r="ED506" s="72"/>
      <c r="EE506" s="72"/>
      <c r="EF506" s="72"/>
      <c r="EG506" s="72"/>
      <c r="EH506" s="72"/>
      <c r="EI506" s="72"/>
      <c r="EJ506" s="72"/>
      <c r="EK506" s="72"/>
      <c r="EL506" s="79"/>
      <c r="EM506" s="79"/>
      <c r="EN506" s="79"/>
      <c r="EO506" s="80"/>
      <c r="EP506" s="78"/>
    </row>
    <row r="507" spans="2:146" ht="11.25" customHeight="1" x14ac:dyDescent="0.2">
      <c r="B507" s="70"/>
      <c r="C507" s="71"/>
      <c r="D507" s="71" t="s">
        <v>315</v>
      </c>
      <c r="E507" s="71"/>
      <c r="F507" s="71"/>
      <c r="G507" s="71" t="s">
        <v>400</v>
      </c>
      <c r="H507" s="71"/>
      <c r="I507" s="71"/>
      <c r="J507" s="71"/>
      <c r="K507" s="71"/>
      <c r="L507" s="71"/>
      <c r="M507" s="71" t="s">
        <v>336</v>
      </c>
      <c r="N507" s="71" t="s">
        <v>177</v>
      </c>
      <c r="O507" s="71"/>
      <c r="P507" s="71"/>
      <c r="Q507" s="71"/>
      <c r="R507" s="71"/>
      <c r="S507" s="71"/>
      <c r="T507" s="71"/>
      <c r="U507" s="71"/>
      <c r="V507" s="71" t="s">
        <v>80</v>
      </c>
      <c r="W507" s="71"/>
      <c r="X507" s="71" t="s">
        <v>469</v>
      </c>
      <c r="Y507" s="71"/>
      <c r="Z507" s="71" t="s">
        <v>12</v>
      </c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1"/>
      <c r="CV507" s="71"/>
      <c r="CW507" s="71"/>
      <c r="CX507" s="71"/>
      <c r="CY507" s="72"/>
      <c r="CZ507" s="72"/>
      <c r="DA507" s="72"/>
      <c r="DB507" s="72"/>
      <c r="DC507" s="72"/>
      <c r="DD507" s="72"/>
      <c r="DE507" s="72"/>
      <c r="DF507" s="72"/>
      <c r="DG507" s="72"/>
      <c r="DH507" s="72"/>
      <c r="DI507" s="72"/>
      <c r="DJ507" s="72"/>
      <c r="DK507" s="72"/>
      <c r="DL507" s="72"/>
      <c r="DM507" s="72"/>
      <c r="DN507" s="72"/>
      <c r="DO507" s="72"/>
      <c r="DP507" s="72"/>
      <c r="DQ507" s="72"/>
      <c r="DR507" s="72"/>
      <c r="DS507" s="72"/>
      <c r="DT507" s="72"/>
      <c r="DU507" s="72"/>
      <c r="DV507" s="72"/>
      <c r="DW507" s="72"/>
      <c r="DX507" s="72"/>
      <c r="DY507" s="72"/>
      <c r="DZ507" s="72"/>
      <c r="EA507" s="72"/>
      <c r="EB507" s="72"/>
      <c r="EC507" s="72"/>
      <c r="ED507" s="72"/>
      <c r="EE507" s="72"/>
      <c r="EF507" s="72"/>
      <c r="EG507" s="72"/>
      <c r="EH507" s="72"/>
      <c r="EI507" s="72"/>
      <c r="EJ507" s="72"/>
      <c r="EK507" s="72"/>
      <c r="EL507" s="79"/>
      <c r="EM507" s="79"/>
      <c r="EN507" s="79"/>
      <c r="EO507" s="80"/>
      <c r="EP507" s="78"/>
    </row>
    <row r="508" spans="2:146" ht="11.25" customHeight="1" x14ac:dyDescent="0.2">
      <c r="B508" s="70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  <c r="AC508" s="71"/>
      <c r="AD508" s="71"/>
      <c r="AE508" s="71"/>
      <c r="AF508" s="71"/>
      <c r="AG508" s="71"/>
      <c r="AH508" s="71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2"/>
      <c r="CZ508" s="72"/>
      <c r="DA508" s="72"/>
      <c r="DB508" s="72"/>
      <c r="DC508" s="72"/>
      <c r="DD508" s="72"/>
      <c r="DE508" s="72"/>
      <c r="DF508" s="72"/>
      <c r="DG508" s="72"/>
      <c r="DH508" s="72"/>
      <c r="DI508" s="72"/>
      <c r="DJ508" s="72"/>
      <c r="DK508" s="72"/>
      <c r="DL508" s="72"/>
      <c r="DM508" s="72"/>
      <c r="DN508" s="72"/>
      <c r="DO508" s="72"/>
      <c r="DP508" s="72"/>
      <c r="DQ508" s="72"/>
      <c r="DR508" s="72"/>
      <c r="DS508" s="72"/>
      <c r="DT508" s="72"/>
      <c r="DU508" s="72"/>
      <c r="DV508" s="72"/>
      <c r="DW508" s="72"/>
      <c r="DX508" s="72"/>
      <c r="DY508" s="72"/>
      <c r="DZ508" s="72"/>
      <c r="EA508" s="72"/>
      <c r="EB508" s="72"/>
      <c r="EC508" s="72"/>
      <c r="ED508" s="72"/>
      <c r="EE508" s="72"/>
      <c r="EF508" s="72"/>
      <c r="EG508" s="72"/>
      <c r="EH508" s="72"/>
      <c r="EI508" s="72"/>
      <c r="EJ508" s="72"/>
      <c r="EK508" s="72"/>
      <c r="EL508" s="79"/>
      <c r="EM508" s="79"/>
      <c r="EN508" s="79"/>
      <c r="EO508" s="80"/>
      <c r="EP508" s="78"/>
    </row>
    <row r="509" spans="2:146" ht="11.25" customHeight="1" x14ac:dyDescent="0.2">
      <c r="B509" s="70"/>
      <c r="C509" s="71"/>
      <c r="D509" s="71" t="s">
        <v>463</v>
      </c>
      <c r="E509" s="71"/>
      <c r="F509" s="71"/>
      <c r="G509" s="71" t="s">
        <v>384</v>
      </c>
      <c r="H509" s="71"/>
      <c r="I509" s="71"/>
      <c r="J509" s="71"/>
      <c r="K509" s="71"/>
      <c r="L509" s="71"/>
      <c r="M509" s="71"/>
      <c r="N509" s="71" t="s">
        <v>336</v>
      </c>
      <c r="O509" s="71" t="s">
        <v>480</v>
      </c>
      <c r="P509" s="71"/>
      <c r="Q509" s="71" t="s">
        <v>74</v>
      </c>
      <c r="R509" s="71"/>
      <c r="S509" s="71"/>
      <c r="T509" s="71" t="s">
        <v>611</v>
      </c>
      <c r="U509" s="71"/>
      <c r="V509" s="71"/>
      <c r="W509" s="71"/>
      <c r="X509" s="71"/>
      <c r="Y509" s="71" t="s">
        <v>223</v>
      </c>
      <c r="Z509" s="71"/>
      <c r="AA509" s="71"/>
      <c r="AB509" s="71"/>
      <c r="AC509" s="71" t="s">
        <v>80</v>
      </c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2"/>
      <c r="CZ509" s="72"/>
      <c r="DA509" s="72"/>
      <c r="DB509" s="72"/>
      <c r="DC509" s="72"/>
      <c r="DD509" s="72"/>
      <c r="DE509" s="72"/>
      <c r="DF509" s="72"/>
      <c r="DG509" s="72"/>
      <c r="DH509" s="72"/>
      <c r="DI509" s="72"/>
      <c r="DJ509" s="72"/>
      <c r="DK509" s="72"/>
      <c r="DL509" s="72"/>
      <c r="DM509" s="72"/>
      <c r="DN509" s="72"/>
      <c r="DO509" s="72"/>
      <c r="DP509" s="72"/>
      <c r="DQ509" s="72"/>
      <c r="DR509" s="72"/>
      <c r="DS509" s="72"/>
      <c r="DT509" s="72"/>
      <c r="DU509" s="72"/>
      <c r="DV509" s="72"/>
      <c r="DW509" s="72"/>
      <c r="DX509" s="72"/>
      <c r="DY509" s="72"/>
      <c r="DZ509" s="72"/>
      <c r="EA509" s="72"/>
      <c r="EB509" s="72"/>
      <c r="EC509" s="72"/>
      <c r="ED509" s="72"/>
      <c r="EE509" s="72"/>
      <c r="EF509" s="72"/>
      <c r="EG509" s="72"/>
      <c r="EH509" s="72"/>
      <c r="EI509" s="72"/>
      <c r="EJ509" s="72"/>
      <c r="EK509" s="72"/>
      <c r="EL509" s="79"/>
      <c r="EM509" s="79"/>
      <c r="EN509" s="79"/>
      <c r="EO509" s="80"/>
      <c r="EP509" s="78"/>
    </row>
    <row r="510" spans="2:146" ht="11.25" customHeight="1" x14ac:dyDescent="0.2">
      <c r="B510" s="70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2"/>
      <c r="CZ510" s="72"/>
      <c r="DA510" s="72"/>
      <c r="DB510" s="72"/>
      <c r="DC510" s="72"/>
      <c r="DD510" s="72"/>
      <c r="DE510" s="72"/>
      <c r="DF510" s="72"/>
      <c r="DG510" s="72"/>
      <c r="DH510" s="72"/>
      <c r="DI510" s="72"/>
      <c r="DJ510" s="72"/>
      <c r="DK510" s="72"/>
      <c r="DL510" s="72"/>
      <c r="DM510" s="72"/>
      <c r="DN510" s="72"/>
      <c r="DO510" s="72"/>
      <c r="DP510" s="72"/>
      <c r="DQ510" s="72"/>
      <c r="DR510" s="72"/>
      <c r="DS510" s="72"/>
      <c r="DT510" s="72"/>
      <c r="DU510" s="72"/>
      <c r="DV510" s="72"/>
      <c r="DW510" s="72"/>
      <c r="DX510" s="72"/>
      <c r="DY510" s="72"/>
      <c r="DZ510" s="72"/>
      <c r="EA510" s="72"/>
      <c r="EB510" s="72"/>
      <c r="EC510" s="72"/>
      <c r="ED510" s="72"/>
      <c r="EE510" s="72"/>
      <c r="EF510" s="72"/>
      <c r="EG510" s="72"/>
      <c r="EH510" s="72"/>
      <c r="EI510" s="72"/>
      <c r="EJ510" s="72"/>
      <c r="EK510" s="72"/>
      <c r="EL510" s="79"/>
      <c r="EM510" s="79"/>
      <c r="EN510" s="79"/>
      <c r="EO510" s="80"/>
      <c r="EP510" s="78"/>
    </row>
    <row r="511" spans="2:146" ht="11.25" customHeight="1" x14ac:dyDescent="0.2">
      <c r="B511" s="70"/>
      <c r="C511" s="71"/>
      <c r="D511" s="71"/>
      <c r="E511" s="71" t="s">
        <v>477</v>
      </c>
      <c r="F511" s="71"/>
      <c r="G511" s="71" t="s">
        <v>459</v>
      </c>
      <c r="H511" s="71"/>
      <c r="I511" s="71" t="s">
        <v>320</v>
      </c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2"/>
      <c r="CZ511" s="72"/>
      <c r="DA511" s="72"/>
      <c r="DB511" s="72"/>
      <c r="DC511" s="72"/>
      <c r="DD511" s="72"/>
      <c r="DE511" s="72"/>
      <c r="DF511" s="72"/>
      <c r="DG511" s="72"/>
      <c r="DH511" s="72"/>
      <c r="DI511" s="72"/>
      <c r="DJ511" s="72"/>
      <c r="DK511" s="72"/>
      <c r="DL511" s="72"/>
      <c r="DM511" s="72"/>
      <c r="DN511" s="72"/>
      <c r="DO511" s="72"/>
      <c r="DP511" s="72"/>
      <c r="DQ511" s="72"/>
      <c r="DR511" s="72"/>
      <c r="DS511" s="72"/>
      <c r="DT511" s="72"/>
      <c r="DU511" s="72"/>
      <c r="DV511" s="72"/>
      <c r="DW511" s="72"/>
      <c r="DX511" s="72"/>
      <c r="DY511" s="72"/>
      <c r="DZ511" s="72"/>
      <c r="EA511" s="72"/>
      <c r="EB511" s="72"/>
      <c r="EC511" s="72"/>
      <c r="ED511" s="72"/>
      <c r="EE511" s="72"/>
      <c r="EF511" s="72"/>
      <c r="EG511" s="72"/>
      <c r="EH511" s="72"/>
      <c r="EI511" s="72"/>
      <c r="EJ511" s="72"/>
      <c r="EK511" s="72"/>
      <c r="EL511" s="79"/>
      <c r="EM511" s="79"/>
      <c r="EN511" s="79"/>
      <c r="EO511" s="80"/>
      <c r="EP511" s="78"/>
    </row>
    <row r="512" spans="2:146" ht="11.25" customHeight="1" x14ac:dyDescent="0.2">
      <c r="B512" s="70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2"/>
      <c r="CZ512" s="72"/>
      <c r="DA512" s="72"/>
      <c r="DB512" s="72"/>
      <c r="DC512" s="72"/>
      <c r="DD512" s="72"/>
      <c r="DE512" s="72"/>
      <c r="DF512" s="72"/>
      <c r="DG512" s="72"/>
      <c r="DH512" s="72"/>
      <c r="DI512" s="72"/>
      <c r="DJ512" s="72"/>
      <c r="DK512" s="72"/>
      <c r="DL512" s="72"/>
      <c r="DM512" s="72"/>
      <c r="DN512" s="72"/>
      <c r="DO512" s="72"/>
      <c r="DP512" s="72"/>
      <c r="DQ512" s="72"/>
      <c r="DR512" s="72"/>
      <c r="DS512" s="72"/>
      <c r="DT512" s="72"/>
      <c r="DU512" s="72"/>
      <c r="DV512" s="72"/>
      <c r="DW512" s="72"/>
      <c r="DX512" s="72"/>
      <c r="DY512" s="72"/>
      <c r="DZ512" s="72"/>
      <c r="EA512" s="72"/>
      <c r="EB512" s="72"/>
      <c r="EC512" s="72"/>
      <c r="ED512" s="72"/>
      <c r="EE512" s="72"/>
      <c r="EF512" s="72"/>
      <c r="EG512" s="72"/>
      <c r="EH512" s="72"/>
      <c r="EI512" s="72"/>
      <c r="EJ512" s="72"/>
      <c r="EK512" s="72"/>
      <c r="EL512" s="79"/>
      <c r="EM512" s="79"/>
      <c r="EN512" s="79"/>
      <c r="EO512" s="80"/>
      <c r="EP512" s="78"/>
    </row>
    <row r="513" spans="2:146" ht="11.25" customHeight="1" x14ac:dyDescent="0.2">
      <c r="B513" s="70"/>
      <c r="C513" s="71"/>
      <c r="D513" s="71"/>
      <c r="E513" s="71"/>
      <c r="F513" s="71"/>
      <c r="G513" s="71" t="s">
        <v>123</v>
      </c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 t="s">
        <v>469</v>
      </c>
      <c r="S513" s="71"/>
      <c r="T513" s="71"/>
      <c r="U513" s="71" t="str">
        <f>TEXT(노임단가!F12,"#,##0")</f>
        <v>235,204</v>
      </c>
      <c r="V513" s="71"/>
      <c r="W513" s="71"/>
      <c r="X513" s="71"/>
      <c r="Y513" s="71"/>
      <c r="Z513" s="71"/>
      <c r="AA513" s="71"/>
      <c r="AB513" s="71"/>
      <c r="AC513" s="71"/>
      <c r="AD513" s="71"/>
      <c r="AE513" s="71" t="s">
        <v>542</v>
      </c>
      <c r="AF513" s="71"/>
      <c r="AG513" s="71"/>
      <c r="AH513" s="71" t="str">
        <f>TEXT(3,"#,##0.#######")</f>
        <v>3.</v>
      </c>
      <c r="AI513" s="71" t="s">
        <v>602</v>
      </c>
      <c r="AJ513" s="71"/>
      <c r="AK513" s="71"/>
      <c r="AL513" s="71" t="s">
        <v>112</v>
      </c>
      <c r="AM513" s="71"/>
      <c r="AN513" s="71" t="str">
        <f>TEXT(65,"#,##0.#######")</f>
        <v>65.</v>
      </c>
      <c r="AO513" s="71"/>
      <c r="AP513" s="71" t="s">
        <v>464</v>
      </c>
      <c r="AQ513" s="71"/>
      <c r="AR513" s="71"/>
      <c r="AS513" s="71" t="s">
        <v>254</v>
      </c>
      <c r="AT513" s="71"/>
      <c r="AU513" s="71" t="str">
        <f>TEXT(TRUNC(U513*AH513/AN513,1),"#,##0.#######")</f>
        <v>10,855.5</v>
      </c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2"/>
      <c r="CZ513" s="72"/>
      <c r="DA513" s="72"/>
      <c r="DB513" s="72"/>
      <c r="DC513" s="72"/>
      <c r="DD513" s="72"/>
      <c r="DE513" s="72"/>
      <c r="DF513" s="72"/>
      <c r="DG513" s="72"/>
      <c r="DH513" s="72"/>
      <c r="DI513" s="72"/>
      <c r="DJ513" s="72"/>
      <c r="DK513" s="72"/>
      <c r="DL513" s="72"/>
      <c r="DM513" s="72"/>
      <c r="DN513" s="72"/>
      <c r="DO513" s="72"/>
      <c r="DP513" s="72"/>
      <c r="DQ513" s="72"/>
      <c r="DR513" s="72"/>
      <c r="DS513" s="72"/>
      <c r="DT513" s="72"/>
      <c r="DU513" s="72"/>
      <c r="DV513" s="72"/>
      <c r="DW513" s="72"/>
      <c r="DX513" s="72"/>
      <c r="DY513" s="72"/>
      <c r="DZ513" s="72"/>
      <c r="EA513" s="72"/>
      <c r="EB513" s="72"/>
      <c r="EC513" s="72"/>
      <c r="ED513" s="72"/>
      <c r="EE513" s="72"/>
      <c r="EF513" s="72"/>
      <c r="EG513" s="72"/>
      <c r="EH513" s="72"/>
      <c r="EI513" s="72"/>
      <c r="EJ513" s="72"/>
      <c r="EK513" s="72"/>
      <c r="EL513" s="79"/>
      <c r="EM513" s="79"/>
      <c r="EN513" s="79"/>
      <c r="EO513" s="80"/>
      <c r="EP513" s="78"/>
    </row>
    <row r="514" spans="2:146" ht="11.25" customHeight="1" x14ac:dyDescent="0.2">
      <c r="B514" s="70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2"/>
      <c r="CZ514" s="72"/>
      <c r="DA514" s="72"/>
      <c r="DB514" s="72"/>
      <c r="DC514" s="72"/>
      <c r="DD514" s="72"/>
      <c r="DE514" s="72"/>
      <c r="DF514" s="72"/>
      <c r="DG514" s="72"/>
      <c r="DH514" s="72"/>
      <c r="DI514" s="72"/>
      <c r="DJ514" s="72"/>
      <c r="DK514" s="72"/>
      <c r="DL514" s="72"/>
      <c r="DM514" s="72"/>
      <c r="DN514" s="72"/>
      <c r="DO514" s="72"/>
      <c r="DP514" s="72"/>
      <c r="DQ514" s="72"/>
      <c r="DR514" s="72"/>
      <c r="DS514" s="72"/>
      <c r="DT514" s="72"/>
      <c r="DU514" s="72"/>
      <c r="DV514" s="72"/>
      <c r="DW514" s="72"/>
      <c r="DX514" s="72"/>
      <c r="DY514" s="72"/>
      <c r="DZ514" s="72"/>
      <c r="EA514" s="72"/>
      <c r="EB514" s="72"/>
      <c r="EC514" s="72"/>
      <c r="ED514" s="72"/>
      <c r="EE514" s="72"/>
      <c r="EF514" s="72"/>
      <c r="EG514" s="72"/>
      <c r="EH514" s="72"/>
      <c r="EI514" s="72"/>
      <c r="EJ514" s="72"/>
      <c r="EK514" s="72"/>
      <c r="EL514" s="79"/>
      <c r="EM514" s="79"/>
      <c r="EN514" s="79"/>
      <c r="EO514" s="80"/>
      <c r="EP514" s="78"/>
    </row>
    <row r="515" spans="2:146" ht="11.25" customHeight="1" x14ac:dyDescent="0.2">
      <c r="B515" s="70"/>
      <c r="C515" s="71"/>
      <c r="D515" s="71"/>
      <c r="E515" s="71"/>
      <c r="F515" s="71"/>
      <c r="G515" s="71" t="s">
        <v>43</v>
      </c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 t="s">
        <v>469</v>
      </c>
      <c r="S515" s="71"/>
      <c r="T515" s="71"/>
      <c r="U515" s="71" t="str">
        <f>TEXT(노임단가!F4,"#,##0")</f>
        <v>172,068</v>
      </c>
      <c r="V515" s="71"/>
      <c r="W515" s="71"/>
      <c r="X515" s="71"/>
      <c r="Y515" s="71"/>
      <c r="Z515" s="71"/>
      <c r="AA515" s="71"/>
      <c r="AB515" s="71"/>
      <c r="AC515" s="71"/>
      <c r="AD515" s="71"/>
      <c r="AE515" s="71" t="s">
        <v>542</v>
      </c>
      <c r="AF515" s="71"/>
      <c r="AG515" s="71"/>
      <c r="AH515" s="71" t="str">
        <f>TEXT(1,"#,##0.#######")</f>
        <v>1.</v>
      </c>
      <c r="AI515" s="71" t="s">
        <v>602</v>
      </c>
      <c r="AJ515" s="71"/>
      <c r="AK515" s="71"/>
      <c r="AL515" s="71" t="s">
        <v>112</v>
      </c>
      <c r="AM515" s="71"/>
      <c r="AN515" s="71" t="str">
        <f>TEXT(65,"#,##0.#######")</f>
        <v>65.</v>
      </c>
      <c r="AO515" s="71"/>
      <c r="AP515" s="71" t="s">
        <v>464</v>
      </c>
      <c r="AQ515" s="71"/>
      <c r="AR515" s="71"/>
      <c r="AS515" s="71" t="s">
        <v>254</v>
      </c>
      <c r="AT515" s="71"/>
      <c r="AU515" s="71" t="str">
        <f>TEXT(TRUNC(U515*AH515/AN515,1),"#,##0.#######")</f>
        <v>2,647.2</v>
      </c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9"/>
      <c r="EM515" s="79"/>
      <c r="EN515" s="79"/>
      <c r="EO515" s="80"/>
      <c r="EP515" s="78"/>
    </row>
    <row r="516" spans="2:146" ht="11.25" customHeight="1" x14ac:dyDescent="0.2">
      <c r="B516" s="70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9"/>
      <c r="EM516" s="79"/>
      <c r="EN516" s="79"/>
      <c r="EO516" s="80"/>
      <c r="EP516" s="78"/>
    </row>
    <row r="517" spans="2:146" ht="11.25" customHeight="1" x14ac:dyDescent="0.2">
      <c r="B517" s="73"/>
      <c r="C517" s="64"/>
      <c r="D517" s="64"/>
      <c r="E517" s="64"/>
      <c r="F517" s="64"/>
      <c r="G517" s="64" t="s">
        <v>440</v>
      </c>
      <c r="H517" s="64"/>
      <c r="I517" s="64"/>
      <c r="J517" s="64"/>
      <c r="K517" s="64"/>
      <c r="L517" s="64"/>
      <c r="M517" s="64"/>
      <c r="N517" s="64"/>
      <c r="O517" s="64"/>
      <c r="P517" s="64" t="s">
        <v>469</v>
      </c>
      <c r="Q517" s="64"/>
      <c r="R517" s="64" t="str">
        <f>TEXT(TRUNC(AU513+AU515,1),"#,##0.#######")</f>
        <v>13,502.7</v>
      </c>
      <c r="S517" s="64"/>
      <c r="T517" s="64"/>
      <c r="U517" s="64"/>
      <c r="V517" s="64"/>
      <c r="W517" s="64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64"/>
      <c r="AI517" s="64"/>
      <c r="AJ517" s="64"/>
      <c r="AK517" s="64"/>
      <c r="AL517" s="64"/>
      <c r="AM517" s="64"/>
      <c r="AN517" s="64"/>
      <c r="AO517" s="64"/>
      <c r="AP517" s="64"/>
      <c r="AQ517" s="64"/>
      <c r="AR517" s="64"/>
      <c r="AS517" s="64"/>
      <c r="AT517" s="64"/>
      <c r="AU517" s="64"/>
      <c r="AV517" s="64"/>
      <c r="AW517" s="64"/>
      <c r="AX517" s="64"/>
      <c r="AY517" s="64"/>
      <c r="AZ517" s="64"/>
      <c r="BA517" s="64"/>
      <c r="BB517" s="64"/>
      <c r="BC517" s="64"/>
      <c r="BD517" s="64"/>
      <c r="BE517" s="64"/>
      <c r="BF517" s="64"/>
      <c r="BG517" s="64"/>
      <c r="BH517" s="64"/>
      <c r="BI517" s="64"/>
      <c r="BJ517" s="64"/>
      <c r="BK517" s="64"/>
      <c r="BL517" s="64"/>
      <c r="BM517" s="64"/>
      <c r="BN517" s="64"/>
      <c r="BO517" s="64"/>
      <c r="BP517" s="64"/>
      <c r="BQ517" s="64"/>
      <c r="BR517" s="64"/>
      <c r="BS517" s="64"/>
      <c r="BT517" s="64"/>
      <c r="BU517" s="64"/>
      <c r="BV517" s="64"/>
      <c r="BW517" s="64"/>
      <c r="BX517" s="64"/>
      <c r="BY517" s="64"/>
      <c r="BZ517" s="64"/>
      <c r="CA517" s="64"/>
      <c r="CB517" s="64"/>
      <c r="CC517" s="64"/>
      <c r="CD517" s="64"/>
      <c r="CE517" s="64"/>
      <c r="CF517" s="64"/>
      <c r="CG517" s="64"/>
      <c r="CH517" s="64"/>
      <c r="CI517" s="64"/>
      <c r="CJ517" s="64"/>
      <c r="CK517" s="64"/>
      <c r="CL517" s="64"/>
      <c r="CM517" s="64"/>
      <c r="CN517" s="64"/>
      <c r="CO517" s="64"/>
      <c r="CP517" s="64"/>
      <c r="CQ517" s="64"/>
      <c r="CR517" s="64"/>
      <c r="CS517" s="64"/>
      <c r="CT517" s="64"/>
      <c r="CU517" s="64"/>
      <c r="CV517" s="64"/>
      <c r="CW517" s="64"/>
      <c r="CX517" s="64"/>
      <c r="CY517" s="74"/>
      <c r="CZ517" s="74"/>
      <c r="DA517" s="74"/>
      <c r="DB517" s="74"/>
      <c r="DC517" s="74"/>
      <c r="DD517" s="74"/>
      <c r="DE517" s="74"/>
      <c r="DF517" s="74"/>
      <c r="DG517" s="74"/>
      <c r="DH517" s="74"/>
      <c r="DI517" s="74"/>
      <c r="DJ517" s="74"/>
      <c r="DK517" s="74"/>
      <c r="DL517" s="74"/>
      <c r="DM517" s="74"/>
      <c r="DN517" s="74"/>
      <c r="DO517" s="74"/>
      <c r="DP517" s="74"/>
      <c r="DQ517" s="74"/>
      <c r="DR517" s="74"/>
      <c r="DS517" s="74"/>
      <c r="DT517" s="74"/>
      <c r="DU517" s="74"/>
      <c r="DV517" s="74"/>
      <c r="DW517" s="74"/>
      <c r="DX517" s="74"/>
      <c r="DY517" s="74"/>
      <c r="DZ517" s="74"/>
      <c r="EA517" s="74"/>
      <c r="EB517" s="74"/>
      <c r="EC517" s="74"/>
      <c r="ED517" s="74"/>
      <c r="EE517" s="74"/>
      <c r="EF517" s="74"/>
      <c r="EG517" s="74"/>
      <c r="EH517" s="74"/>
      <c r="EI517" s="74"/>
      <c r="EJ517" s="74"/>
      <c r="EK517" s="74"/>
      <c r="EL517" s="82"/>
      <c r="EM517" s="82"/>
      <c r="EN517" s="82" t="str">
        <f>R517</f>
        <v>13,502.7</v>
      </c>
      <c r="EO517" s="83"/>
      <c r="EP517" s="78"/>
    </row>
    <row r="518" spans="2:146" ht="11.25" customHeight="1" x14ac:dyDescent="0.2">
      <c r="B518" s="70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2"/>
      <c r="CZ518" s="72"/>
      <c r="DA518" s="72"/>
      <c r="DB518" s="72"/>
      <c r="DC518" s="72"/>
      <c r="DD518" s="72"/>
      <c r="DE518" s="72"/>
      <c r="DF518" s="72"/>
      <c r="DG518" s="72"/>
      <c r="DH518" s="72"/>
      <c r="DI518" s="72"/>
      <c r="DJ518" s="72"/>
      <c r="DK518" s="72"/>
      <c r="DL518" s="72"/>
      <c r="DM518" s="72"/>
      <c r="DN518" s="72"/>
      <c r="DO518" s="72"/>
      <c r="DP518" s="72"/>
      <c r="DQ518" s="72"/>
      <c r="DR518" s="72"/>
      <c r="DS518" s="72"/>
      <c r="DT518" s="72"/>
      <c r="DU518" s="72"/>
      <c r="DV518" s="72"/>
      <c r="DW518" s="72"/>
      <c r="DX518" s="72"/>
      <c r="DY518" s="72"/>
      <c r="DZ518" s="72"/>
      <c r="EA518" s="72"/>
      <c r="EB518" s="72"/>
      <c r="EC518" s="72"/>
      <c r="ED518" s="72"/>
      <c r="EE518" s="72"/>
      <c r="EF518" s="72"/>
      <c r="EG518" s="72"/>
      <c r="EH518" s="72"/>
      <c r="EI518" s="72"/>
      <c r="EJ518" s="72"/>
      <c r="EK518" s="72"/>
      <c r="EL518" s="79"/>
      <c r="EM518" s="79"/>
      <c r="EN518" s="79"/>
      <c r="EO518" s="80"/>
      <c r="EP518" s="78"/>
    </row>
    <row r="519" spans="2:146" ht="11.25" customHeight="1" x14ac:dyDescent="0.2">
      <c r="B519" s="70"/>
      <c r="C519" s="71"/>
      <c r="D519" s="71"/>
      <c r="E519" s="71" t="s">
        <v>398</v>
      </c>
      <c r="F519" s="71"/>
      <c r="G519" s="71" t="s">
        <v>459</v>
      </c>
      <c r="H519" s="71"/>
      <c r="I519" s="71" t="s">
        <v>261</v>
      </c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 t="s">
        <v>287</v>
      </c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2"/>
      <c r="CZ519" s="72"/>
      <c r="DA519" s="72"/>
      <c r="DB519" s="72"/>
      <c r="DC519" s="72"/>
      <c r="DD519" s="72"/>
      <c r="DE519" s="72"/>
      <c r="DF519" s="72"/>
      <c r="DG519" s="72"/>
      <c r="DH519" s="72"/>
      <c r="DI519" s="72"/>
      <c r="DJ519" s="72"/>
      <c r="DK519" s="72"/>
      <c r="DL519" s="72"/>
      <c r="DM519" s="72"/>
      <c r="DN519" s="72"/>
      <c r="DO519" s="72"/>
      <c r="DP519" s="72"/>
      <c r="DQ519" s="72"/>
      <c r="DR519" s="72"/>
      <c r="DS519" s="72"/>
      <c r="DT519" s="72"/>
      <c r="DU519" s="72"/>
      <c r="DV519" s="72"/>
      <c r="DW519" s="72"/>
      <c r="DX519" s="72"/>
      <c r="DY519" s="72"/>
      <c r="DZ519" s="72"/>
      <c r="EA519" s="72"/>
      <c r="EB519" s="72"/>
      <c r="EC519" s="72"/>
      <c r="ED519" s="72"/>
      <c r="EE519" s="72"/>
      <c r="EF519" s="72"/>
      <c r="EG519" s="72"/>
      <c r="EH519" s="72"/>
      <c r="EI519" s="72"/>
      <c r="EJ519" s="72"/>
      <c r="EK519" s="72"/>
      <c r="EL519" s="79"/>
      <c r="EM519" s="79"/>
      <c r="EN519" s="79"/>
      <c r="EO519" s="80"/>
      <c r="EP519" s="78"/>
    </row>
    <row r="520" spans="2:146" ht="11.25" customHeight="1" x14ac:dyDescent="0.2">
      <c r="B520" s="70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1"/>
      <c r="CV520" s="71"/>
      <c r="CW520" s="71"/>
      <c r="CX520" s="71"/>
      <c r="CY520" s="72"/>
      <c r="CZ520" s="72"/>
      <c r="DA520" s="72"/>
      <c r="DB520" s="72"/>
      <c r="DC520" s="72"/>
      <c r="DD520" s="72"/>
      <c r="DE520" s="72"/>
      <c r="DF520" s="72"/>
      <c r="DG520" s="72"/>
      <c r="DH520" s="72"/>
      <c r="DI520" s="72"/>
      <c r="DJ520" s="72"/>
      <c r="DK520" s="72"/>
      <c r="DL520" s="72"/>
      <c r="DM520" s="72"/>
      <c r="DN520" s="72"/>
      <c r="DO520" s="72"/>
      <c r="DP520" s="72"/>
      <c r="DQ520" s="72"/>
      <c r="DR520" s="72"/>
      <c r="DS520" s="72"/>
      <c r="DT520" s="72"/>
      <c r="DU520" s="72"/>
      <c r="DV520" s="72"/>
      <c r="DW520" s="72"/>
      <c r="DX520" s="72"/>
      <c r="DY520" s="72"/>
      <c r="DZ520" s="72"/>
      <c r="EA520" s="72"/>
      <c r="EB520" s="72"/>
      <c r="EC520" s="72"/>
      <c r="ED520" s="72"/>
      <c r="EE520" s="72"/>
      <c r="EF520" s="72"/>
      <c r="EG520" s="72"/>
      <c r="EH520" s="72"/>
      <c r="EI520" s="72"/>
      <c r="EJ520" s="72"/>
      <c r="EK520" s="72"/>
      <c r="EL520" s="79"/>
      <c r="EM520" s="79"/>
      <c r="EN520" s="79"/>
      <c r="EO520" s="80"/>
      <c r="EP520" s="78"/>
    </row>
    <row r="521" spans="2:146" ht="11.25" customHeight="1" x14ac:dyDescent="0.2">
      <c r="B521" s="70"/>
      <c r="C521" s="71"/>
      <c r="D521" s="71"/>
      <c r="E521" s="71"/>
      <c r="F521" s="71"/>
      <c r="G521" s="71" t="s">
        <v>40</v>
      </c>
      <c r="H521" s="71"/>
      <c r="I521" s="71" t="s">
        <v>254</v>
      </c>
      <c r="J521" s="71"/>
      <c r="K521" s="71" t="str">
        <f>TEXT(8,"#,##0.#######")</f>
        <v>8.</v>
      </c>
      <c r="L521" s="71" t="s">
        <v>467</v>
      </c>
      <c r="M521" s="71"/>
      <c r="N521" s="71"/>
      <c r="O521" s="71" t="s">
        <v>112</v>
      </c>
      <c r="P521" s="71"/>
      <c r="Q521" s="71" t="str">
        <f>TEXT(65,"#,##0.#######")</f>
        <v>65.</v>
      </c>
      <c r="R521" s="71"/>
      <c r="S521" s="71" t="s">
        <v>464</v>
      </c>
      <c r="T521" s="71"/>
      <c r="U521" s="71"/>
      <c r="V521" s="71" t="s">
        <v>254</v>
      </c>
      <c r="W521" s="71"/>
      <c r="X521" s="71" t="str">
        <f>TEXT(ROUND(K521/Q521,2),"#,##0.#######")</f>
        <v>0.12</v>
      </c>
      <c r="Y521" s="71"/>
      <c r="Z521" s="71"/>
      <c r="AA521" s="71"/>
      <c r="AB521" s="71"/>
      <c r="AC521" s="71"/>
      <c r="AD521" s="71"/>
      <c r="AE521" s="71" t="s">
        <v>467</v>
      </c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2"/>
      <c r="CZ521" s="72"/>
      <c r="DA521" s="72"/>
      <c r="DB521" s="72"/>
      <c r="DC521" s="72"/>
      <c r="DD521" s="72"/>
      <c r="DE521" s="72"/>
      <c r="DF521" s="72"/>
      <c r="DG521" s="72"/>
      <c r="DH521" s="72"/>
      <c r="DI521" s="72"/>
      <c r="DJ521" s="72"/>
      <c r="DK521" s="72"/>
      <c r="DL521" s="72"/>
      <c r="DM521" s="72"/>
      <c r="DN521" s="72"/>
      <c r="DO521" s="72"/>
      <c r="DP521" s="72"/>
      <c r="DQ521" s="72"/>
      <c r="DR521" s="72"/>
      <c r="DS521" s="72"/>
      <c r="DT521" s="72"/>
      <c r="DU521" s="72"/>
      <c r="DV521" s="72"/>
      <c r="DW521" s="72"/>
      <c r="DX521" s="72"/>
      <c r="DY521" s="72"/>
      <c r="DZ521" s="72"/>
      <c r="EA521" s="72"/>
      <c r="EB521" s="72"/>
      <c r="EC521" s="72"/>
      <c r="ED521" s="72"/>
      <c r="EE521" s="72"/>
      <c r="EF521" s="72"/>
      <c r="EG521" s="72"/>
      <c r="EH521" s="72"/>
      <c r="EI521" s="72"/>
      <c r="EJ521" s="72"/>
      <c r="EK521" s="72"/>
      <c r="EL521" s="79"/>
      <c r="EM521" s="79"/>
      <c r="EN521" s="79"/>
      <c r="EO521" s="80"/>
      <c r="EP521" s="78"/>
    </row>
    <row r="522" spans="2:146" ht="11.25" customHeight="1" x14ac:dyDescent="0.2">
      <c r="B522" s="70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2"/>
      <c r="CZ522" s="72"/>
      <c r="DA522" s="72"/>
      <c r="DB522" s="72"/>
      <c r="DC522" s="72"/>
      <c r="DD522" s="72"/>
      <c r="DE522" s="72"/>
      <c r="DF522" s="72"/>
      <c r="DG522" s="72"/>
      <c r="DH522" s="72"/>
      <c r="DI522" s="72"/>
      <c r="DJ522" s="72"/>
      <c r="DK522" s="72"/>
      <c r="DL522" s="72"/>
      <c r="DM522" s="72"/>
      <c r="DN522" s="72"/>
      <c r="DO522" s="72"/>
      <c r="DP522" s="72"/>
      <c r="DQ522" s="72"/>
      <c r="DR522" s="72"/>
      <c r="DS522" s="72"/>
      <c r="DT522" s="72"/>
      <c r="DU522" s="72"/>
      <c r="DV522" s="72"/>
      <c r="DW522" s="72"/>
      <c r="DX522" s="72"/>
      <c r="DY522" s="72"/>
      <c r="DZ522" s="72"/>
      <c r="EA522" s="72"/>
      <c r="EB522" s="72"/>
      <c r="EC522" s="72"/>
      <c r="ED522" s="72"/>
      <c r="EE522" s="72"/>
      <c r="EF522" s="72"/>
      <c r="EG522" s="72"/>
      <c r="EH522" s="72"/>
      <c r="EI522" s="72"/>
      <c r="EJ522" s="72"/>
      <c r="EK522" s="72"/>
      <c r="EL522" s="79"/>
      <c r="EM522" s="79"/>
      <c r="EN522" s="79"/>
      <c r="EO522" s="80"/>
      <c r="EP522" s="78"/>
    </row>
    <row r="523" spans="2:146" ht="11.25" customHeight="1" x14ac:dyDescent="0.2">
      <c r="B523" s="70"/>
      <c r="C523" s="71"/>
      <c r="D523" s="71"/>
      <c r="E523" s="71"/>
      <c r="F523" s="71"/>
      <c r="G523" s="71" t="s">
        <v>543</v>
      </c>
      <c r="H523" s="71"/>
      <c r="I523" s="71"/>
      <c r="J523" s="71"/>
      <c r="K523" s="71"/>
      <c r="L523" s="71"/>
      <c r="M523" s="71"/>
      <c r="N523" s="71" t="s">
        <v>469</v>
      </c>
      <c r="O523" s="71"/>
      <c r="P523" s="71" t="str">
        <f>TEXT(기계경비총괄표!H6,"#,##0")</f>
        <v>59,020</v>
      </c>
      <c r="Q523" s="71"/>
      <c r="R523" s="71"/>
      <c r="S523" s="71"/>
      <c r="T523" s="71"/>
      <c r="U523" s="71"/>
      <c r="V523" s="71"/>
      <c r="W523" s="71"/>
      <c r="X523" s="71"/>
      <c r="Y523" s="71" t="s">
        <v>542</v>
      </c>
      <c r="Z523" s="71"/>
      <c r="AA523" s="71"/>
      <c r="AB523" s="71" t="str">
        <f>TEXT(X521,"#,##0.#######")</f>
        <v>0.12</v>
      </c>
      <c r="AC523" s="71"/>
      <c r="AD523" s="71"/>
      <c r="AE523" s="71"/>
      <c r="AF523" s="71"/>
      <c r="AG523" s="71"/>
      <c r="AH523" s="71"/>
      <c r="AI523" s="71" t="s">
        <v>254</v>
      </c>
      <c r="AJ523" s="71"/>
      <c r="AK523" s="71" t="str">
        <f>TEXT(TRUNC(P523*X521,1),"#,##0.#")</f>
        <v>7,082.4</v>
      </c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2"/>
      <c r="CZ523" s="72"/>
      <c r="DA523" s="72"/>
      <c r="DB523" s="72"/>
      <c r="DC523" s="72"/>
      <c r="DD523" s="72"/>
      <c r="DE523" s="72"/>
      <c r="DF523" s="72"/>
      <c r="DG523" s="72"/>
      <c r="DH523" s="72"/>
      <c r="DI523" s="72"/>
      <c r="DJ523" s="72"/>
      <c r="DK523" s="72"/>
      <c r="DL523" s="72"/>
      <c r="DM523" s="72"/>
      <c r="DN523" s="72"/>
      <c r="DO523" s="72"/>
      <c r="DP523" s="72"/>
      <c r="DQ523" s="72"/>
      <c r="DR523" s="72"/>
      <c r="DS523" s="72"/>
      <c r="DT523" s="72"/>
      <c r="DU523" s="72"/>
      <c r="DV523" s="72"/>
      <c r="DW523" s="72"/>
      <c r="DX523" s="72"/>
      <c r="DY523" s="72"/>
      <c r="DZ523" s="72"/>
      <c r="EA523" s="72"/>
      <c r="EB523" s="72"/>
      <c r="EC523" s="72"/>
      <c r="ED523" s="72"/>
      <c r="EE523" s="72"/>
      <c r="EF523" s="72"/>
      <c r="EG523" s="72"/>
      <c r="EH523" s="72"/>
      <c r="EI523" s="72"/>
      <c r="EJ523" s="72"/>
      <c r="EK523" s="72"/>
      <c r="EL523" s="79"/>
      <c r="EM523" s="79"/>
      <c r="EN523" s="79"/>
      <c r="EO523" s="80"/>
      <c r="EP523" s="78"/>
    </row>
    <row r="524" spans="2:146" ht="11.25" customHeight="1" x14ac:dyDescent="0.2">
      <c r="B524" s="70"/>
      <c r="C524" s="71"/>
      <c r="D524" s="71"/>
      <c r="E524" s="71"/>
      <c r="F524" s="71"/>
      <c r="G524" s="71" t="s">
        <v>400</v>
      </c>
      <c r="H524" s="71"/>
      <c r="I524" s="71"/>
      <c r="J524" s="71"/>
      <c r="K524" s="71"/>
      <c r="L524" s="71"/>
      <c r="M524" s="71"/>
      <c r="N524" s="71" t="s">
        <v>469</v>
      </c>
      <c r="O524" s="71"/>
      <c r="P524" s="71" t="str">
        <f>TEXT(기계경비총괄표!G6,"#,##0")</f>
        <v>26,193</v>
      </c>
      <c r="Q524" s="71"/>
      <c r="R524" s="71"/>
      <c r="S524" s="71"/>
      <c r="T524" s="71"/>
      <c r="U524" s="71"/>
      <c r="V524" s="71"/>
      <c r="W524" s="71"/>
      <c r="X524" s="71"/>
      <c r="Y524" s="71" t="s">
        <v>542</v>
      </c>
      <c r="Z524" s="71"/>
      <c r="AA524" s="71"/>
      <c r="AB524" s="71" t="str">
        <f>TEXT(X521,"#,##0.#######")</f>
        <v>0.12</v>
      </c>
      <c r="AC524" s="71"/>
      <c r="AD524" s="71"/>
      <c r="AE524" s="71"/>
      <c r="AF524" s="71"/>
      <c r="AG524" s="71"/>
      <c r="AH524" s="71"/>
      <c r="AI524" s="71" t="s">
        <v>254</v>
      </c>
      <c r="AJ524" s="71"/>
      <c r="AK524" s="71" t="str">
        <f>TEXT(TRUNC(P524*X521,1),"#,##0.#")</f>
        <v>3,143.1</v>
      </c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2"/>
      <c r="CZ524" s="72"/>
      <c r="DA524" s="72"/>
      <c r="DB524" s="72"/>
      <c r="DC524" s="72"/>
      <c r="DD524" s="72"/>
      <c r="DE524" s="72"/>
      <c r="DF524" s="72"/>
      <c r="DG524" s="72"/>
      <c r="DH524" s="72"/>
      <c r="DI524" s="72"/>
      <c r="DJ524" s="72"/>
      <c r="DK524" s="72"/>
      <c r="DL524" s="72"/>
      <c r="DM524" s="72"/>
      <c r="DN524" s="72"/>
      <c r="DO524" s="72"/>
      <c r="DP524" s="72"/>
      <c r="DQ524" s="72"/>
      <c r="DR524" s="72"/>
      <c r="DS524" s="72"/>
      <c r="DT524" s="72"/>
      <c r="DU524" s="72"/>
      <c r="DV524" s="72"/>
      <c r="DW524" s="72"/>
      <c r="DX524" s="72"/>
      <c r="DY524" s="72"/>
      <c r="DZ524" s="72"/>
      <c r="EA524" s="72"/>
      <c r="EB524" s="72"/>
      <c r="EC524" s="72"/>
      <c r="ED524" s="72"/>
      <c r="EE524" s="72"/>
      <c r="EF524" s="72"/>
      <c r="EG524" s="72"/>
      <c r="EH524" s="72"/>
      <c r="EI524" s="72"/>
      <c r="EJ524" s="72"/>
      <c r="EK524" s="72"/>
      <c r="EL524" s="79"/>
      <c r="EM524" s="79"/>
      <c r="EN524" s="79"/>
      <c r="EO524" s="80"/>
      <c r="EP524" s="78"/>
    </row>
    <row r="525" spans="2:146" ht="11.25" customHeight="1" x14ac:dyDescent="0.2">
      <c r="B525" s="70"/>
      <c r="C525" s="71"/>
      <c r="D525" s="71"/>
      <c r="E525" s="71"/>
      <c r="F525" s="71"/>
      <c r="G525" s="71" t="s">
        <v>147</v>
      </c>
      <c r="H525" s="71"/>
      <c r="I525" s="71"/>
      <c r="J525" s="71"/>
      <c r="K525" s="71" t="s">
        <v>342</v>
      </c>
      <c r="L525" s="71"/>
      <c r="M525" s="71"/>
      <c r="N525" s="71" t="s">
        <v>469</v>
      </c>
      <c r="O525" s="71"/>
      <c r="P525" s="71" t="str">
        <f>TEXT(기계경비총괄표!I6,"#,##0")</f>
        <v>27,120</v>
      </c>
      <c r="Q525" s="71"/>
      <c r="R525" s="71"/>
      <c r="S525" s="71"/>
      <c r="T525" s="71"/>
      <c r="U525" s="71"/>
      <c r="V525" s="71"/>
      <c r="W525" s="71"/>
      <c r="X525" s="71"/>
      <c r="Y525" s="71" t="s">
        <v>542</v>
      </c>
      <c r="Z525" s="71"/>
      <c r="AA525" s="71"/>
      <c r="AB525" s="71" t="str">
        <f>TEXT(X521,"#,##0.#######")</f>
        <v>0.12</v>
      </c>
      <c r="AC525" s="71"/>
      <c r="AD525" s="71"/>
      <c r="AE525" s="71"/>
      <c r="AF525" s="71"/>
      <c r="AG525" s="71"/>
      <c r="AH525" s="71"/>
      <c r="AI525" s="71" t="s">
        <v>254</v>
      </c>
      <c r="AJ525" s="71"/>
      <c r="AK525" s="71" t="str">
        <f>TEXT(TRUNC(P525*X521,1),"#,##0.#")</f>
        <v>3,254.4</v>
      </c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2"/>
      <c r="CZ525" s="72"/>
      <c r="DA525" s="72"/>
      <c r="DB525" s="72"/>
      <c r="DC525" s="72"/>
      <c r="DD525" s="72"/>
      <c r="DE525" s="72"/>
      <c r="DF525" s="72"/>
      <c r="DG525" s="72"/>
      <c r="DH525" s="72"/>
      <c r="DI525" s="72"/>
      <c r="DJ525" s="72"/>
      <c r="DK525" s="72"/>
      <c r="DL525" s="72"/>
      <c r="DM525" s="72"/>
      <c r="DN525" s="72"/>
      <c r="DO525" s="72"/>
      <c r="DP525" s="72"/>
      <c r="DQ525" s="72"/>
      <c r="DR525" s="72"/>
      <c r="DS525" s="72"/>
      <c r="DT525" s="72"/>
      <c r="DU525" s="72"/>
      <c r="DV525" s="72"/>
      <c r="DW525" s="72"/>
      <c r="DX525" s="72"/>
      <c r="DY525" s="72"/>
      <c r="DZ525" s="72"/>
      <c r="EA525" s="72"/>
      <c r="EB525" s="72"/>
      <c r="EC525" s="72"/>
      <c r="ED525" s="72"/>
      <c r="EE525" s="72"/>
      <c r="EF525" s="72"/>
      <c r="EG525" s="72"/>
      <c r="EH525" s="72"/>
      <c r="EI525" s="72"/>
      <c r="EJ525" s="72"/>
      <c r="EK525" s="72"/>
      <c r="EL525" s="79"/>
      <c r="EM525" s="79"/>
      <c r="EN525" s="79"/>
      <c r="EO525" s="80"/>
      <c r="EP525" s="78"/>
    </row>
    <row r="526" spans="2:146" ht="11.25" customHeight="1" x14ac:dyDescent="0.2">
      <c r="B526" s="70"/>
      <c r="C526" s="71"/>
      <c r="D526" s="71"/>
      <c r="E526" s="71"/>
      <c r="F526" s="71"/>
      <c r="G526" s="71" t="s">
        <v>252</v>
      </c>
      <c r="H526" s="71"/>
      <c r="I526" s="71"/>
      <c r="J526" s="71"/>
      <c r="K526" s="71" t="s">
        <v>341</v>
      </c>
      <c r="L526" s="71"/>
      <c r="M526" s="71"/>
      <c r="N526" s="71" t="s">
        <v>469</v>
      </c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 t="str">
        <f>TEXT(AK523+AK524+AK525,"#,##0.#######")</f>
        <v>13,479.9</v>
      </c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2"/>
      <c r="CZ526" s="72"/>
      <c r="DA526" s="72"/>
      <c r="DB526" s="72"/>
      <c r="DC526" s="72"/>
      <c r="DD526" s="72"/>
      <c r="DE526" s="72"/>
      <c r="DF526" s="72"/>
      <c r="DG526" s="72"/>
      <c r="DH526" s="72"/>
      <c r="DI526" s="72"/>
      <c r="DJ526" s="72"/>
      <c r="DK526" s="72"/>
      <c r="DL526" s="72"/>
      <c r="DM526" s="72"/>
      <c r="DN526" s="72"/>
      <c r="DO526" s="72"/>
      <c r="DP526" s="72"/>
      <c r="DQ526" s="72"/>
      <c r="DR526" s="72"/>
      <c r="DS526" s="72"/>
      <c r="DT526" s="72"/>
      <c r="DU526" s="72"/>
      <c r="DV526" s="72"/>
      <c r="DW526" s="72"/>
      <c r="DX526" s="72"/>
      <c r="DY526" s="72"/>
      <c r="DZ526" s="72"/>
      <c r="EA526" s="72"/>
      <c r="EB526" s="72"/>
      <c r="EC526" s="72"/>
      <c r="ED526" s="72"/>
      <c r="EE526" s="72"/>
      <c r="EF526" s="72"/>
      <c r="EG526" s="72"/>
      <c r="EH526" s="72"/>
      <c r="EI526" s="72"/>
      <c r="EJ526" s="72"/>
      <c r="EK526" s="72"/>
      <c r="EL526" s="79">
        <f>EN526+EM526+EO526</f>
        <v>13479.9</v>
      </c>
      <c r="EM526" s="79" t="str">
        <f>TEXT(AK524,"#,###.0")</f>
        <v>3,143.1</v>
      </c>
      <c r="EN526" s="79" t="str">
        <f>TEXT(AK523,"#,###.0")</f>
        <v>7,082.4</v>
      </c>
      <c r="EO526" s="80" t="str">
        <f>TEXT(AK525,"#,###.0")</f>
        <v>3,254.4</v>
      </c>
      <c r="EP526" s="78"/>
    </row>
    <row r="527" spans="2:146" ht="11.25" customHeight="1" x14ac:dyDescent="0.2">
      <c r="B527" s="70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2"/>
      <c r="CZ527" s="72"/>
      <c r="DA527" s="72"/>
      <c r="DB527" s="72"/>
      <c r="DC527" s="72"/>
      <c r="DD527" s="72"/>
      <c r="DE527" s="72"/>
      <c r="DF527" s="72"/>
      <c r="DG527" s="72"/>
      <c r="DH527" s="72"/>
      <c r="DI527" s="72"/>
      <c r="DJ527" s="72"/>
      <c r="DK527" s="72"/>
      <c r="DL527" s="72"/>
      <c r="DM527" s="72"/>
      <c r="DN527" s="72"/>
      <c r="DO527" s="72"/>
      <c r="DP527" s="72"/>
      <c r="DQ527" s="72"/>
      <c r="DR527" s="72"/>
      <c r="DS527" s="72"/>
      <c r="DT527" s="72"/>
      <c r="DU527" s="72"/>
      <c r="DV527" s="72"/>
      <c r="DW527" s="72"/>
      <c r="DX527" s="72"/>
      <c r="DY527" s="72"/>
      <c r="DZ527" s="72"/>
      <c r="EA527" s="72"/>
      <c r="EB527" s="72"/>
      <c r="EC527" s="72"/>
      <c r="ED527" s="72"/>
      <c r="EE527" s="72"/>
      <c r="EF527" s="72"/>
      <c r="EG527" s="72"/>
      <c r="EH527" s="72"/>
      <c r="EI527" s="72"/>
      <c r="EJ527" s="72"/>
      <c r="EK527" s="72"/>
      <c r="EL527" s="79"/>
      <c r="EM527" s="79"/>
      <c r="EN527" s="79"/>
      <c r="EO527" s="80"/>
      <c r="EP527" s="78"/>
    </row>
    <row r="528" spans="2:146" ht="11.25" customHeight="1" x14ac:dyDescent="0.2">
      <c r="B528" s="70"/>
      <c r="C528" s="71"/>
      <c r="D528" s="71"/>
      <c r="E528" s="71" t="s">
        <v>186</v>
      </c>
      <c r="F528" s="71"/>
      <c r="G528" s="71" t="s">
        <v>459</v>
      </c>
      <c r="H528" s="71"/>
      <c r="I528" s="71" t="s">
        <v>286</v>
      </c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 t="s">
        <v>351</v>
      </c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2"/>
      <c r="CZ528" s="72"/>
      <c r="DA528" s="72"/>
      <c r="DB528" s="72"/>
      <c r="DC528" s="72"/>
      <c r="DD528" s="72"/>
      <c r="DE528" s="72"/>
      <c r="DF528" s="72"/>
      <c r="DG528" s="72"/>
      <c r="DH528" s="72"/>
      <c r="DI528" s="72"/>
      <c r="DJ528" s="72"/>
      <c r="DK528" s="72"/>
      <c r="DL528" s="72"/>
      <c r="DM528" s="72"/>
      <c r="DN528" s="72"/>
      <c r="DO528" s="72"/>
      <c r="DP528" s="72"/>
      <c r="DQ528" s="72"/>
      <c r="DR528" s="72"/>
      <c r="DS528" s="72"/>
      <c r="DT528" s="72"/>
      <c r="DU528" s="72"/>
      <c r="DV528" s="72"/>
      <c r="DW528" s="72"/>
      <c r="DX528" s="72"/>
      <c r="DY528" s="72"/>
      <c r="DZ528" s="72"/>
      <c r="EA528" s="72"/>
      <c r="EB528" s="72"/>
      <c r="EC528" s="72"/>
      <c r="ED528" s="72"/>
      <c r="EE528" s="72"/>
      <c r="EF528" s="72"/>
      <c r="EG528" s="72"/>
      <c r="EH528" s="72"/>
      <c r="EI528" s="72"/>
      <c r="EJ528" s="72"/>
      <c r="EK528" s="72"/>
      <c r="EL528" s="79"/>
      <c r="EM528" s="79"/>
      <c r="EN528" s="79"/>
      <c r="EO528" s="80"/>
      <c r="EP528" s="78"/>
    </row>
    <row r="529" spans="2:146" ht="11.25" customHeight="1" x14ac:dyDescent="0.2">
      <c r="B529" s="70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1"/>
      <c r="CH529" s="71"/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1"/>
      <c r="CV529" s="71"/>
      <c r="CW529" s="71"/>
      <c r="CX529" s="71"/>
      <c r="CY529" s="72"/>
      <c r="CZ529" s="72"/>
      <c r="DA529" s="72"/>
      <c r="DB529" s="72"/>
      <c r="DC529" s="72"/>
      <c r="DD529" s="72"/>
      <c r="DE529" s="72"/>
      <c r="DF529" s="72"/>
      <c r="DG529" s="72"/>
      <c r="DH529" s="72"/>
      <c r="DI529" s="72"/>
      <c r="DJ529" s="72"/>
      <c r="DK529" s="72"/>
      <c r="DL529" s="72"/>
      <c r="DM529" s="72"/>
      <c r="DN529" s="72"/>
      <c r="DO529" s="72"/>
      <c r="DP529" s="72"/>
      <c r="DQ529" s="72"/>
      <c r="DR529" s="72"/>
      <c r="DS529" s="72"/>
      <c r="DT529" s="72"/>
      <c r="DU529" s="72"/>
      <c r="DV529" s="72"/>
      <c r="DW529" s="72"/>
      <c r="DX529" s="72"/>
      <c r="DY529" s="72"/>
      <c r="DZ529" s="72"/>
      <c r="EA529" s="72"/>
      <c r="EB529" s="72"/>
      <c r="EC529" s="72"/>
      <c r="ED529" s="72"/>
      <c r="EE529" s="72"/>
      <c r="EF529" s="72"/>
      <c r="EG529" s="72"/>
      <c r="EH529" s="72"/>
      <c r="EI529" s="72"/>
      <c r="EJ529" s="72"/>
      <c r="EK529" s="72"/>
      <c r="EL529" s="79"/>
      <c r="EM529" s="79"/>
      <c r="EN529" s="79"/>
      <c r="EO529" s="80"/>
      <c r="EP529" s="78"/>
    </row>
    <row r="530" spans="2:146" ht="11.25" customHeight="1" x14ac:dyDescent="0.2">
      <c r="B530" s="70"/>
      <c r="C530" s="71"/>
      <c r="D530" s="71"/>
      <c r="E530" s="71"/>
      <c r="F530" s="71"/>
      <c r="G530" s="71" t="s">
        <v>543</v>
      </c>
      <c r="H530" s="71"/>
      <c r="I530" s="71"/>
      <c r="J530" s="71"/>
      <c r="K530" s="71"/>
      <c r="L530" s="71"/>
      <c r="M530" s="71"/>
      <c r="N530" s="71" t="s">
        <v>469</v>
      </c>
      <c r="O530" s="71"/>
      <c r="P530" s="71" t="str">
        <f>TEXT(기계경비총괄표!H12,"#,##0")</f>
        <v>36,248</v>
      </c>
      <c r="Q530" s="71"/>
      <c r="R530" s="71"/>
      <c r="S530" s="71"/>
      <c r="T530" s="71"/>
      <c r="U530" s="71"/>
      <c r="V530" s="71"/>
      <c r="W530" s="71"/>
      <c r="X530" s="71"/>
      <c r="Y530" s="71" t="s">
        <v>542</v>
      </c>
      <c r="Z530" s="71"/>
      <c r="AA530" s="71"/>
      <c r="AB530" s="71" t="str">
        <f>TEXT(X521,"#,##0.#######")</f>
        <v>0.12</v>
      </c>
      <c r="AC530" s="71"/>
      <c r="AD530" s="71"/>
      <c r="AE530" s="71"/>
      <c r="AF530" s="71"/>
      <c r="AG530" s="71"/>
      <c r="AH530" s="71"/>
      <c r="AI530" s="71" t="s">
        <v>254</v>
      </c>
      <c r="AJ530" s="71"/>
      <c r="AK530" s="71" t="str">
        <f>TEXT(TRUNC(P530*X521,1),"#,##0.#")</f>
        <v>4,349.7</v>
      </c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1"/>
      <c r="CG530" s="71"/>
      <c r="CH530" s="71"/>
      <c r="CI530" s="71"/>
      <c r="CJ530" s="71"/>
      <c r="CK530" s="71"/>
      <c r="CL530" s="71"/>
      <c r="CM530" s="71"/>
      <c r="CN530" s="71"/>
      <c r="CO530" s="71"/>
      <c r="CP530" s="71"/>
      <c r="CQ530" s="71"/>
      <c r="CR530" s="71"/>
      <c r="CS530" s="71"/>
      <c r="CT530" s="71"/>
      <c r="CU530" s="71"/>
      <c r="CV530" s="71"/>
      <c r="CW530" s="71"/>
      <c r="CX530" s="71"/>
      <c r="CY530" s="72"/>
      <c r="CZ530" s="72"/>
      <c r="DA530" s="72"/>
      <c r="DB530" s="72"/>
      <c r="DC530" s="72"/>
      <c r="DD530" s="72"/>
      <c r="DE530" s="72"/>
      <c r="DF530" s="72"/>
      <c r="DG530" s="72"/>
      <c r="DH530" s="72"/>
      <c r="DI530" s="72"/>
      <c r="DJ530" s="72"/>
      <c r="DK530" s="72"/>
      <c r="DL530" s="72"/>
      <c r="DM530" s="72"/>
      <c r="DN530" s="72"/>
      <c r="DO530" s="72"/>
      <c r="DP530" s="72"/>
      <c r="DQ530" s="72"/>
      <c r="DR530" s="72"/>
      <c r="DS530" s="72"/>
      <c r="DT530" s="72"/>
      <c r="DU530" s="72"/>
      <c r="DV530" s="72"/>
      <c r="DW530" s="72"/>
      <c r="DX530" s="72"/>
      <c r="DY530" s="72"/>
      <c r="DZ530" s="72"/>
      <c r="EA530" s="72"/>
      <c r="EB530" s="72"/>
      <c r="EC530" s="72"/>
      <c r="ED530" s="72"/>
      <c r="EE530" s="72"/>
      <c r="EF530" s="72"/>
      <c r="EG530" s="72"/>
      <c r="EH530" s="72"/>
      <c r="EI530" s="72"/>
      <c r="EJ530" s="72"/>
      <c r="EK530" s="72"/>
      <c r="EL530" s="79"/>
      <c r="EM530" s="79"/>
      <c r="EN530" s="79"/>
      <c r="EO530" s="80"/>
      <c r="EP530" s="78"/>
    </row>
    <row r="531" spans="2:146" ht="11.25" customHeight="1" x14ac:dyDescent="0.2">
      <c r="B531" s="70"/>
      <c r="C531" s="71"/>
      <c r="D531" s="71"/>
      <c r="E531" s="71"/>
      <c r="F531" s="71"/>
      <c r="G531" s="71" t="s">
        <v>400</v>
      </c>
      <c r="H531" s="71"/>
      <c r="I531" s="71"/>
      <c r="J531" s="71"/>
      <c r="K531" s="71"/>
      <c r="L531" s="71"/>
      <c r="M531" s="71"/>
      <c r="N531" s="71" t="s">
        <v>469</v>
      </c>
      <c r="O531" s="71"/>
      <c r="P531" s="71"/>
      <c r="Q531" s="71" t="str">
        <f>TEXT(기계경비총괄표!G12,"#,##0")</f>
        <v>2,191</v>
      </c>
      <c r="R531" s="71"/>
      <c r="S531" s="71"/>
      <c r="T531" s="71"/>
      <c r="U531" s="71"/>
      <c r="V531" s="71"/>
      <c r="W531" s="71"/>
      <c r="X531" s="71"/>
      <c r="Y531" s="71" t="s">
        <v>542</v>
      </c>
      <c r="Z531" s="71"/>
      <c r="AA531" s="71"/>
      <c r="AB531" s="71" t="str">
        <f>TEXT(X521,"#,##0.#######")</f>
        <v>0.12</v>
      </c>
      <c r="AC531" s="71"/>
      <c r="AD531" s="71"/>
      <c r="AE531" s="71"/>
      <c r="AF531" s="71"/>
      <c r="AG531" s="71"/>
      <c r="AH531" s="71"/>
      <c r="AI531" s="71" t="s">
        <v>254</v>
      </c>
      <c r="AJ531" s="71"/>
      <c r="AK531" s="71"/>
      <c r="AL531" s="71"/>
      <c r="AM531" s="71" t="str">
        <f>TEXT(TRUNC(Q531*X521,1),"#,##0.#")</f>
        <v>262.9</v>
      </c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1"/>
      <c r="CG531" s="71"/>
      <c r="CH531" s="71"/>
      <c r="CI531" s="71"/>
      <c r="CJ531" s="71"/>
      <c r="CK531" s="71"/>
      <c r="CL531" s="71"/>
      <c r="CM531" s="71"/>
      <c r="CN531" s="71"/>
      <c r="CO531" s="71"/>
      <c r="CP531" s="71"/>
      <c r="CQ531" s="71"/>
      <c r="CR531" s="71"/>
      <c r="CS531" s="71"/>
      <c r="CT531" s="71"/>
      <c r="CU531" s="71"/>
      <c r="CV531" s="71"/>
      <c r="CW531" s="71"/>
      <c r="CX531" s="71"/>
      <c r="CY531" s="72"/>
      <c r="CZ531" s="72"/>
      <c r="DA531" s="72"/>
      <c r="DB531" s="72"/>
      <c r="DC531" s="72"/>
      <c r="DD531" s="72"/>
      <c r="DE531" s="72"/>
      <c r="DF531" s="72"/>
      <c r="DG531" s="72"/>
      <c r="DH531" s="72"/>
      <c r="DI531" s="72"/>
      <c r="DJ531" s="72"/>
      <c r="DK531" s="72"/>
      <c r="DL531" s="72"/>
      <c r="DM531" s="72"/>
      <c r="DN531" s="72"/>
      <c r="DO531" s="72"/>
      <c r="DP531" s="72"/>
      <c r="DQ531" s="72"/>
      <c r="DR531" s="72"/>
      <c r="DS531" s="72"/>
      <c r="DT531" s="72"/>
      <c r="DU531" s="72"/>
      <c r="DV531" s="72"/>
      <c r="DW531" s="72"/>
      <c r="DX531" s="72"/>
      <c r="DY531" s="72"/>
      <c r="DZ531" s="72"/>
      <c r="EA531" s="72"/>
      <c r="EB531" s="72"/>
      <c r="EC531" s="72"/>
      <c r="ED531" s="72"/>
      <c r="EE531" s="72"/>
      <c r="EF531" s="72"/>
      <c r="EG531" s="72"/>
      <c r="EH531" s="72"/>
      <c r="EI531" s="72"/>
      <c r="EJ531" s="72"/>
      <c r="EK531" s="72"/>
      <c r="EL531" s="79"/>
      <c r="EM531" s="79"/>
      <c r="EN531" s="79"/>
      <c r="EO531" s="80"/>
      <c r="EP531" s="78"/>
    </row>
    <row r="532" spans="2:146" ht="11.25" customHeight="1" x14ac:dyDescent="0.2">
      <c r="B532" s="70"/>
      <c r="C532" s="71"/>
      <c r="D532" s="71"/>
      <c r="E532" s="71"/>
      <c r="F532" s="71"/>
      <c r="G532" s="71" t="s">
        <v>147</v>
      </c>
      <c r="H532" s="71"/>
      <c r="I532" s="71"/>
      <c r="J532" s="71"/>
      <c r="K532" s="71" t="s">
        <v>342</v>
      </c>
      <c r="L532" s="71"/>
      <c r="M532" s="71"/>
      <c r="N532" s="71" t="s">
        <v>469</v>
      </c>
      <c r="O532" s="71"/>
      <c r="P532" s="71"/>
      <c r="Q532" s="71"/>
      <c r="R532" s="71"/>
      <c r="S532" s="71" t="str">
        <f>TEXT(기계경비총괄표!I12,"#,##0")</f>
        <v>620</v>
      </c>
      <c r="T532" s="71"/>
      <c r="U532" s="71"/>
      <c r="V532" s="71"/>
      <c r="W532" s="71"/>
      <c r="X532" s="71"/>
      <c r="Y532" s="71" t="s">
        <v>542</v>
      </c>
      <c r="Z532" s="71"/>
      <c r="AA532" s="71"/>
      <c r="AB532" s="71" t="str">
        <f>TEXT(X521,"#,##0.#######")</f>
        <v>0.12</v>
      </c>
      <c r="AC532" s="71"/>
      <c r="AD532" s="71"/>
      <c r="AE532" s="71"/>
      <c r="AF532" s="71"/>
      <c r="AG532" s="71"/>
      <c r="AH532" s="71"/>
      <c r="AI532" s="71" t="s">
        <v>254</v>
      </c>
      <c r="AJ532" s="71"/>
      <c r="AK532" s="71"/>
      <c r="AL532" s="71"/>
      <c r="AM532" s="71"/>
      <c r="AN532" s="71" t="str">
        <f>TEXT(TRUNC(S532*X521,1),"#,##0.#")</f>
        <v>74.4</v>
      </c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1"/>
      <c r="CH532" s="71"/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1"/>
      <c r="CV532" s="71"/>
      <c r="CW532" s="71"/>
      <c r="CX532" s="71"/>
      <c r="CY532" s="72"/>
      <c r="CZ532" s="72"/>
      <c r="DA532" s="72"/>
      <c r="DB532" s="72"/>
      <c r="DC532" s="72"/>
      <c r="DD532" s="72"/>
      <c r="DE532" s="72"/>
      <c r="DF532" s="72"/>
      <c r="DG532" s="72"/>
      <c r="DH532" s="72"/>
      <c r="DI532" s="72"/>
      <c r="DJ532" s="72"/>
      <c r="DK532" s="72"/>
      <c r="DL532" s="72"/>
      <c r="DM532" s="72"/>
      <c r="DN532" s="72"/>
      <c r="DO532" s="72"/>
      <c r="DP532" s="72"/>
      <c r="DQ532" s="72"/>
      <c r="DR532" s="72"/>
      <c r="DS532" s="72"/>
      <c r="DT532" s="72"/>
      <c r="DU532" s="72"/>
      <c r="DV532" s="72"/>
      <c r="DW532" s="72"/>
      <c r="DX532" s="72"/>
      <c r="DY532" s="72"/>
      <c r="DZ532" s="72"/>
      <c r="EA532" s="72"/>
      <c r="EB532" s="72"/>
      <c r="EC532" s="72"/>
      <c r="ED532" s="72"/>
      <c r="EE532" s="72"/>
      <c r="EF532" s="72"/>
      <c r="EG532" s="72"/>
      <c r="EH532" s="72"/>
      <c r="EI532" s="72"/>
      <c r="EJ532" s="72"/>
      <c r="EK532" s="72"/>
      <c r="EL532" s="79"/>
      <c r="EM532" s="79"/>
      <c r="EN532" s="79"/>
      <c r="EO532" s="80"/>
      <c r="EP532" s="78"/>
    </row>
    <row r="533" spans="2:146" ht="11.25" customHeight="1" x14ac:dyDescent="0.2">
      <c r="B533" s="70"/>
      <c r="C533" s="71"/>
      <c r="D533" s="71"/>
      <c r="E533" s="71"/>
      <c r="F533" s="71"/>
      <c r="G533" s="71" t="s">
        <v>252</v>
      </c>
      <c r="H533" s="71"/>
      <c r="I533" s="71"/>
      <c r="J533" s="71"/>
      <c r="K533" s="71" t="s">
        <v>341</v>
      </c>
      <c r="L533" s="71"/>
      <c r="M533" s="71"/>
      <c r="N533" s="71" t="s">
        <v>469</v>
      </c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 t="str">
        <f>TEXT(AK530+AM531+AN532,"#,##0.#######")</f>
        <v>4,687.</v>
      </c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1"/>
      <c r="CH533" s="71"/>
      <c r="CI533" s="71"/>
      <c r="CJ533" s="71"/>
      <c r="CK533" s="71"/>
      <c r="CL533" s="71"/>
      <c r="CM533" s="71"/>
      <c r="CN533" s="71"/>
      <c r="CO533" s="71"/>
      <c r="CP533" s="71"/>
      <c r="CQ533" s="71"/>
      <c r="CR533" s="71"/>
      <c r="CS533" s="71"/>
      <c r="CT533" s="71"/>
      <c r="CU533" s="71"/>
      <c r="CV533" s="71"/>
      <c r="CW533" s="71"/>
      <c r="CX533" s="71"/>
      <c r="CY533" s="72"/>
      <c r="CZ533" s="72"/>
      <c r="DA533" s="72"/>
      <c r="DB533" s="72"/>
      <c r="DC533" s="72"/>
      <c r="DD533" s="72"/>
      <c r="DE533" s="72"/>
      <c r="DF533" s="72"/>
      <c r="DG533" s="72"/>
      <c r="DH533" s="72"/>
      <c r="DI533" s="72"/>
      <c r="DJ533" s="72"/>
      <c r="DK533" s="72"/>
      <c r="DL533" s="72"/>
      <c r="DM533" s="72"/>
      <c r="DN533" s="72"/>
      <c r="DO533" s="72"/>
      <c r="DP533" s="72"/>
      <c r="DQ533" s="72"/>
      <c r="DR533" s="72"/>
      <c r="DS533" s="72"/>
      <c r="DT533" s="72"/>
      <c r="DU533" s="72"/>
      <c r="DV533" s="72"/>
      <c r="DW533" s="72"/>
      <c r="DX533" s="72"/>
      <c r="DY533" s="72"/>
      <c r="DZ533" s="72"/>
      <c r="EA533" s="72"/>
      <c r="EB533" s="72"/>
      <c r="EC533" s="72"/>
      <c r="ED533" s="72"/>
      <c r="EE533" s="72"/>
      <c r="EF533" s="72"/>
      <c r="EG533" s="72"/>
      <c r="EH533" s="72"/>
      <c r="EI533" s="72"/>
      <c r="EJ533" s="72"/>
      <c r="EK533" s="72"/>
      <c r="EL533" s="79">
        <f>EN533+EM533+EO533</f>
        <v>4686.9999999999991</v>
      </c>
      <c r="EM533" s="79" t="str">
        <f>TEXT(AM531,"#,###.0")</f>
        <v>262.9</v>
      </c>
      <c r="EN533" s="79" t="str">
        <f>TEXT(AK530,"#,###.0")</f>
        <v>4,349.7</v>
      </c>
      <c r="EO533" s="80" t="str">
        <f>TEXT(AN532,"#,###.0")</f>
        <v>74.4</v>
      </c>
      <c r="EP533" s="78"/>
    </row>
    <row r="534" spans="2:146" ht="11.25" customHeight="1" x14ac:dyDescent="0.2">
      <c r="B534" s="70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1"/>
      <c r="CV534" s="71"/>
      <c r="CW534" s="71"/>
      <c r="CX534" s="71"/>
      <c r="CY534" s="72"/>
      <c r="CZ534" s="72"/>
      <c r="DA534" s="72"/>
      <c r="DB534" s="72"/>
      <c r="DC534" s="72"/>
      <c r="DD534" s="72"/>
      <c r="DE534" s="72"/>
      <c r="DF534" s="72"/>
      <c r="DG534" s="72"/>
      <c r="DH534" s="72"/>
      <c r="DI534" s="72"/>
      <c r="DJ534" s="72"/>
      <c r="DK534" s="72"/>
      <c r="DL534" s="72"/>
      <c r="DM534" s="72"/>
      <c r="DN534" s="72"/>
      <c r="DO534" s="72"/>
      <c r="DP534" s="72"/>
      <c r="DQ534" s="72"/>
      <c r="DR534" s="72"/>
      <c r="DS534" s="72"/>
      <c r="DT534" s="72"/>
      <c r="DU534" s="72"/>
      <c r="DV534" s="72"/>
      <c r="DW534" s="72"/>
      <c r="DX534" s="72"/>
      <c r="DY534" s="72"/>
      <c r="DZ534" s="72"/>
      <c r="EA534" s="72"/>
      <c r="EB534" s="72"/>
      <c r="EC534" s="72"/>
      <c r="ED534" s="72"/>
      <c r="EE534" s="72"/>
      <c r="EF534" s="72"/>
      <c r="EG534" s="72"/>
      <c r="EH534" s="72"/>
      <c r="EI534" s="72"/>
      <c r="EJ534" s="72"/>
      <c r="EK534" s="72"/>
      <c r="EL534" s="79"/>
      <c r="EM534" s="79"/>
      <c r="EN534" s="79"/>
      <c r="EO534" s="80"/>
      <c r="EP534" s="78"/>
    </row>
    <row r="535" spans="2:146" ht="11.25" customHeight="1" x14ac:dyDescent="0.2">
      <c r="B535" s="70"/>
      <c r="C535" s="71"/>
      <c r="D535" s="71"/>
      <c r="E535" s="71" t="s">
        <v>533</v>
      </c>
      <c r="F535" s="71"/>
      <c r="G535" s="71" t="s">
        <v>459</v>
      </c>
      <c r="H535" s="71"/>
      <c r="I535" s="71" t="s">
        <v>252</v>
      </c>
      <c r="J535" s="71"/>
      <c r="K535" s="71"/>
      <c r="L535" s="71"/>
      <c r="M535" s="71" t="s">
        <v>341</v>
      </c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1"/>
      <c r="CG535" s="71"/>
      <c r="CH535" s="71"/>
      <c r="CI535" s="71"/>
      <c r="CJ535" s="71"/>
      <c r="CK535" s="71"/>
      <c r="CL535" s="71"/>
      <c r="CM535" s="71"/>
      <c r="CN535" s="71"/>
      <c r="CO535" s="71"/>
      <c r="CP535" s="71"/>
      <c r="CQ535" s="71"/>
      <c r="CR535" s="71"/>
      <c r="CS535" s="71"/>
      <c r="CT535" s="71"/>
      <c r="CU535" s="71"/>
      <c r="CV535" s="71"/>
      <c r="CW535" s="71"/>
      <c r="CX535" s="71"/>
      <c r="CY535" s="72"/>
      <c r="CZ535" s="72"/>
      <c r="DA535" s="72"/>
      <c r="DB535" s="72"/>
      <c r="DC535" s="72"/>
      <c r="DD535" s="72"/>
      <c r="DE535" s="72"/>
      <c r="DF535" s="72"/>
      <c r="DG535" s="72"/>
      <c r="DH535" s="72"/>
      <c r="DI535" s="72"/>
      <c r="DJ535" s="72"/>
      <c r="DK535" s="72"/>
      <c r="DL535" s="72"/>
      <c r="DM535" s="72"/>
      <c r="DN535" s="72"/>
      <c r="DO535" s="72"/>
      <c r="DP535" s="72"/>
      <c r="DQ535" s="72"/>
      <c r="DR535" s="72"/>
      <c r="DS535" s="72"/>
      <c r="DT535" s="72"/>
      <c r="DU535" s="72"/>
      <c r="DV535" s="72"/>
      <c r="DW535" s="72"/>
      <c r="DX535" s="72"/>
      <c r="DY535" s="72"/>
      <c r="DZ535" s="72"/>
      <c r="EA535" s="72"/>
      <c r="EB535" s="72"/>
      <c r="EC535" s="72"/>
      <c r="ED535" s="72"/>
      <c r="EE535" s="72"/>
      <c r="EF535" s="72"/>
      <c r="EG535" s="72"/>
      <c r="EH535" s="72"/>
      <c r="EI535" s="72"/>
      <c r="EJ535" s="72"/>
      <c r="EK535" s="72"/>
      <c r="EL535" s="79"/>
      <c r="EM535" s="79"/>
      <c r="EN535" s="79"/>
      <c r="EO535" s="80"/>
      <c r="EP535" s="78"/>
    </row>
    <row r="536" spans="2:146" ht="11.25" customHeight="1" x14ac:dyDescent="0.2">
      <c r="B536" s="70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  <c r="CU536" s="71"/>
      <c r="CV536" s="71"/>
      <c r="CW536" s="71"/>
      <c r="CX536" s="71"/>
      <c r="CY536" s="72"/>
      <c r="CZ536" s="72"/>
      <c r="DA536" s="72"/>
      <c r="DB536" s="72"/>
      <c r="DC536" s="72"/>
      <c r="DD536" s="72"/>
      <c r="DE536" s="72"/>
      <c r="DF536" s="72"/>
      <c r="DG536" s="72"/>
      <c r="DH536" s="72"/>
      <c r="DI536" s="72"/>
      <c r="DJ536" s="72"/>
      <c r="DK536" s="72"/>
      <c r="DL536" s="72"/>
      <c r="DM536" s="72"/>
      <c r="DN536" s="72"/>
      <c r="DO536" s="72"/>
      <c r="DP536" s="72"/>
      <c r="DQ536" s="72"/>
      <c r="DR536" s="72"/>
      <c r="DS536" s="72"/>
      <c r="DT536" s="72"/>
      <c r="DU536" s="72"/>
      <c r="DV536" s="72"/>
      <c r="DW536" s="72"/>
      <c r="DX536" s="72"/>
      <c r="DY536" s="72"/>
      <c r="DZ536" s="72"/>
      <c r="EA536" s="72"/>
      <c r="EB536" s="72"/>
      <c r="EC536" s="72"/>
      <c r="ED536" s="72"/>
      <c r="EE536" s="72"/>
      <c r="EF536" s="72"/>
      <c r="EG536" s="72"/>
      <c r="EH536" s="72"/>
      <c r="EI536" s="72"/>
      <c r="EJ536" s="72"/>
      <c r="EK536" s="72"/>
      <c r="EL536" s="79"/>
      <c r="EM536" s="79"/>
      <c r="EN536" s="79"/>
      <c r="EO536" s="80"/>
      <c r="EP536" s="78"/>
    </row>
    <row r="537" spans="2:146" ht="11.25" customHeight="1" x14ac:dyDescent="0.2">
      <c r="B537" s="70"/>
      <c r="C537" s="71"/>
      <c r="D537" s="71"/>
      <c r="E537" s="71"/>
      <c r="F537" s="71"/>
      <c r="G537" s="71"/>
      <c r="H537" s="71" t="s">
        <v>543</v>
      </c>
      <c r="I537" s="71"/>
      <c r="J537" s="71"/>
      <c r="K537" s="71"/>
      <c r="L537" s="71"/>
      <c r="M537" s="71"/>
      <c r="N537" s="71"/>
      <c r="O537" s="71" t="s">
        <v>469</v>
      </c>
      <c r="P537" s="71"/>
      <c r="Q537" s="71" t="str">
        <f>TEXT(EN517,"#,###.##")</f>
        <v>13,502.7</v>
      </c>
      <c r="R537" s="71"/>
      <c r="S537" s="71"/>
      <c r="T537" s="71"/>
      <c r="U537" s="71"/>
      <c r="V537" s="71"/>
      <c r="W537" s="71"/>
      <c r="X537" s="71"/>
      <c r="Y537" s="71"/>
      <c r="Z537" s="71" t="s">
        <v>133</v>
      </c>
      <c r="AA537" s="71"/>
      <c r="AB537" s="71" t="str">
        <f>TEXT(EN526,"#,###.##")</f>
        <v>7,082.4</v>
      </c>
      <c r="AC537" s="71"/>
      <c r="AD537" s="71"/>
      <c r="AE537" s="71"/>
      <c r="AF537" s="71"/>
      <c r="AG537" s="71"/>
      <c r="AH537" s="71"/>
      <c r="AI537" s="71"/>
      <c r="AJ537" s="71" t="s">
        <v>133</v>
      </c>
      <c r="AK537" s="71"/>
      <c r="AL537" s="71" t="str">
        <f>TEXT(EN533,"#,###.##")</f>
        <v>4,349.7</v>
      </c>
      <c r="AM537" s="71"/>
      <c r="AN537" s="71"/>
      <c r="AO537" s="71"/>
      <c r="AP537" s="71"/>
      <c r="AQ537" s="71"/>
      <c r="AR537" s="71"/>
      <c r="AS537" s="71"/>
      <c r="AT537" s="71" t="s">
        <v>254</v>
      </c>
      <c r="AU537" s="71"/>
      <c r="AV537" s="71"/>
      <c r="AW537" s="71" t="str">
        <f>TEXT(TRUNC(EN517+EN526+EN533,1),"#,##0.#")</f>
        <v>24,934.8</v>
      </c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  <c r="CU537" s="71"/>
      <c r="CV537" s="71"/>
      <c r="CW537" s="71"/>
      <c r="CX537" s="71"/>
      <c r="CY537" s="72"/>
      <c r="CZ537" s="72"/>
      <c r="DA537" s="72"/>
      <c r="DB537" s="72"/>
      <c r="DC537" s="72"/>
      <c r="DD537" s="72"/>
      <c r="DE537" s="72"/>
      <c r="DF537" s="72"/>
      <c r="DG537" s="72"/>
      <c r="DH537" s="72"/>
      <c r="DI537" s="72"/>
      <c r="DJ537" s="72"/>
      <c r="DK537" s="72"/>
      <c r="DL537" s="72"/>
      <c r="DM537" s="72"/>
      <c r="DN537" s="72"/>
      <c r="DO537" s="72"/>
      <c r="DP537" s="72"/>
      <c r="DQ537" s="72"/>
      <c r="DR537" s="72"/>
      <c r="DS537" s="72"/>
      <c r="DT537" s="72"/>
      <c r="DU537" s="72"/>
      <c r="DV537" s="72"/>
      <c r="DW537" s="72"/>
      <c r="DX537" s="72"/>
      <c r="DY537" s="72"/>
      <c r="DZ537" s="72"/>
      <c r="EA537" s="72"/>
      <c r="EB537" s="72"/>
      <c r="EC537" s="72"/>
      <c r="ED537" s="72"/>
      <c r="EE537" s="72"/>
      <c r="EF537" s="72"/>
      <c r="EG537" s="72"/>
      <c r="EH537" s="72"/>
      <c r="EI537" s="72"/>
      <c r="EJ537" s="72"/>
      <c r="EK537" s="72"/>
      <c r="EL537" s="79"/>
      <c r="EM537" s="79"/>
      <c r="EN537" s="79"/>
      <c r="EO537" s="80"/>
      <c r="EP537" s="78"/>
    </row>
    <row r="538" spans="2:146" ht="11.25" customHeight="1" x14ac:dyDescent="0.2">
      <c r="B538" s="70"/>
      <c r="C538" s="71"/>
      <c r="D538" s="71"/>
      <c r="E538" s="71"/>
      <c r="F538" s="71"/>
      <c r="G538" s="71"/>
      <c r="H538" s="71" t="s">
        <v>400</v>
      </c>
      <c r="I538" s="71"/>
      <c r="J538" s="71"/>
      <c r="K538" s="71"/>
      <c r="L538" s="71"/>
      <c r="M538" s="71"/>
      <c r="N538" s="71"/>
      <c r="O538" s="71" t="s">
        <v>469</v>
      </c>
      <c r="P538" s="71"/>
      <c r="Q538" s="71" t="str">
        <f>TEXT(EM526,"#,###.##")</f>
        <v>3,143.1</v>
      </c>
      <c r="R538" s="71"/>
      <c r="S538" s="71"/>
      <c r="T538" s="71"/>
      <c r="U538" s="71"/>
      <c r="V538" s="71"/>
      <c r="W538" s="71"/>
      <c r="X538" s="71"/>
      <c r="Y538" s="71" t="s">
        <v>133</v>
      </c>
      <c r="Z538" s="71"/>
      <c r="AA538" s="71" t="str">
        <f>TEXT(EM533,"#,###.##")</f>
        <v>262.9</v>
      </c>
      <c r="AB538" s="71"/>
      <c r="AC538" s="71"/>
      <c r="AD538" s="71"/>
      <c r="AE538" s="71"/>
      <c r="AF538" s="71"/>
      <c r="AG538" s="71" t="s">
        <v>254</v>
      </c>
      <c r="AH538" s="71"/>
      <c r="AI538" s="71"/>
      <c r="AJ538" s="71" t="str">
        <f>TEXT(TRUNC(EM526+EM533,1),"#,##0.#")</f>
        <v>3,406.</v>
      </c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 s="71"/>
      <c r="CV538" s="71"/>
      <c r="CW538" s="71"/>
      <c r="CX538" s="71"/>
      <c r="CY538" s="72"/>
      <c r="CZ538" s="72"/>
      <c r="DA538" s="72"/>
      <c r="DB538" s="72"/>
      <c r="DC538" s="72"/>
      <c r="DD538" s="72"/>
      <c r="DE538" s="72"/>
      <c r="DF538" s="72"/>
      <c r="DG538" s="72"/>
      <c r="DH538" s="72"/>
      <c r="DI538" s="72"/>
      <c r="DJ538" s="72"/>
      <c r="DK538" s="72"/>
      <c r="DL538" s="72"/>
      <c r="DM538" s="72"/>
      <c r="DN538" s="72"/>
      <c r="DO538" s="72"/>
      <c r="DP538" s="72"/>
      <c r="DQ538" s="72"/>
      <c r="DR538" s="72"/>
      <c r="DS538" s="72"/>
      <c r="DT538" s="72"/>
      <c r="DU538" s="72"/>
      <c r="DV538" s="72"/>
      <c r="DW538" s="72"/>
      <c r="DX538" s="72"/>
      <c r="DY538" s="72"/>
      <c r="DZ538" s="72"/>
      <c r="EA538" s="72"/>
      <c r="EB538" s="72"/>
      <c r="EC538" s="72"/>
      <c r="ED538" s="72"/>
      <c r="EE538" s="72"/>
      <c r="EF538" s="72"/>
      <c r="EG538" s="72"/>
      <c r="EH538" s="72"/>
      <c r="EI538" s="72"/>
      <c r="EJ538" s="72"/>
      <c r="EK538" s="72"/>
      <c r="EL538" s="79"/>
      <c r="EM538" s="79"/>
      <c r="EN538" s="79"/>
      <c r="EO538" s="80"/>
      <c r="EP538" s="78"/>
    </row>
    <row r="539" spans="2:146" ht="11.25" customHeight="1" x14ac:dyDescent="0.2">
      <c r="B539" s="70"/>
      <c r="C539" s="71"/>
      <c r="D539" s="71"/>
      <c r="E539" s="71"/>
      <c r="F539" s="71"/>
      <c r="G539" s="71"/>
      <c r="H539" s="71" t="s">
        <v>147</v>
      </c>
      <c r="I539" s="71"/>
      <c r="J539" s="71"/>
      <c r="K539" s="71"/>
      <c r="L539" s="71" t="s">
        <v>342</v>
      </c>
      <c r="M539" s="71"/>
      <c r="N539" s="71"/>
      <c r="O539" s="71" t="s">
        <v>469</v>
      </c>
      <c r="P539" s="71"/>
      <c r="Q539" s="71" t="str">
        <f>TEXT(EO526,"#,###.##")</f>
        <v>3,254.4</v>
      </c>
      <c r="R539" s="71"/>
      <c r="S539" s="71"/>
      <c r="T539" s="71"/>
      <c r="U539" s="71"/>
      <c r="V539" s="71"/>
      <c r="W539" s="71"/>
      <c r="X539" s="71"/>
      <c r="Y539" s="71" t="s">
        <v>133</v>
      </c>
      <c r="Z539" s="71"/>
      <c r="AA539" s="71" t="str">
        <f>TEXT(EO533,"#,###.##")</f>
        <v>74.4</v>
      </c>
      <c r="AB539" s="71"/>
      <c r="AC539" s="71"/>
      <c r="AD539" s="71"/>
      <c r="AE539" s="71"/>
      <c r="AF539" s="71" t="s">
        <v>254</v>
      </c>
      <c r="AG539" s="71"/>
      <c r="AH539" s="71"/>
      <c r="AI539" s="71" t="str">
        <f>TEXT(TRUNC(EO526+EO533,1),"#,##0.#")</f>
        <v>3,328.8</v>
      </c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  <c r="CQ539" s="71"/>
      <c r="CR539" s="71"/>
      <c r="CS539" s="71"/>
      <c r="CT539" s="71"/>
      <c r="CU539" s="71"/>
      <c r="CV539" s="71"/>
      <c r="CW539" s="71"/>
      <c r="CX539" s="71"/>
      <c r="CY539" s="72"/>
      <c r="CZ539" s="72"/>
      <c r="DA539" s="72"/>
      <c r="DB539" s="72"/>
      <c r="DC539" s="72"/>
      <c r="DD539" s="72"/>
      <c r="DE539" s="72"/>
      <c r="DF539" s="72"/>
      <c r="DG539" s="72"/>
      <c r="DH539" s="72"/>
      <c r="DI539" s="72"/>
      <c r="DJ539" s="72"/>
      <c r="DK539" s="72"/>
      <c r="DL539" s="72"/>
      <c r="DM539" s="72"/>
      <c r="DN539" s="72"/>
      <c r="DO539" s="72"/>
      <c r="DP539" s="72"/>
      <c r="DQ539" s="72"/>
      <c r="DR539" s="72"/>
      <c r="DS539" s="72"/>
      <c r="DT539" s="72"/>
      <c r="DU539" s="72"/>
      <c r="DV539" s="72"/>
      <c r="DW539" s="72"/>
      <c r="DX539" s="72"/>
      <c r="DY539" s="72"/>
      <c r="DZ539" s="72"/>
      <c r="EA539" s="72"/>
      <c r="EB539" s="72"/>
      <c r="EC539" s="72"/>
      <c r="ED539" s="72"/>
      <c r="EE539" s="72"/>
      <c r="EF539" s="72"/>
      <c r="EG539" s="72"/>
      <c r="EH539" s="72"/>
      <c r="EI539" s="72"/>
      <c r="EJ539" s="72"/>
      <c r="EK539" s="72"/>
      <c r="EL539" s="79"/>
      <c r="EM539" s="79"/>
      <c r="EN539" s="79"/>
      <c r="EO539" s="80"/>
      <c r="EP539" s="78"/>
    </row>
    <row r="540" spans="2:146" ht="11.25" customHeight="1" x14ac:dyDescent="0.2">
      <c r="B540" s="70"/>
      <c r="C540" s="71"/>
      <c r="D540" s="71"/>
      <c r="E540" s="71"/>
      <c r="F540" s="71"/>
      <c r="G540" s="71"/>
      <c r="H540" s="71"/>
      <c r="I540" s="71"/>
      <c r="J540" s="71" t="s">
        <v>341</v>
      </c>
      <c r="K540" s="71"/>
      <c r="L540" s="71"/>
      <c r="M540" s="71"/>
      <c r="N540" s="71"/>
      <c r="O540" s="71" t="s">
        <v>469</v>
      </c>
      <c r="P540" s="71"/>
      <c r="Q540" s="71"/>
      <c r="R540" s="71" t="str">
        <f>TEXT(AW537+AJ538+AI539,"#,##0.#######")</f>
        <v>31,669.6</v>
      </c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 s="71"/>
      <c r="CR540" s="71"/>
      <c r="CS540" s="71"/>
      <c r="CT540" s="71"/>
      <c r="CU540" s="71"/>
      <c r="CV540" s="71"/>
      <c r="CW540" s="71"/>
      <c r="CX540" s="71"/>
      <c r="CY540" s="72"/>
      <c r="CZ540" s="72"/>
      <c r="DA540" s="72"/>
      <c r="DB540" s="72"/>
      <c r="DC540" s="72"/>
      <c r="DD540" s="72"/>
      <c r="DE540" s="72"/>
      <c r="DF540" s="72"/>
      <c r="DG540" s="72"/>
      <c r="DH540" s="72"/>
      <c r="DI540" s="72"/>
      <c r="DJ540" s="72"/>
      <c r="DK540" s="72"/>
      <c r="DL540" s="72"/>
      <c r="DM540" s="72"/>
      <c r="DN540" s="72"/>
      <c r="DO540" s="72"/>
      <c r="DP540" s="72"/>
      <c r="DQ540" s="72"/>
      <c r="DR540" s="72"/>
      <c r="DS540" s="72"/>
      <c r="DT540" s="72"/>
      <c r="DU540" s="72"/>
      <c r="DV540" s="72"/>
      <c r="DW540" s="72"/>
      <c r="DX540" s="72"/>
      <c r="DY540" s="72"/>
      <c r="DZ540" s="72"/>
      <c r="EA540" s="72"/>
      <c r="EB540" s="72"/>
      <c r="EC540" s="72"/>
      <c r="ED540" s="72"/>
      <c r="EE540" s="72"/>
      <c r="EF540" s="72"/>
      <c r="EG540" s="72"/>
      <c r="EH540" s="72"/>
      <c r="EI540" s="72"/>
      <c r="EJ540" s="72"/>
      <c r="EK540" s="72"/>
      <c r="EL540" s="79">
        <f>EN540+EM540+EO540</f>
        <v>31669.599999999999</v>
      </c>
      <c r="EM540" s="79" t="str">
        <f>TEXT(AJ538,"#,###.0")</f>
        <v>3,406.0</v>
      </c>
      <c r="EN540" s="79" t="str">
        <f>TEXT(AW537,"#,###.0")</f>
        <v>24,934.8</v>
      </c>
      <c r="EO540" s="80" t="str">
        <f>TEXT(AI539,"#,###.0")</f>
        <v>3,328.8</v>
      </c>
      <c r="EP540" s="78"/>
    </row>
    <row r="541" spans="2:146" ht="11.25" customHeight="1" x14ac:dyDescent="0.2">
      <c r="B541" s="70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 s="71"/>
      <c r="CV541" s="71"/>
      <c r="CW541" s="71"/>
      <c r="CX541" s="71"/>
      <c r="CY541" s="72"/>
      <c r="CZ541" s="72"/>
      <c r="DA541" s="72"/>
      <c r="DB541" s="72"/>
      <c r="DC541" s="72"/>
      <c r="DD541" s="72"/>
      <c r="DE541" s="72"/>
      <c r="DF541" s="72"/>
      <c r="DG541" s="72"/>
      <c r="DH541" s="72"/>
      <c r="DI541" s="72"/>
      <c r="DJ541" s="72"/>
      <c r="DK541" s="72"/>
      <c r="DL541" s="72"/>
      <c r="DM541" s="72"/>
      <c r="DN541" s="72"/>
      <c r="DO541" s="72"/>
      <c r="DP541" s="72"/>
      <c r="DQ541" s="72"/>
      <c r="DR541" s="72"/>
      <c r="DS541" s="72"/>
      <c r="DT541" s="72"/>
      <c r="DU541" s="72"/>
      <c r="DV541" s="72"/>
      <c r="DW541" s="72"/>
      <c r="DX541" s="72"/>
      <c r="DY541" s="72"/>
      <c r="DZ541" s="72"/>
      <c r="EA541" s="72"/>
      <c r="EB541" s="72"/>
      <c r="EC541" s="72"/>
      <c r="ED541" s="72"/>
      <c r="EE541" s="72"/>
      <c r="EF541" s="72"/>
      <c r="EG541" s="72"/>
      <c r="EH541" s="72"/>
      <c r="EI541" s="72"/>
      <c r="EJ541" s="72"/>
      <c r="EK541" s="72"/>
      <c r="EL541" s="79"/>
      <c r="EM541" s="79"/>
      <c r="EN541" s="79"/>
      <c r="EO541" s="80"/>
      <c r="EP541" s="78"/>
    </row>
    <row r="542" spans="2:146" ht="11.25" customHeight="1" x14ac:dyDescent="0.2">
      <c r="B542" s="70"/>
      <c r="C542" s="71"/>
      <c r="D542" s="71" t="s">
        <v>655</v>
      </c>
      <c r="E542" s="71"/>
      <c r="F542" s="71"/>
      <c r="G542" s="71" t="s">
        <v>437</v>
      </c>
      <c r="H542" s="71"/>
      <c r="I542" s="71"/>
      <c r="J542" s="71"/>
      <c r="K542" s="71" t="s">
        <v>341</v>
      </c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 s="71"/>
      <c r="CV542" s="71"/>
      <c r="CW542" s="71"/>
      <c r="CX542" s="71"/>
      <c r="CY542" s="72"/>
      <c r="CZ542" s="72"/>
      <c r="DA542" s="72"/>
      <c r="DB542" s="72"/>
      <c r="DC542" s="72"/>
      <c r="DD542" s="72"/>
      <c r="DE542" s="72"/>
      <c r="DF542" s="72"/>
      <c r="DG542" s="72"/>
      <c r="DH542" s="72"/>
      <c r="DI542" s="72"/>
      <c r="DJ542" s="72"/>
      <c r="DK542" s="72"/>
      <c r="DL542" s="72"/>
      <c r="DM542" s="72"/>
      <c r="DN542" s="72"/>
      <c r="DO542" s="72"/>
      <c r="DP542" s="72"/>
      <c r="DQ542" s="72"/>
      <c r="DR542" s="72"/>
      <c r="DS542" s="72"/>
      <c r="DT542" s="72"/>
      <c r="DU542" s="72"/>
      <c r="DV542" s="72"/>
      <c r="DW542" s="72"/>
      <c r="DX542" s="72"/>
      <c r="DY542" s="72"/>
      <c r="DZ542" s="72"/>
      <c r="EA542" s="72"/>
      <c r="EB542" s="72"/>
      <c r="EC542" s="72"/>
      <c r="ED542" s="72"/>
      <c r="EE542" s="72"/>
      <c r="EF542" s="72"/>
      <c r="EG542" s="72"/>
      <c r="EH542" s="72"/>
      <c r="EI542" s="72"/>
      <c r="EJ542" s="72"/>
      <c r="EK542" s="72"/>
      <c r="EL542" s="79"/>
      <c r="EM542" s="79"/>
      <c r="EN542" s="79"/>
      <c r="EO542" s="80"/>
      <c r="EP542" s="78"/>
    </row>
    <row r="543" spans="2:146" ht="11.25" customHeight="1" x14ac:dyDescent="0.2">
      <c r="B543" s="70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1"/>
      <c r="CG543" s="71"/>
      <c r="CH543" s="71"/>
      <c r="CI543" s="71"/>
      <c r="CJ543" s="71"/>
      <c r="CK543" s="71"/>
      <c r="CL543" s="71"/>
      <c r="CM543" s="71"/>
      <c r="CN543" s="71"/>
      <c r="CO543" s="71"/>
      <c r="CP543" s="71"/>
      <c r="CQ543" s="71"/>
      <c r="CR543" s="71"/>
      <c r="CS543" s="71"/>
      <c r="CT543" s="71"/>
      <c r="CU543" s="71"/>
      <c r="CV543" s="71"/>
      <c r="CW543" s="71"/>
      <c r="CX543" s="71"/>
      <c r="CY543" s="72"/>
      <c r="CZ543" s="72"/>
      <c r="DA543" s="72"/>
      <c r="DB543" s="72"/>
      <c r="DC543" s="72"/>
      <c r="DD543" s="72"/>
      <c r="DE543" s="72"/>
      <c r="DF543" s="72"/>
      <c r="DG543" s="72"/>
      <c r="DH543" s="72"/>
      <c r="DI543" s="72"/>
      <c r="DJ543" s="72"/>
      <c r="DK543" s="72"/>
      <c r="DL543" s="72"/>
      <c r="DM543" s="72"/>
      <c r="DN543" s="72"/>
      <c r="DO543" s="72"/>
      <c r="DP543" s="72"/>
      <c r="DQ543" s="72"/>
      <c r="DR543" s="72"/>
      <c r="DS543" s="72"/>
      <c r="DT543" s="72"/>
      <c r="DU543" s="72"/>
      <c r="DV543" s="72"/>
      <c r="DW543" s="72"/>
      <c r="DX543" s="72"/>
      <c r="DY543" s="72"/>
      <c r="DZ543" s="72"/>
      <c r="EA543" s="72"/>
      <c r="EB543" s="72"/>
      <c r="EC543" s="72"/>
      <c r="ED543" s="72"/>
      <c r="EE543" s="72"/>
      <c r="EF543" s="72"/>
      <c r="EG543" s="72"/>
      <c r="EH543" s="72"/>
      <c r="EI543" s="72"/>
      <c r="EJ543" s="72"/>
      <c r="EK543" s="72"/>
      <c r="EL543" s="79"/>
      <c r="EM543" s="79"/>
      <c r="EN543" s="79"/>
      <c r="EO543" s="80"/>
      <c r="EP543" s="78"/>
    </row>
    <row r="544" spans="2:146" ht="11.25" customHeight="1" x14ac:dyDescent="0.2">
      <c r="B544" s="70"/>
      <c r="C544" s="71"/>
      <c r="D544" s="71"/>
      <c r="E544" s="71"/>
      <c r="F544" s="71"/>
      <c r="G544" s="71"/>
      <c r="H544" s="71"/>
      <c r="I544" s="71" t="s">
        <v>543</v>
      </c>
      <c r="J544" s="71"/>
      <c r="K544" s="71"/>
      <c r="L544" s="71"/>
      <c r="M544" s="71"/>
      <c r="N544" s="71"/>
      <c r="O544" s="71"/>
      <c r="P544" s="71" t="s">
        <v>469</v>
      </c>
      <c r="Q544" s="71"/>
      <c r="R544" s="71" t="str">
        <f>TEXT(TRUNC(EN540,0),"#,##0")</f>
        <v>24,934</v>
      </c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 s="71"/>
      <c r="CR544" s="71"/>
      <c r="CS544" s="71"/>
      <c r="CT544" s="71"/>
      <c r="CU544" s="71"/>
      <c r="CV544" s="71"/>
      <c r="CW544" s="71"/>
      <c r="CX544" s="71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9"/>
      <c r="EM544" s="79"/>
      <c r="EN544" s="79"/>
      <c r="EO544" s="80"/>
      <c r="EP544" s="78"/>
    </row>
    <row r="545" spans="2:146" ht="11.25" customHeight="1" x14ac:dyDescent="0.2">
      <c r="B545" s="70"/>
      <c r="C545" s="71"/>
      <c r="D545" s="71"/>
      <c r="E545" s="71"/>
      <c r="F545" s="71"/>
      <c r="G545" s="71"/>
      <c r="H545" s="71"/>
      <c r="I545" s="71" t="s">
        <v>400</v>
      </c>
      <c r="J545" s="71"/>
      <c r="K545" s="71"/>
      <c r="L545" s="71"/>
      <c r="M545" s="71"/>
      <c r="N545" s="71"/>
      <c r="O545" s="71"/>
      <c r="P545" s="71" t="s">
        <v>469</v>
      </c>
      <c r="Q545" s="71"/>
      <c r="R545" s="71" t="str">
        <f>TEXT(TRUNC(EM540,0),"#,##0")</f>
        <v>3,406</v>
      </c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1"/>
      <c r="CG545" s="71"/>
      <c r="CH545" s="71"/>
      <c r="CI545" s="71"/>
      <c r="CJ545" s="71"/>
      <c r="CK545" s="71"/>
      <c r="CL545" s="71"/>
      <c r="CM545" s="71"/>
      <c r="CN545" s="71"/>
      <c r="CO545" s="71"/>
      <c r="CP545" s="71"/>
      <c r="CQ545" s="71"/>
      <c r="CR545" s="71"/>
      <c r="CS545" s="71"/>
      <c r="CT545" s="71"/>
      <c r="CU545" s="71"/>
      <c r="CV545" s="71"/>
      <c r="CW545" s="71"/>
      <c r="CX545" s="71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9"/>
      <c r="EM545" s="79"/>
      <c r="EN545" s="79"/>
      <c r="EO545" s="80"/>
      <c r="EP545" s="78"/>
    </row>
    <row r="546" spans="2:146" ht="11.25" customHeight="1" x14ac:dyDescent="0.2">
      <c r="B546" s="70"/>
      <c r="C546" s="71"/>
      <c r="D546" s="71"/>
      <c r="E546" s="71"/>
      <c r="F546" s="71"/>
      <c r="G546" s="71"/>
      <c r="H546" s="71"/>
      <c r="I546" s="71" t="s">
        <v>147</v>
      </c>
      <c r="J546" s="71"/>
      <c r="K546" s="71"/>
      <c r="L546" s="71"/>
      <c r="M546" s="71" t="s">
        <v>342</v>
      </c>
      <c r="N546" s="71"/>
      <c r="O546" s="71"/>
      <c r="P546" s="71" t="s">
        <v>469</v>
      </c>
      <c r="Q546" s="71"/>
      <c r="R546" s="71" t="str">
        <f>TEXT(TRUNC(EO540,0),"#,##0")</f>
        <v>3,328</v>
      </c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1"/>
      <c r="CH546" s="71"/>
      <c r="CI546" s="71"/>
      <c r="CJ546" s="71"/>
      <c r="CK546" s="71"/>
      <c r="CL546" s="71"/>
      <c r="CM546" s="71"/>
      <c r="CN546" s="71"/>
      <c r="CO546" s="71"/>
      <c r="CP546" s="71"/>
      <c r="CQ546" s="71"/>
      <c r="CR546" s="71"/>
      <c r="CS546" s="71"/>
      <c r="CT546" s="71"/>
      <c r="CU546" s="71"/>
      <c r="CV546" s="71"/>
      <c r="CW546" s="71"/>
      <c r="CX546" s="71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9"/>
      <c r="EM546" s="79"/>
      <c r="EN546" s="79"/>
      <c r="EO546" s="80"/>
      <c r="EP546" s="78"/>
    </row>
    <row r="547" spans="2:146" ht="11.25" customHeight="1" x14ac:dyDescent="0.2">
      <c r="B547" s="70"/>
      <c r="C547" s="71"/>
      <c r="D547" s="71"/>
      <c r="E547" s="71"/>
      <c r="F547" s="71"/>
      <c r="G547" s="71"/>
      <c r="H547" s="71"/>
      <c r="I547" s="71"/>
      <c r="J547" s="71"/>
      <c r="K547" s="71" t="s">
        <v>341</v>
      </c>
      <c r="L547" s="71"/>
      <c r="M547" s="71"/>
      <c r="N547" s="71"/>
      <c r="O547" s="71"/>
      <c r="P547" s="71" t="s">
        <v>469</v>
      </c>
      <c r="Q547" s="71"/>
      <c r="R547" s="71"/>
      <c r="S547" s="71" t="str">
        <f>TEXT(R544+R545+R546,"#,##0")</f>
        <v>31,668</v>
      </c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1"/>
      <c r="CG547" s="71"/>
      <c r="CH547" s="71"/>
      <c r="CI547" s="71"/>
      <c r="CJ547" s="71"/>
      <c r="CK547" s="71"/>
      <c r="CL547" s="71"/>
      <c r="CM547" s="71"/>
      <c r="CN547" s="71"/>
      <c r="CO547" s="71"/>
      <c r="CP547" s="71"/>
      <c r="CQ547" s="71"/>
      <c r="CR547" s="71"/>
      <c r="CS547" s="71"/>
      <c r="CT547" s="71"/>
      <c r="CU547" s="71"/>
      <c r="CV547" s="71"/>
      <c r="CW547" s="71"/>
      <c r="CX547" s="71"/>
      <c r="CY547" s="72"/>
      <c r="CZ547" s="72"/>
      <c r="DA547" s="72"/>
      <c r="DB547" s="72"/>
      <c r="DC547" s="72"/>
      <c r="DD547" s="72"/>
      <c r="DE547" s="72"/>
      <c r="DF547" s="72"/>
      <c r="DG547" s="72"/>
      <c r="DH547" s="72"/>
      <c r="DI547" s="72"/>
      <c r="DJ547" s="72"/>
      <c r="DK547" s="72"/>
      <c r="DL547" s="72"/>
      <c r="DM547" s="72"/>
      <c r="DN547" s="72"/>
      <c r="DO547" s="72"/>
      <c r="DP547" s="72"/>
      <c r="DQ547" s="72"/>
      <c r="DR547" s="72"/>
      <c r="DS547" s="72"/>
      <c r="DT547" s="72"/>
      <c r="DU547" s="72"/>
      <c r="DV547" s="72"/>
      <c r="DW547" s="72"/>
      <c r="DX547" s="72"/>
      <c r="DY547" s="72"/>
      <c r="DZ547" s="72"/>
      <c r="EA547" s="72"/>
      <c r="EB547" s="72"/>
      <c r="EC547" s="72"/>
      <c r="ED547" s="72"/>
      <c r="EE547" s="72"/>
      <c r="EF547" s="72"/>
      <c r="EG547" s="72"/>
      <c r="EH547" s="72"/>
      <c r="EI547" s="72"/>
      <c r="EJ547" s="72"/>
      <c r="EK547" s="72"/>
      <c r="EL547" s="81">
        <f>EN547+EM547+EO547</f>
        <v>31668</v>
      </c>
      <c r="EM547" s="79" t="str">
        <f>TEXT(R545,"#,##0")</f>
        <v>3,406</v>
      </c>
      <c r="EN547" s="79" t="str">
        <f>TEXT(R544,"#,##0")</f>
        <v>24,934</v>
      </c>
      <c r="EO547" s="80" t="str">
        <f>TEXT(R546,"#,##0")</f>
        <v>3,328</v>
      </c>
      <c r="EP547" s="78"/>
    </row>
    <row r="548" spans="2:146" ht="11.25" customHeight="1" x14ac:dyDescent="0.2">
      <c r="B548" s="70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1"/>
      <c r="CG548" s="71"/>
      <c r="CH548" s="71"/>
      <c r="CI548" s="71"/>
      <c r="CJ548" s="71"/>
      <c r="CK548" s="71"/>
      <c r="CL548" s="71"/>
      <c r="CM548" s="71"/>
      <c r="CN548" s="71"/>
      <c r="CO548" s="71"/>
      <c r="CP548" s="71"/>
      <c r="CQ548" s="71"/>
      <c r="CR548" s="71"/>
      <c r="CS548" s="71"/>
      <c r="CT548" s="71"/>
      <c r="CU548" s="71"/>
      <c r="CV548" s="71"/>
      <c r="CW548" s="71"/>
      <c r="CX548" s="71"/>
      <c r="CY548" s="72"/>
      <c r="CZ548" s="72"/>
      <c r="DA548" s="72"/>
      <c r="DB548" s="72"/>
      <c r="DC548" s="72"/>
      <c r="DD548" s="72"/>
      <c r="DE548" s="72"/>
      <c r="DF548" s="72"/>
      <c r="DG548" s="72"/>
      <c r="DH548" s="72"/>
      <c r="DI548" s="72"/>
      <c r="DJ548" s="72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72"/>
      <c r="ED548" s="72"/>
      <c r="EE548" s="72"/>
      <c r="EF548" s="72"/>
      <c r="EG548" s="72"/>
      <c r="EH548" s="72"/>
      <c r="EI548" s="72"/>
      <c r="EJ548" s="72"/>
      <c r="EK548" s="72"/>
      <c r="EL548" s="79"/>
      <c r="EM548" s="79"/>
      <c r="EN548" s="79"/>
      <c r="EO548" s="80"/>
      <c r="EP548" s="78"/>
    </row>
    <row r="549" spans="2:146" ht="11.25" customHeight="1" x14ac:dyDescent="0.2">
      <c r="B549" s="75" t="s">
        <v>409</v>
      </c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1"/>
      <c r="CG549" s="71"/>
      <c r="CH549" s="71"/>
      <c r="CI549" s="71"/>
      <c r="CJ549" s="71"/>
      <c r="CK549" s="71"/>
      <c r="CL549" s="71"/>
      <c r="CM549" s="71"/>
      <c r="CN549" s="71"/>
      <c r="CO549" s="71"/>
      <c r="CP549" s="71"/>
      <c r="CQ549" s="71"/>
      <c r="CR549" s="71"/>
      <c r="CS549" s="71"/>
      <c r="CT549" s="71"/>
      <c r="CU549" s="71"/>
      <c r="CV549" s="71"/>
      <c r="CW549" s="71"/>
      <c r="CX549" s="71"/>
      <c r="CY549" s="72"/>
      <c r="CZ549" s="72"/>
      <c r="DA549" s="72"/>
      <c r="DB549" s="72"/>
      <c r="DC549" s="72"/>
      <c r="DD549" s="72"/>
      <c r="DE549" s="72"/>
      <c r="DF549" s="72"/>
      <c r="DG549" s="72"/>
      <c r="DH549" s="72"/>
      <c r="DI549" s="72"/>
      <c r="DJ549" s="72"/>
      <c r="DK549" s="72"/>
      <c r="DL549" s="72"/>
      <c r="DM549" s="72"/>
      <c r="DN549" s="72"/>
      <c r="DO549" s="72"/>
      <c r="DP549" s="72"/>
      <c r="DQ549" s="72"/>
      <c r="DR549" s="72"/>
      <c r="DS549" s="72"/>
      <c r="DT549" s="72"/>
      <c r="DU549" s="72"/>
      <c r="DV549" s="72"/>
      <c r="DW549" s="72"/>
      <c r="DX549" s="72"/>
      <c r="DY549" s="72"/>
      <c r="DZ549" s="72"/>
      <c r="EA549" s="72"/>
      <c r="EB549" s="72"/>
      <c r="EC549" s="72"/>
      <c r="ED549" s="72"/>
      <c r="EE549" s="72"/>
      <c r="EF549" s="72"/>
      <c r="EG549" s="72"/>
      <c r="EH549" s="72"/>
      <c r="EI549" s="72"/>
      <c r="EJ549" s="72"/>
      <c r="EK549" s="72"/>
      <c r="EL549" s="76">
        <f>EL560</f>
        <v>963</v>
      </c>
      <c r="EM549" s="79">
        <f>EM560</f>
        <v>0</v>
      </c>
      <c r="EN549" s="79">
        <f>EN560</f>
        <v>0</v>
      </c>
      <c r="EO549" s="77" t="str">
        <f>EO560</f>
        <v>963</v>
      </c>
      <c r="EP549" s="78"/>
    </row>
    <row r="550" spans="2:146" ht="11.25" customHeight="1" x14ac:dyDescent="0.2">
      <c r="B550" s="70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  <c r="BK550" s="71"/>
      <c r="BL550" s="71"/>
      <c r="BM550" s="71"/>
      <c r="BN550" s="71"/>
      <c r="BO550" s="71"/>
      <c r="BP550" s="71"/>
      <c r="BQ550" s="71"/>
      <c r="BR550" s="71"/>
      <c r="BS550" s="71"/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1"/>
      <c r="CG550" s="71"/>
      <c r="CH550" s="71"/>
      <c r="CI550" s="71"/>
      <c r="CJ550" s="71"/>
      <c r="CK550" s="71"/>
      <c r="CL550" s="71"/>
      <c r="CM550" s="71"/>
      <c r="CN550" s="71"/>
      <c r="CO550" s="71"/>
      <c r="CP550" s="71"/>
      <c r="CQ550" s="71"/>
      <c r="CR550" s="71"/>
      <c r="CS550" s="71"/>
      <c r="CT550" s="71"/>
      <c r="CU550" s="71"/>
      <c r="CV550" s="71"/>
      <c r="CW550" s="71"/>
      <c r="CX550" s="71"/>
      <c r="CY550" s="72"/>
      <c r="CZ550" s="72"/>
      <c r="DA550" s="72"/>
      <c r="DB550" s="72"/>
      <c r="DC550" s="72"/>
      <c r="DD550" s="72"/>
      <c r="DE550" s="72"/>
      <c r="DF550" s="72"/>
      <c r="DG550" s="72"/>
      <c r="DH550" s="72"/>
      <c r="DI550" s="72"/>
      <c r="DJ550" s="72"/>
      <c r="DK550" s="72"/>
      <c r="DL550" s="72"/>
      <c r="DM550" s="72"/>
      <c r="DN550" s="72"/>
      <c r="DO550" s="72"/>
      <c r="DP550" s="72"/>
      <c r="DQ550" s="72"/>
      <c r="DR550" s="72"/>
      <c r="DS550" s="72"/>
      <c r="DT550" s="72"/>
      <c r="DU550" s="72"/>
      <c r="DV550" s="72"/>
      <c r="DW550" s="72"/>
      <c r="DX550" s="72"/>
      <c r="DY550" s="72"/>
      <c r="DZ550" s="72"/>
      <c r="EA550" s="72"/>
      <c r="EB550" s="72"/>
      <c r="EC550" s="72"/>
      <c r="ED550" s="72"/>
      <c r="EE550" s="72"/>
      <c r="EF550" s="72"/>
      <c r="EG550" s="72"/>
      <c r="EH550" s="72"/>
      <c r="EI550" s="72"/>
      <c r="EJ550" s="72"/>
      <c r="EK550" s="72"/>
      <c r="EL550" s="79"/>
      <c r="EM550" s="79"/>
      <c r="EN550" s="79"/>
      <c r="EO550" s="80"/>
      <c r="EP550" s="78"/>
    </row>
    <row r="551" spans="2:146" ht="11.25" customHeight="1" x14ac:dyDescent="0.2">
      <c r="B551" s="70"/>
      <c r="C551" s="71"/>
      <c r="D551" s="71" t="s">
        <v>315</v>
      </c>
      <c r="E551" s="71"/>
      <c r="F551" s="71"/>
      <c r="G551" s="71" t="s">
        <v>356</v>
      </c>
      <c r="H551" s="71"/>
      <c r="I551" s="71"/>
      <c r="J551" s="71"/>
      <c r="K551" s="71"/>
      <c r="L551" s="71"/>
      <c r="M551" s="71" t="s">
        <v>336</v>
      </c>
      <c r="N551" s="71" t="s">
        <v>511</v>
      </c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 t="s">
        <v>80</v>
      </c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1"/>
      <c r="CV551" s="71"/>
      <c r="CW551" s="71"/>
      <c r="CX551" s="71"/>
      <c r="CY551" s="72"/>
      <c r="CZ551" s="72"/>
      <c r="DA551" s="72"/>
      <c r="DB551" s="72"/>
      <c r="DC551" s="72"/>
      <c r="DD551" s="72"/>
      <c r="DE551" s="72"/>
      <c r="DF551" s="72"/>
      <c r="DG551" s="72"/>
      <c r="DH551" s="72"/>
      <c r="DI551" s="72"/>
      <c r="DJ551" s="72"/>
      <c r="DK551" s="72"/>
      <c r="DL551" s="72"/>
      <c r="DM551" s="72"/>
      <c r="DN551" s="72"/>
      <c r="DO551" s="72"/>
      <c r="DP551" s="72"/>
      <c r="DQ551" s="72"/>
      <c r="DR551" s="72"/>
      <c r="DS551" s="72"/>
      <c r="DT551" s="72"/>
      <c r="DU551" s="72"/>
      <c r="DV551" s="72"/>
      <c r="DW551" s="72"/>
      <c r="DX551" s="72"/>
      <c r="DY551" s="72"/>
      <c r="DZ551" s="72"/>
      <c r="EA551" s="72"/>
      <c r="EB551" s="72"/>
      <c r="EC551" s="72"/>
      <c r="ED551" s="72"/>
      <c r="EE551" s="72"/>
      <c r="EF551" s="72"/>
      <c r="EG551" s="72"/>
      <c r="EH551" s="72"/>
      <c r="EI551" s="72"/>
      <c r="EJ551" s="72"/>
      <c r="EK551" s="72"/>
      <c r="EL551" s="79"/>
      <c r="EM551" s="79"/>
      <c r="EN551" s="79"/>
      <c r="EO551" s="80"/>
      <c r="EP551" s="78"/>
    </row>
    <row r="552" spans="2:146" ht="11.25" customHeight="1" x14ac:dyDescent="0.2">
      <c r="B552" s="70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1"/>
      <c r="CG552" s="71"/>
      <c r="CH552" s="71"/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1"/>
      <c r="CV552" s="71"/>
      <c r="CW552" s="71"/>
      <c r="CX552" s="71"/>
      <c r="CY552" s="72"/>
      <c r="CZ552" s="72"/>
      <c r="DA552" s="72"/>
      <c r="DB552" s="72"/>
      <c r="DC552" s="72"/>
      <c r="DD552" s="72"/>
      <c r="DE552" s="72"/>
      <c r="DF552" s="72"/>
      <c r="DG552" s="72"/>
      <c r="DH552" s="72"/>
      <c r="DI552" s="72"/>
      <c r="DJ552" s="72"/>
      <c r="DK552" s="72"/>
      <c r="DL552" s="72"/>
      <c r="DM552" s="72"/>
      <c r="DN552" s="72"/>
      <c r="DO552" s="72"/>
      <c r="DP552" s="72"/>
      <c r="DQ552" s="72"/>
      <c r="DR552" s="72"/>
      <c r="DS552" s="72"/>
      <c r="DT552" s="72"/>
      <c r="DU552" s="72"/>
      <c r="DV552" s="72"/>
      <c r="DW552" s="72"/>
      <c r="DX552" s="72"/>
      <c r="DY552" s="72"/>
      <c r="DZ552" s="72"/>
      <c r="EA552" s="72"/>
      <c r="EB552" s="72"/>
      <c r="EC552" s="72"/>
      <c r="ED552" s="72"/>
      <c r="EE552" s="72"/>
      <c r="EF552" s="72"/>
      <c r="EG552" s="72"/>
      <c r="EH552" s="72"/>
      <c r="EI552" s="72"/>
      <c r="EJ552" s="72"/>
      <c r="EK552" s="72"/>
      <c r="EL552" s="79"/>
      <c r="EM552" s="79"/>
      <c r="EN552" s="79"/>
      <c r="EO552" s="80"/>
      <c r="EP552" s="78"/>
    </row>
    <row r="553" spans="2:146" ht="11.25" customHeight="1" x14ac:dyDescent="0.2">
      <c r="B553" s="70"/>
      <c r="C553" s="71"/>
      <c r="D553" s="71"/>
      <c r="E553" s="71"/>
      <c r="F553" s="71"/>
      <c r="G553" s="71" t="s">
        <v>597</v>
      </c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 t="s">
        <v>115</v>
      </c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 t="str">
        <f>TEXT(자재단가!R16,"#,##0.#######")</f>
        <v>5,352.</v>
      </c>
      <c r="AW553" s="71"/>
      <c r="AX553" s="71"/>
      <c r="AY553" s="71"/>
      <c r="AZ553" s="71"/>
      <c r="BA553" s="71"/>
      <c r="BB553" s="71"/>
      <c r="BC553" s="71"/>
      <c r="BD553" s="71" t="s">
        <v>542</v>
      </c>
      <c r="BE553" s="71"/>
      <c r="BF553" s="71"/>
      <c r="BG553" s="71" t="str">
        <f>TEXT(0.18,"#,##0.#######")</f>
        <v>0.18</v>
      </c>
      <c r="BH553" s="71"/>
      <c r="BI553" s="71"/>
      <c r="BJ553" s="71"/>
      <c r="BK553" s="71"/>
      <c r="BL553" s="71" t="s">
        <v>254</v>
      </c>
      <c r="BM553" s="71"/>
      <c r="BN553" s="71" t="str">
        <f>TEXT(TRUNC(AV553*BG553,1),"#,##0.#")</f>
        <v>963.3</v>
      </c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1"/>
      <c r="CH553" s="71"/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1"/>
      <c r="CV553" s="71"/>
      <c r="CW553" s="71"/>
      <c r="CX553" s="71"/>
      <c r="CY553" s="72"/>
      <c r="CZ553" s="72"/>
      <c r="DA553" s="72"/>
      <c r="DB553" s="72"/>
      <c r="DC553" s="72"/>
      <c r="DD553" s="72"/>
      <c r="DE553" s="72"/>
      <c r="DF553" s="72"/>
      <c r="DG553" s="72"/>
      <c r="DH553" s="72"/>
      <c r="DI553" s="72"/>
      <c r="DJ553" s="72"/>
      <c r="DK553" s="72"/>
      <c r="DL553" s="72"/>
      <c r="DM553" s="72"/>
      <c r="DN553" s="72"/>
      <c r="DO553" s="72"/>
      <c r="DP553" s="72"/>
      <c r="DQ553" s="72"/>
      <c r="DR553" s="72"/>
      <c r="DS553" s="72"/>
      <c r="DT553" s="72"/>
      <c r="DU553" s="72"/>
      <c r="DV553" s="72"/>
      <c r="DW553" s="72"/>
      <c r="DX553" s="72"/>
      <c r="DY553" s="72"/>
      <c r="DZ553" s="72"/>
      <c r="EA553" s="72"/>
      <c r="EB553" s="72"/>
      <c r="EC553" s="72"/>
      <c r="ED553" s="72"/>
      <c r="EE553" s="72"/>
      <c r="EF553" s="72"/>
      <c r="EG553" s="72"/>
      <c r="EH553" s="72"/>
      <c r="EI553" s="72"/>
      <c r="EJ553" s="72"/>
      <c r="EK553" s="72"/>
      <c r="EL553" s="79">
        <f>EN553+EM553+EO553</f>
        <v>963.3</v>
      </c>
      <c r="EM553" s="79"/>
      <c r="EN553" s="79"/>
      <c r="EO553" s="80" t="str">
        <f>BN553</f>
        <v>963.3</v>
      </c>
      <c r="EP553" s="78"/>
    </row>
    <row r="554" spans="2:146" ht="11.25" customHeight="1" x14ac:dyDescent="0.2">
      <c r="B554" s="70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1"/>
      <c r="CV554" s="71"/>
      <c r="CW554" s="71"/>
      <c r="CX554" s="71"/>
      <c r="CY554" s="72"/>
      <c r="CZ554" s="72"/>
      <c r="DA554" s="72"/>
      <c r="DB554" s="72"/>
      <c r="DC554" s="72"/>
      <c r="DD554" s="72"/>
      <c r="DE554" s="72"/>
      <c r="DF554" s="72"/>
      <c r="DG554" s="72"/>
      <c r="DH554" s="72"/>
      <c r="DI554" s="72"/>
      <c r="DJ554" s="72"/>
      <c r="DK554" s="72"/>
      <c r="DL554" s="72"/>
      <c r="DM554" s="72"/>
      <c r="DN554" s="72"/>
      <c r="DO554" s="72"/>
      <c r="DP554" s="72"/>
      <c r="DQ554" s="72"/>
      <c r="DR554" s="72"/>
      <c r="DS554" s="72"/>
      <c r="DT554" s="72"/>
      <c r="DU554" s="72"/>
      <c r="DV554" s="72"/>
      <c r="DW554" s="72"/>
      <c r="DX554" s="72"/>
      <c r="DY554" s="72"/>
      <c r="DZ554" s="72"/>
      <c r="EA554" s="72"/>
      <c r="EB554" s="72"/>
      <c r="EC554" s="72"/>
      <c r="ED554" s="72"/>
      <c r="EE554" s="72"/>
      <c r="EF554" s="72"/>
      <c r="EG554" s="72"/>
      <c r="EH554" s="72"/>
      <c r="EI554" s="72"/>
      <c r="EJ554" s="72"/>
      <c r="EK554" s="72"/>
      <c r="EL554" s="79"/>
      <c r="EM554" s="79"/>
      <c r="EN554" s="79"/>
      <c r="EO554" s="80"/>
      <c r="EP554" s="78"/>
    </row>
    <row r="555" spans="2:146" ht="11.25" customHeight="1" x14ac:dyDescent="0.2">
      <c r="B555" s="70"/>
      <c r="C555" s="71"/>
      <c r="D555" s="71" t="s">
        <v>463</v>
      </c>
      <c r="E555" s="71"/>
      <c r="F555" s="71"/>
      <c r="G555" s="71" t="s">
        <v>437</v>
      </c>
      <c r="H555" s="71"/>
      <c r="I555" s="71"/>
      <c r="J555" s="71"/>
      <c r="K555" s="71" t="s">
        <v>341</v>
      </c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/>
      <c r="CE555" s="71"/>
      <c r="CF555" s="71"/>
      <c r="CG555" s="71"/>
      <c r="CH555" s="71"/>
      <c r="CI555" s="71"/>
      <c r="CJ555" s="71"/>
      <c r="CK555" s="71"/>
      <c r="CL555" s="71"/>
      <c r="CM555" s="71"/>
      <c r="CN555" s="71"/>
      <c r="CO555" s="71"/>
      <c r="CP555" s="71"/>
      <c r="CQ555" s="71"/>
      <c r="CR555" s="71"/>
      <c r="CS555" s="71"/>
      <c r="CT555" s="71"/>
      <c r="CU555" s="71"/>
      <c r="CV555" s="71"/>
      <c r="CW555" s="71"/>
      <c r="CX555" s="71"/>
      <c r="CY555" s="72"/>
      <c r="CZ555" s="72"/>
      <c r="DA555" s="72"/>
      <c r="DB555" s="72"/>
      <c r="DC555" s="72"/>
      <c r="DD555" s="72"/>
      <c r="DE555" s="72"/>
      <c r="DF555" s="72"/>
      <c r="DG555" s="72"/>
      <c r="DH555" s="72"/>
      <c r="DI555" s="72"/>
      <c r="DJ555" s="72"/>
      <c r="DK555" s="72"/>
      <c r="DL555" s="72"/>
      <c r="DM555" s="72"/>
      <c r="DN555" s="72"/>
      <c r="DO555" s="72"/>
      <c r="DP555" s="72"/>
      <c r="DQ555" s="72"/>
      <c r="DR555" s="72"/>
      <c r="DS555" s="72"/>
      <c r="DT555" s="72"/>
      <c r="DU555" s="72"/>
      <c r="DV555" s="72"/>
      <c r="DW555" s="72"/>
      <c r="DX555" s="72"/>
      <c r="DY555" s="72"/>
      <c r="DZ555" s="72"/>
      <c r="EA555" s="72"/>
      <c r="EB555" s="72"/>
      <c r="EC555" s="72"/>
      <c r="ED555" s="72"/>
      <c r="EE555" s="72"/>
      <c r="EF555" s="72"/>
      <c r="EG555" s="72"/>
      <c r="EH555" s="72"/>
      <c r="EI555" s="72"/>
      <c r="EJ555" s="72"/>
      <c r="EK555" s="72"/>
      <c r="EL555" s="79"/>
      <c r="EM555" s="79"/>
      <c r="EN555" s="79"/>
      <c r="EO555" s="80"/>
      <c r="EP555" s="78"/>
    </row>
    <row r="556" spans="2:146" ht="11.25" customHeight="1" x14ac:dyDescent="0.2">
      <c r="B556" s="70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2"/>
      <c r="CZ556" s="72"/>
      <c r="DA556" s="72"/>
      <c r="DB556" s="72"/>
      <c r="DC556" s="72"/>
      <c r="DD556" s="72"/>
      <c r="DE556" s="72"/>
      <c r="DF556" s="72"/>
      <c r="DG556" s="72"/>
      <c r="DH556" s="72"/>
      <c r="DI556" s="72"/>
      <c r="DJ556" s="72"/>
      <c r="DK556" s="72"/>
      <c r="DL556" s="72"/>
      <c r="DM556" s="72"/>
      <c r="DN556" s="72"/>
      <c r="DO556" s="72"/>
      <c r="DP556" s="72"/>
      <c r="DQ556" s="72"/>
      <c r="DR556" s="72"/>
      <c r="DS556" s="72"/>
      <c r="DT556" s="72"/>
      <c r="DU556" s="72"/>
      <c r="DV556" s="72"/>
      <c r="DW556" s="72"/>
      <c r="DX556" s="72"/>
      <c r="DY556" s="72"/>
      <c r="DZ556" s="72"/>
      <c r="EA556" s="72"/>
      <c r="EB556" s="72"/>
      <c r="EC556" s="72"/>
      <c r="ED556" s="72"/>
      <c r="EE556" s="72"/>
      <c r="EF556" s="72"/>
      <c r="EG556" s="72"/>
      <c r="EH556" s="72"/>
      <c r="EI556" s="72"/>
      <c r="EJ556" s="72"/>
      <c r="EK556" s="72"/>
      <c r="EL556" s="79"/>
      <c r="EM556" s="79"/>
      <c r="EN556" s="79"/>
      <c r="EO556" s="80"/>
      <c r="EP556" s="78"/>
    </row>
    <row r="557" spans="2:146" ht="11.25" customHeight="1" x14ac:dyDescent="0.2">
      <c r="B557" s="70"/>
      <c r="C557" s="71"/>
      <c r="D557" s="71"/>
      <c r="E557" s="71"/>
      <c r="F557" s="71"/>
      <c r="G557" s="71"/>
      <c r="H557" s="71"/>
      <c r="I557" s="71" t="s">
        <v>543</v>
      </c>
      <c r="J557" s="71"/>
      <c r="K557" s="71"/>
      <c r="L557" s="71"/>
      <c r="M557" s="71"/>
      <c r="N557" s="71"/>
      <c r="O557" s="71"/>
      <c r="P557" s="71" t="s">
        <v>469</v>
      </c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1"/>
      <c r="CF557" s="71"/>
      <c r="CG557" s="71"/>
      <c r="CH557" s="71"/>
      <c r="CI557" s="71"/>
      <c r="CJ557" s="71"/>
      <c r="CK557" s="71"/>
      <c r="CL557" s="71"/>
      <c r="CM557" s="71"/>
      <c r="CN557" s="71"/>
      <c r="CO557" s="71"/>
      <c r="CP557" s="71"/>
      <c r="CQ557" s="71"/>
      <c r="CR557" s="71"/>
      <c r="CS557" s="71"/>
      <c r="CT557" s="71"/>
      <c r="CU557" s="71"/>
      <c r="CV557" s="71"/>
      <c r="CW557" s="71"/>
      <c r="CX557" s="71"/>
      <c r="CY557" s="72"/>
      <c r="CZ557" s="72"/>
      <c r="DA557" s="72"/>
      <c r="DB557" s="72"/>
      <c r="DC557" s="72"/>
      <c r="DD557" s="72"/>
      <c r="DE557" s="72"/>
      <c r="DF557" s="72"/>
      <c r="DG557" s="72"/>
      <c r="DH557" s="72"/>
      <c r="DI557" s="72"/>
      <c r="DJ557" s="72"/>
      <c r="DK557" s="72"/>
      <c r="DL557" s="72"/>
      <c r="DM557" s="72"/>
      <c r="DN557" s="72"/>
      <c r="DO557" s="72"/>
      <c r="DP557" s="72"/>
      <c r="DQ557" s="72"/>
      <c r="DR557" s="72"/>
      <c r="DS557" s="72"/>
      <c r="DT557" s="72"/>
      <c r="DU557" s="72"/>
      <c r="DV557" s="72"/>
      <c r="DW557" s="72"/>
      <c r="DX557" s="72"/>
      <c r="DY557" s="72"/>
      <c r="DZ557" s="72"/>
      <c r="EA557" s="72"/>
      <c r="EB557" s="72"/>
      <c r="EC557" s="72"/>
      <c r="ED557" s="72"/>
      <c r="EE557" s="72"/>
      <c r="EF557" s="72"/>
      <c r="EG557" s="72"/>
      <c r="EH557" s="72"/>
      <c r="EI557" s="72"/>
      <c r="EJ557" s="72"/>
      <c r="EK557" s="72"/>
      <c r="EL557" s="79"/>
      <c r="EM557" s="79"/>
      <c r="EN557" s="79"/>
      <c r="EO557" s="80"/>
      <c r="EP557" s="78"/>
    </row>
    <row r="558" spans="2:146" ht="11.25" customHeight="1" x14ac:dyDescent="0.2">
      <c r="B558" s="70"/>
      <c r="C558" s="71"/>
      <c r="D558" s="71"/>
      <c r="E558" s="71"/>
      <c r="F558" s="71"/>
      <c r="G558" s="71"/>
      <c r="H558" s="71"/>
      <c r="I558" s="71" t="s">
        <v>400</v>
      </c>
      <c r="J558" s="71"/>
      <c r="K558" s="71"/>
      <c r="L558" s="71"/>
      <c r="M558" s="71"/>
      <c r="N558" s="71"/>
      <c r="O558" s="71"/>
      <c r="P558" s="71" t="s">
        <v>469</v>
      </c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  <c r="BK558" s="71"/>
      <c r="BL558" s="71"/>
      <c r="BM558" s="71"/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/>
      <c r="CE558" s="71"/>
      <c r="CF558" s="71"/>
      <c r="CG558" s="71"/>
      <c r="CH558" s="71"/>
      <c r="CI558" s="71"/>
      <c r="CJ558" s="71"/>
      <c r="CK558" s="71"/>
      <c r="CL558" s="71"/>
      <c r="CM558" s="71"/>
      <c r="CN558" s="71"/>
      <c r="CO558" s="71"/>
      <c r="CP558" s="71"/>
      <c r="CQ558" s="71"/>
      <c r="CR558" s="71"/>
      <c r="CS558" s="71"/>
      <c r="CT558" s="71"/>
      <c r="CU558" s="71"/>
      <c r="CV558" s="71"/>
      <c r="CW558" s="71"/>
      <c r="CX558" s="71"/>
      <c r="CY558" s="72"/>
      <c r="CZ558" s="72"/>
      <c r="DA558" s="72"/>
      <c r="DB558" s="72"/>
      <c r="DC558" s="72"/>
      <c r="DD558" s="72"/>
      <c r="DE558" s="72"/>
      <c r="DF558" s="72"/>
      <c r="DG558" s="72"/>
      <c r="DH558" s="72"/>
      <c r="DI558" s="72"/>
      <c r="DJ558" s="72"/>
      <c r="DK558" s="72"/>
      <c r="DL558" s="72"/>
      <c r="DM558" s="72"/>
      <c r="DN558" s="72"/>
      <c r="DO558" s="72"/>
      <c r="DP558" s="72"/>
      <c r="DQ558" s="72"/>
      <c r="DR558" s="72"/>
      <c r="DS558" s="72"/>
      <c r="DT558" s="72"/>
      <c r="DU558" s="72"/>
      <c r="DV558" s="72"/>
      <c r="DW558" s="72"/>
      <c r="DX558" s="72"/>
      <c r="DY558" s="72"/>
      <c r="DZ558" s="72"/>
      <c r="EA558" s="72"/>
      <c r="EB558" s="72"/>
      <c r="EC558" s="72"/>
      <c r="ED558" s="72"/>
      <c r="EE558" s="72"/>
      <c r="EF558" s="72"/>
      <c r="EG558" s="72"/>
      <c r="EH558" s="72"/>
      <c r="EI558" s="72"/>
      <c r="EJ558" s="72"/>
      <c r="EK558" s="72"/>
      <c r="EL558" s="79"/>
      <c r="EM558" s="79"/>
      <c r="EN558" s="79"/>
      <c r="EO558" s="80"/>
      <c r="EP558" s="78"/>
    </row>
    <row r="559" spans="2:146" ht="11.25" customHeight="1" x14ac:dyDescent="0.2">
      <c r="B559" s="70"/>
      <c r="C559" s="71"/>
      <c r="D559" s="71"/>
      <c r="E559" s="71"/>
      <c r="F559" s="71"/>
      <c r="G559" s="71"/>
      <c r="H559" s="71"/>
      <c r="I559" s="71" t="s">
        <v>147</v>
      </c>
      <c r="J559" s="71"/>
      <c r="K559" s="71"/>
      <c r="L559" s="71"/>
      <c r="M559" s="71" t="s">
        <v>342</v>
      </c>
      <c r="N559" s="71"/>
      <c r="O559" s="71"/>
      <c r="P559" s="71" t="s">
        <v>469</v>
      </c>
      <c r="Q559" s="71"/>
      <c r="R559" s="71" t="str">
        <f>TEXT(TRUNC(EO553,0),"#,##0")</f>
        <v>963</v>
      </c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/>
      <c r="BS559" s="71"/>
      <c r="BT559" s="71"/>
      <c r="BU559" s="71"/>
      <c r="BV559" s="71"/>
      <c r="BW559" s="71"/>
      <c r="BX559" s="71"/>
      <c r="BY559" s="71"/>
      <c r="BZ559" s="71"/>
      <c r="CA559" s="71"/>
      <c r="CB559" s="71"/>
      <c r="CC559" s="71"/>
      <c r="CD559" s="71"/>
      <c r="CE559" s="71"/>
      <c r="CF559" s="71"/>
      <c r="CG559" s="71"/>
      <c r="CH559" s="71"/>
      <c r="CI559" s="71"/>
      <c r="CJ559" s="71"/>
      <c r="CK559" s="71"/>
      <c r="CL559" s="71"/>
      <c r="CM559" s="71"/>
      <c r="CN559" s="71"/>
      <c r="CO559" s="71"/>
      <c r="CP559" s="71"/>
      <c r="CQ559" s="71"/>
      <c r="CR559" s="71"/>
      <c r="CS559" s="71"/>
      <c r="CT559" s="71"/>
      <c r="CU559" s="71"/>
      <c r="CV559" s="71"/>
      <c r="CW559" s="71"/>
      <c r="CX559" s="71"/>
      <c r="CY559" s="72"/>
      <c r="CZ559" s="72"/>
      <c r="DA559" s="72"/>
      <c r="DB559" s="72"/>
      <c r="DC559" s="72"/>
      <c r="DD559" s="72"/>
      <c r="DE559" s="72"/>
      <c r="DF559" s="72"/>
      <c r="DG559" s="72"/>
      <c r="DH559" s="72"/>
      <c r="DI559" s="72"/>
      <c r="DJ559" s="72"/>
      <c r="DK559" s="72"/>
      <c r="DL559" s="72"/>
      <c r="DM559" s="72"/>
      <c r="DN559" s="72"/>
      <c r="DO559" s="72"/>
      <c r="DP559" s="72"/>
      <c r="DQ559" s="72"/>
      <c r="DR559" s="72"/>
      <c r="DS559" s="72"/>
      <c r="DT559" s="72"/>
      <c r="DU559" s="72"/>
      <c r="DV559" s="72"/>
      <c r="DW559" s="72"/>
      <c r="DX559" s="72"/>
      <c r="DY559" s="72"/>
      <c r="DZ559" s="72"/>
      <c r="EA559" s="72"/>
      <c r="EB559" s="72"/>
      <c r="EC559" s="72"/>
      <c r="ED559" s="72"/>
      <c r="EE559" s="72"/>
      <c r="EF559" s="72"/>
      <c r="EG559" s="72"/>
      <c r="EH559" s="72"/>
      <c r="EI559" s="72"/>
      <c r="EJ559" s="72"/>
      <c r="EK559" s="72"/>
      <c r="EL559" s="79"/>
      <c r="EM559" s="79"/>
      <c r="EN559" s="79"/>
      <c r="EO559" s="80"/>
      <c r="EP559" s="78"/>
    </row>
    <row r="560" spans="2:146" ht="11.25" customHeight="1" x14ac:dyDescent="0.2">
      <c r="B560" s="70"/>
      <c r="C560" s="71"/>
      <c r="D560" s="71"/>
      <c r="E560" s="71"/>
      <c r="F560" s="71"/>
      <c r="G560" s="71"/>
      <c r="H560" s="71"/>
      <c r="I560" s="71"/>
      <c r="J560" s="71"/>
      <c r="K560" s="71" t="s">
        <v>341</v>
      </c>
      <c r="L560" s="71"/>
      <c r="M560" s="71"/>
      <c r="N560" s="71"/>
      <c r="O560" s="71"/>
      <c r="P560" s="71" t="s">
        <v>469</v>
      </c>
      <c r="Q560" s="71"/>
      <c r="R560" s="71"/>
      <c r="S560" s="71" t="str">
        <f>TEXT(R559,"#,##0")</f>
        <v>963</v>
      </c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/>
      <c r="BS560" s="71"/>
      <c r="BT560" s="71"/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1"/>
      <c r="CF560" s="71"/>
      <c r="CG560" s="71"/>
      <c r="CH560" s="71"/>
      <c r="CI560" s="71"/>
      <c r="CJ560" s="71"/>
      <c r="CK560" s="71"/>
      <c r="CL560" s="71"/>
      <c r="CM560" s="71"/>
      <c r="CN560" s="71"/>
      <c r="CO560" s="71"/>
      <c r="CP560" s="71"/>
      <c r="CQ560" s="71"/>
      <c r="CR560" s="71"/>
      <c r="CS560" s="71"/>
      <c r="CT560" s="71"/>
      <c r="CU560" s="71"/>
      <c r="CV560" s="71"/>
      <c r="CW560" s="71"/>
      <c r="CX560" s="71"/>
      <c r="CY560" s="72"/>
      <c r="CZ560" s="72"/>
      <c r="DA560" s="72"/>
      <c r="DB560" s="72"/>
      <c r="DC560" s="72"/>
      <c r="DD560" s="72"/>
      <c r="DE560" s="72"/>
      <c r="DF560" s="72"/>
      <c r="DG560" s="72"/>
      <c r="DH560" s="72"/>
      <c r="DI560" s="72"/>
      <c r="DJ560" s="72"/>
      <c r="DK560" s="72"/>
      <c r="DL560" s="72"/>
      <c r="DM560" s="72"/>
      <c r="DN560" s="72"/>
      <c r="DO560" s="72"/>
      <c r="DP560" s="72"/>
      <c r="DQ560" s="72"/>
      <c r="DR560" s="72"/>
      <c r="DS560" s="72"/>
      <c r="DT560" s="72"/>
      <c r="DU560" s="72"/>
      <c r="DV560" s="72"/>
      <c r="DW560" s="72"/>
      <c r="DX560" s="72"/>
      <c r="DY560" s="72"/>
      <c r="DZ560" s="72"/>
      <c r="EA560" s="72"/>
      <c r="EB560" s="72"/>
      <c r="EC560" s="72"/>
      <c r="ED560" s="72"/>
      <c r="EE560" s="72"/>
      <c r="EF560" s="72"/>
      <c r="EG560" s="72"/>
      <c r="EH560" s="72"/>
      <c r="EI560" s="72"/>
      <c r="EJ560" s="72"/>
      <c r="EK560" s="72"/>
      <c r="EL560" s="81">
        <f>EN560+EM560+EO560</f>
        <v>963</v>
      </c>
      <c r="EM560" s="79"/>
      <c r="EN560" s="79"/>
      <c r="EO560" s="80" t="str">
        <f>TEXT(R559,"#,##0")</f>
        <v>963</v>
      </c>
      <c r="EP560" s="78"/>
    </row>
    <row r="561" spans="2:146" ht="11.25" customHeight="1" x14ac:dyDescent="0.2">
      <c r="B561" s="73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N561" s="64"/>
      <c r="AO561" s="64"/>
      <c r="AP561" s="64"/>
      <c r="AQ561" s="64"/>
      <c r="AR561" s="64"/>
      <c r="AS561" s="64"/>
      <c r="AT561" s="64"/>
      <c r="AU561" s="64"/>
      <c r="AV561" s="64"/>
      <c r="AW561" s="64"/>
      <c r="AX561" s="64"/>
      <c r="AY561" s="64"/>
      <c r="AZ561" s="64"/>
      <c r="BA561" s="64"/>
      <c r="BB561" s="64"/>
      <c r="BC561" s="64"/>
      <c r="BD561" s="64"/>
      <c r="BE561" s="64"/>
      <c r="BF561" s="64"/>
      <c r="BG561" s="64"/>
      <c r="BH561" s="64"/>
      <c r="BI561" s="64"/>
      <c r="BJ561" s="64"/>
      <c r="BK561" s="64"/>
      <c r="BL561" s="64"/>
      <c r="BM561" s="64"/>
      <c r="BN561" s="64"/>
      <c r="BO561" s="64"/>
      <c r="BP561" s="64"/>
      <c r="BQ561" s="64"/>
      <c r="BR561" s="64"/>
      <c r="BS561" s="64"/>
      <c r="BT561" s="64"/>
      <c r="BU561" s="64"/>
      <c r="BV561" s="64"/>
      <c r="BW561" s="64"/>
      <c r="BX561" s="64"/>
      <c r="BY561" s="64"/>
      <c r="BZ561" s="64"/>
      <c r="CA561" s="64"/>
      <c r="CB561" s="64"/>
      <c r="CC561" s="64"/>
      <c r="CD561" s="64"/>
      <c r="CE561" s="64"/>
      <c r="CF561" s="64"/>
      <c r="CG561" s="64"/>
      <c r="CH561" s="64"/>
      <c r="CI561" s="64"/>
      <c r="CJ561" s="64"/>
      <c r="CK561" s="64"/>
      <c r="CL561" s="64"/>
      <c r="CM561" s="64"/>
      <c r="CN561" s="64"/>
      <c r="CO561" s="64"/>
      <c r="CP561" s="64"/>
      <c r="CQ561" s="64"/>
      <c r="CR561" s="64"/>
      <c r="CS561" s="64"/>
      <c r="CT561" s="64"/>
      <c r="CU561" s="64"/>
      <c r="CV561" s="64"/>
      <c r="CW561" s="64"/>
      <c r="CX561" s="64"/>
      <c r="CY561" s="74"/>
      <c r="CZ561" s="74"/>
      <c r="DA561" s="74"/>
      <c r="DB561" s="74"/>
      <c r="DC561" s="74"/>
      <c r="DD561" s="74"/>
      <c r="DE561" s="74"/>
      <c r="DF561" s="74"/>
      <c r="DG561" s="74"/>
      <c r="DH561" s="74"/>
      <c r="DI561" s="74"/>
      <c r="DJ561" s="74"/>
      <c r="DK561" s="74"/>
      <c r="DL561" s="74"/>
      <c r="DM561" s="74"/>
      <c r="DN561" s="74"/>
      <c r="DO561" s="74"/>
      <c r="DP561" s="74"/>
      <c r="DQ561" s="74"/>
      <c r="DR561" s="74"/>
      <c r="DS561" s="74"/>
      <c r="DT561" s="74"/>
      <c r="DU561" s="74"/>
      <c r="DV561" s="74"/>
      <c r="DW561" s="74"/>
      <c r="DX561" s="74"/>
      <c r="DY561" s="74"/>
      <c r="DZ561" s="74"/>
      <c r="EA561" s="74"/>
      <c r="EB561" s="74"/>
      <c r="EC561" s="74"/>
      <c r="ED561" s="74"/>
      <c r="EE561" s="74"/>
      <c r="EF561" s="74"/>
      <c r="EG561" s="74"/>
      <c r="EH561" s="74"/>
      <c r="EI561" s="74"/>
      <c r="EJ561" s="74"/>
      <c r="EK561" s="74"/>
      <c r="EL561" s="82"/>
      <c r="EM561" s="82"/>
      <c r="EN561" s="82"/>
      <c r="EO561" s="83"/>
      <c r="EP561" s="78"/>
    </row>
    <row r="562" spans="2:146" x14ac:dyDescent="0.2">
      <c r="B562" s="8"/>
      <c r="C562" s="8"/>
      <c r="D562" s="8"/>
      <c r="E562" s="8"/>
      <c r="F562" s="8"/>
    </row>
  </sheetData>
  <mergeCells count="2">
    <mergeCell ref="B3:EK3"/>
    <mergeCell ref="B1:EO2"/>
  </mergeCells>
  <phoneticPr fontId="5" type="noConversion"/>
  <pageMargins left="0.78740157480314965" right="3.937007874015748E-2" top="0.6692913385826772" bottom="0.59055118110236215" header="0.5" footer="0.5"/>
  <pageSetup paperSize="9" scale="70" orientation="landscape" r:id="rId1"/>
  <headerFooter alignWithMargins="0"/>
  <rowBreaks count="9" manualBreakCount="9">
    <brk id="61" min="2" max="145" man="1"/>
    <brk id="118" min="2" max="145" man="1"/>
    <brk id="175" min="2" max="145" man="1"/>
    <brk id="232" min="2" max="145" man="1"/>
    <brk id="289" min="2" max="145" man="1"/>
    <brk id="346" min="2" max="145" man="1"/>
    <brk id="403" min="2" max="145" man="1"/>
    <brk id="460" min="2" max="145" man="1"/>
    <brk id="517" min="2" max="14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C13"/>
  <sheetViews>
    <sheetView view="pageBreakPreview" zoomScale="60" zoomScaleNormal="100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140625" customWidth="1"/>
    <col min="3" max="3" width="30.85546875" customWidth="1"/>
    <col min="4" max="4" width="28.28515625" customWidth="1"/>
    <col min="5" max="5" width="10.28515625" customWidth="1"/>
    <col min="6" max="9" width="19.28515625" customWidth="1"/>
  </cols>
  <sheetData>
    <row r="1" spans="2:29" ht="24.95" customHeight="1" x14ac:dyDescent="0.2">
      <c r="B1" s="110" t="s">
        <v>313</v>
      </c>
      <c r="C1" s="110"/>
      <c r="D1" s="110"/>
      <c r="E1" s="110"/>
      <c r="F1" s="110"/>
      <c r="G1" s="110"/>
      <c r="H1" s="110"/>
      <c r="I1" s="110"/>
    </row>
    <row r="2" spans="2:29" ht="9.9499999999999993" customHeight="1" x14ac:dyDescent="0.2">
      <c r="B2" s="111"/>
      <c r="C2" s="111"/>
      <c r="D2" s="111"/>
      <c r="E2" s="111"/>
      <c r="F2" s="111"/>
      <c r="G2" s="111"/>
      <c r="H2" s="111"/>
      <c r="I2" s="111"/>
    </row>
    <row r="3" spans="2:29" ht="30.75" customHeight="1" x14ac:dyDescent="0.2">
      <c r="B3" s="1" t="s">
        <v>168</v>
      </c>
      <c r="C3" s="2" t="s">
        <v>413</v>
      </c>
      <c r="D3" s="2" t="s">
        <v>501</v>
      </c>
      <c r="E3" s="2" t="s">
        <v>244</v>
      </c>
      <c r="F3" s="2" t="s">
        <v>636</v>
      </c>
      <c r="G3" s="2" t="s">
        <v>400</v>
      </c>
      <c r="H3" s="2" t="s">
        <v>543</v>
      </c>
      <c r="I3" s="3" t="s">
        <v>44</v>
      </c>
      <c r="Z3" t="s">
        <v>408</v>
      </c>
      <c r="AA3" t="s">
        <v>453</v>
      </c>
      <c r="AB3" t="s">
        <v>648</v>
      </c>
      <c r="AC3" t="s">
        <v>427</v>
      </c>
    </row>
    <row r="4" spans="2:29" ht="19.7" customHeight="1" x14ac:dyDescent="0.2">
      <c r="B4" s="15" t="s">
        <v>187</v>
      </c>
      <c r="C4" s="16" t="s">
        <v>541</v>
      </c>
      <c r="D4" s="16" t="s">
        <v>159</v>
      </c>
      <c r="E4" s="17" t="s">
        <v>467</v>
      </c>
      <c r="F4" s="57">
        <f t="shared" ref="F4:F12" si="0">H4+G4+I4</f>
        <v>83910</v>
      </c>
      <c r="G4" s="57">
        <f>기계경비!AA4</f>
        <v>11017</v>
      </c>
      <c r="H4" s="57">
        <f>기계경비!AB4</f>
        <v>59020</v>
      </c>
      <c r="I4" s="65">
        <f>기계경비!AC4</f>
        <v>13873</v>
      </c>
      <c r="Z4" s="14">
        <v>83910</v>
      </c>
      <c r="AA4" s="14">
        <v>59020</v>
      </c>
      <c r="AB4" s="14">
        <v>11017</v>
      </c>
      <c r="AC4" s="14">
        <v>13873</v>
      </c>
    </row>
    <row r="5" spans="2:29" ht="19.7" customHeight="1" x14ac:dyDescent="0.2">
      <c r="B5" s="15" t="s">
        <v>617</v>
      </c>
      <c r="C5" s="16" t="s">
        <v>541</v>
      </c>
      <c r="D5" s="16" t="s">
        <v>563</v>
      </c>
      <c r="E5" s="17" t="s">
        <v>467</v>
      </c>
      <c r="F5" s="57">
        <f t="shared" si="0"/>
        <v>98528</v>
      </c>
      <c r="G5" s="57">
        <f>기계경비!AA10</f>
        <v>21994</v>
      </c>
      <c r="H5" s="57">
        <f>기계경비!AB10</f>
        <v>59020</v>
      </c>
      <c r="I5" s="65">
        <f>기계경비!AC10</f>
        <v>17514</v>
      </c>
      <c r="Z5" s="14">
        <v>98528</v>
      </c>
      <c r="AA5" s="14">
        <v>59020</v>
      </c>
      <c r="AB5" s="14">
        <v>21994</v>
      </c>
      <c r="AC5" s="14">
        <v>17514</v>
      </c>
    </row>
    <row r="6" spans="2:29" ht="19.7" customHeight="1" x14ac:dyDescent="0.2">
      <c r="B6" s="15" t="s">
        <v>258</v>
      </c>
      <c r="C6" s="16" t="s">
        <v>261</v>
      </c>
      <c r="D6" s="16" t="s">
        <v>275</v>
      </c>
      <c r="E6" s="17" t="s">
        <v>467</v>
      </c>
      <c r="F6" s="57">
        <f t="shared" si="0"/>
        <v>112333</v>
      </c>
      <c r="G6" s="57">
        <f>기계경비!AA16</f>
        <v>26193</v>
      </c>
      <c r="H6" s="57">
        <f>기계경비!AB16</f>
        <v>59020</v>
      </c>
      <c r="I6" s="65">
        <f>기계경비!AC16</f>
        <v>27120</v>
      </c>
      <c r="Z6" s="14">
        <v>112333</v>
      </c>
      <c r="AA6" s="14">
        <v>59020</v>
      </c>
      <c r="AB6" s="14">
        <v>26193</v>
      </c>
      <c r="AC6" s="14">
        <v>27120</v>
      </c>
    </row>
    <row r="7" spans="2:29" ht="19.7" customHeight="1" x14ac:dyDescent="0.2">
      <c r="B7" s="15" t="s">
        <v>493</v>
      </c>
      <c r="C7" s="16" t="s">
        <v>283</v>
      </c>
      <c r="D7" s="16" t="s">
        <v>652</v>
      </c>
      <c r="E7" s="17" t="s">
        <v>467</v>
      </c>
      <c r="F7" s="57">
        <f t="shared" si="0"/>
        <v>118098</v>
      </c>
      <c r="G7" s="57">
        <f>기계경비!AA22</f>
        <v>41764</v>
      </c>
      <c r="H7" s="57">
        <f>기계경비!AB22</f>
        <v>59020</v>
      </c>
      <c r="I7" s="65">
        <f>기계경비!AC22</f>
        <v>17314</v>
      </c>
      <c r="Z7" s="14">
        <v>118098</v>
      </c>
      <c r="AA7" s="14">
        <v>59020</v>
      </c>
      <c r="AB7" s="14">
        <v>41764</v>
      </c>
      <c r="AC7" s="14">
        <v>17314</v>
      </c>
    </row>
    <row r="8" spans="2:29" ht="19.7" customHeight="1" x14ac:dyDescent="0.2">
      <c r="B8" s="15" t="s">
        <v>210</v>
      </c>
      <c r="C8" s="16" t="s">
        <v>498</v>
      </c>
      <c r="D8" s="16" t="s">
        <v>77</v>
      </c>
      <c r="E8" s="17" t="s">
        <v>467</v>
      </c>
      <c r="F8" s="57">
        <f t="shared" si="0"/>
        <v>120074</v>
      </c>
      <c r="G8" s="57">
        <f>기계경비!AA28</f>
        <v>39956</v>
      </c>
      <c r="H8" s="57">
        <f>기계경비!AB28</f>
        <v>59020</v>
      </c>
      <c r="I8" s="65">
        <f>기계경비!AC28</f>
        <v>21098</v>
      </c>
      <c r="Z8" s="14">
        <v>120074</v>
      </c>
      <c r="AA8" s="14">
        <v>59020</v>
      </c>
      <c r="AB8" s="14">
        <v>39956</v>
      </c>
      <c r="AC8" s="14">
        <v>21098</v>
      </c>
    </row>
    <row r="9" spans="2:29" ht="19.7" customHeight="1" x14ac:dyDescent="0.2">
      <c r="B9" s="15" t="s">
        <v>596</v>
      </c>
      <c r="C9" s="16" t="s">
        <v>484</v>
      </c>
      <c r="D9" s="16" t="s">
        <v>536</v>
      </c>
      <c r="E9" s="17" t="s">
        <v>467</v>
      </c>
      <c r="F9" s="57">
        <f t="shared" si="0"/>
        <v>42742</v>
      </c>
      <c r="G9" s="57">
        <f>기계경비!AA35</f>
        <v>4527</v>
      </c>
      <c r="H9" s="57">
        <f>기계경비!AB35</f>
        <v>36248</v>
      </c>
      <c r="I9" s="65">
        <f>기계경비!AC35</f>
        <v>1967</v>
      </c>
      <c r="Z9" s="14">
        <v>42742</v>
      </c>
      <c r="AA9" s="14">
        <v>36248</v>
      </c>
      <c r="AB9" s="14">
        <v>4527</v>
      </c>
      <c r="AC9" s="14">
        <v>1967</v>
      </c>
    </row>
    <row r="10" spans="2:29" ht="19.7" customHeight="1" x14ac:dyDescent="0.2">
      <c r="B10" s="15" t="s">
        <v>316</v>
      </c>
      <c r="C10" s="16" t="s">
        <v>10</v>
      </c>
      <c r="D10" s="16" t="s">
        <v>116</v>
      </c>
      <c r="E10" s="17" t="s">
        <v>467</v>
      </c>
      <c r="F10" s="57">
        <f t="shared" si="0"/>
        <v>81779</v>
      </c>
      <c r="G10" s="57">
        <f>기계경비!AA41</f>
        <v>22015</v>
      </c>
      <c r="H10" s="57">
        <f>기계경비!AB41</f>
        <v>49778</v>
      </c>
      <c r="I10" s="65">
        <f>기계경비!AC41</f>
        <v>9986</v>
      </c>
      <c r="Z10" s="14">
        <v>81779</v>
      </c>
      <c r="AA10" s="14">
        <v>49778</v>
      </c>
      <c r="AB10" s="14">
        <v>22015</v>
      </c>
      <c r="AC10" s="14">
        <v>9986</v>
      </c>
    </row>
    <row r="11" spans="2:29" ht="19.7" customHeight="1" x14ac:dyDescent="0.2">
      <c r="B11" s="15" t="s">
        <v>598</v>
      </c>
      <c r="C11" s="16" t="s">
        <v>541</v>
      </c>
      <c r="D11" s="16" t="s">
        <v>275</v>
      </c>
      <c r="E11" s="17" t="s">
        <v>467</v>
      </c>
      <c r="F11" s="57">
        <f t="shared" si="0"/>
        <v>105103</v>
      </c>
      <c r="G11" s="57">
        <f>기계경비!AA47</f>
        <v>22660</v>
      </c>
      <c r="H11" s="57">
        <f>기계경비!AB47</f>
        <v>59020</v>
      </c>
      <c r="I11" s="65">
        <f>기계경비!AC47</f>
        <v>23423</v>
      </c>
      <c r="Z11" s="14">
        <v>105103</v>
      </c>
      <c r="AA11" s="14">
        <v>59020</v>
      </c>
      <c r="AB11" s="14">
        <v>22660</v>
      </c>
      <c r="AC11" s="14">
        <v>23423</v>
      </c>
    </row>
    <row r="12" spans="2:29" ht="19.7" customHeight="1" x14ac:dyDescent="0.2">
      <c r="B12" s="20" t="s">
        <v>311</v>
      </c>
      <c r="C12" s="21" t="s">
        <v>298</v>
      </c>
      <c r="D12" s="21" t="s">
        <v>638</v>
      </c>
      <c r="E12" s="22" t="s">
        <v>467</v>
      </c>
      <c r="F12" s="66">
        <f t="shared" si="0"/>
        <v>39059</v>
      </c>
      <c r="G12" s="66">
        <f>기계경비!AA53</f>
        <v>2191</v>
      </c>
      <c r="H12" s="66">
        <f>기계경비!AB53</f>
        <v>36248</v>
      </c>
      <c r="I12" s="67">
        <f>기계경비!AC53</f>
        <v>620</v>
      </c>
      <c r="Z12" s="14">
        <v>39059</v>
      </c>
      <c r="AA12" s="14">
        <v>36248</v>
      </c>
      <c r="AB12" s="14">
        <v>2191</v>
      </c>
      <c r="AC12" s="14">
        <v>620</v>
      </c>
    </row>
    <row r="13" spans="2:29" x14ac:dyDescent="0.2">
      <c r="B13" s="8"/>
      <c r="C13" s="8"/>
      <c r="D13" s="8"/>
      <c r="E13" s="8"/>
      <c r="F13" s="8"/>
      <c r="G13" s="8"/>
      <c r="H13" s="8"/>
      <c r="I13" s="8"/>
    </row>
  </sheetData>
  <mergeCells count="1">
    <mergeCell ref="B1:I2"/>
  </mergeCells>
  <phoneticPr fontId="5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D59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30.5703125" customWidth="1"/>
    <col min="3" max="3" width="25" customWidth="1"/>
    <col min="4" max="25" width="2" customWidth="1"/>
    <col min="26" max="26" width="11.140625" customWidth="1"/>
    <col min="27" max="29" width="10.42578125" customWidth="1"/>
    <col min="30" max="30" width="12.140625" customWidth="1"/>
  </cols>
  <sheetData>
    <row r="1" spans="2:30" ht="24.95" customHeight="1" x14ac:dyDescent="0.2">
      <c r="B1" s="110" t="s">
        <v>94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</row>
    <row r="2" spans="2:30" ht="9.9499999999999993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</row>
    <row r="3" spans="2:30" ht="30.75" customHeight="1" x14ac:dyDescent="0.2">
      <c r="B3" s="1" t="s">
        <v>434</v>
      </c>
      <c r="C3" s="2" t="s">
        <v>1</v>
      </c>
      <c r="D3" s="122" t="s">
        <v>386</v>
      </c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" t="s">
        <v>636</v>
      </c>
      <c r="AA3" s="2" t="s">
        <v>400</v>
      </c>
      <c r="AB3" s="2" t="s">
        <v>543</v>
      </c>
      <c r="AC3" s="2" t="s">
        <v>44</v>
      </c>
      <c r="AD3" s="3" t="s">
        <v>155</v>
      </c>
    </row>
    <row r="4" spans="2:30" ht="19.7" customHeight="1" x14ac:dyDescent="0.2">
      <c r="B4" s="53" t="s">
        <v>392</v>
      </c>
      <c r="C4" s="54" t="s">
        <v>159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6">
        <f>AB4+AA4+AC4</f>
        <v>83910</v>
      </c>
      <c r="AA4" s="57">
        <f>TRUNC(AA5+AA6+AA7+AA8)</f>
        <v>11017</v>
      </c>
      <c r="AB4" s="57">
        <f>TRUNC(AB5+AB6+AB7+AB8)</f>
        <v>59020</v>
      </c>
      <c r="AC4" s="57">
        <f>TRUNC(AC5+AC6+AC7+AC8)</f>
        <v>13873</v>
      </c>
      <c r="AD4" s="58"/>
    </row>
    <row r="5" spans="2:30" ht="19.7" customHeight="1" x14ac:dyDescent="0.2">
      <c r="B5" s="59" t="s">
        <v>201</v>
      </c>
      <c r="C5" s="16" t="s">
        <v>659</v>
      </c>
      <c r="D5" s="123">
        <v>66538000</v>
      </c>
      <c r="E5" s="123"/>
      <c r="F5" s="123"/>
      <c r="G5" s="123"/>
      <c r="H5" s="123"/>
      <c r="I5" s="123" t="s">
        <v>134</v>
      </c>
      <c r="J5" s="123"/>
      <c r="K5" s="123">
        <v>2085</v>
      </c>
      <c r="L5" s="123"/>
      <c r="M5" s="123"/>
      <c r="N5" s="55" t="s">
        <v>542</v>
      </c>
      <c r="O5" s="123" t="s">
        <v>587</v>
      </c>
      <c r="P5" s="123"/>
      <c r="Q5" s="123"/>
      <c r="R5" s="55"/>
      <c r="S5" s="55"/>
      <c r="T5" s="55"/>
      <c r="U5" s="55"/>
      <c r="V5" s="55"/>
      <c r="W5" s="55"/>
      <c r="X5" s="55"/>
      <c r="Y5" s="55"/>
      <c r="Z5" s="56">
        <f>AB5+AA5+AC5</f>
        <v>13873.1</v>
      </c>
      <c r="AA5" s="60"/>
      <c r="AB5" s="60"/>
      <c r="AC5" s="60">
        <f>TRUNC(D5*K5*0.0000001,1)</f>
        <v>13873.1</v>
      </c>
      <c r="AD5" s="19" t="s">
        <v>492</v>
      </c>
    </row>
    <row r="6" spans="2:30" ht="19.7" customHeight="1" x14ac:dyDescent="0.2">
      <c r="B6" s="59" t="s">
        <v>530</v>
      </c>
      <c r="C6" s="16" t="s">
        <v>42</v>
      </c>
      <c r="D6" s="124">
        <v>5</v>
      </c>
      <c r="E6" s="123"/>
      <c r="F6" s="123"/>
      <c r="G6" s="123"/>
      <c r="H6" s="55" t="s">
        <v>509</v>
      </c>
      <c r="I6" s="55" t="s">
        <v>542</v>
      </c>
      <c r="J6" s="123">
        <f>자재단가!R5</f>
        <v>1821</v>
      </c>
      <c r="K6" s="123"/>
      <c r="L6" s="123"/>
      <c r="M6" s="123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6">
        <f>AB6+AA6+AC6</f>
        <v>9105</v>
      </c>
      <c r="AA6" s="60">
        <f>TRUNC(D6*J6,1)</f>
        <v>9105</v>
      </c>
      <c r="AB6" s="60"/>
      <c r="AC6" s="60"/>
      <c r="AD6" s="19" t="s">
        <v>659</v>
      </c>
    </row>
    <row r="7" spans="2:30" ht="19.7" customHeight="1" x14ac:dyDescent="0.2">
      <c r="B7" s="59" t="s">
        <v>54</v>
      </c>
      <c r="C7" s="16" t="s">
        <v>367</v>
      </c>
      <c r="D7" s="124">
        <v>21</v>
      </c>
      <c r="E7" s="123"/>
      <c r="F7" s="123"/>
      <c r="G7" s="123"/>
      <c r="H7" s="55" t="s">
        <v>144</v>
      </c>
      <c r="I7" s="55" t="s">
        <v>542</v>
      </c>
      <c r="J7" s="123">
        <f>AA6</f>
        <v>9105</v>
      </c>
      <c r="K7" s="123"/>
      <c r="L7" s="123"/>
      <c r="M7" s="123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6">
        <f>AB7+AA7+AC7</f>
        <v>1912</v>
      </c>
      <c r="AA7" s="60">
        <f>TRUNC(D7/100*J7,1)</f>
        <v>1912</v>
      </c>
      <c r="AB7" s="60"/>
      <c r="AC7" s="60"/>
      <c r="AD7" s="19" t="s">
        <v>659</v>
      </c>
    </row>
    <row r="8" spans="2:30" ht="19.7" customHeight="1" x14ac:dyDescent="0.2">
      <c r="B8" s="59" t="s">
        <v>154</v>
      </c>
      <c r="C8" s="16" t="s">
        <v>659</v>
      </c>
      <c r="D8" s="125">
        <v>1</v>
      </c>
      <c r="E8" s="123"/>
      <c r="F8" s="123"/>
      <c r="G8" s="55" t="s">
        <v>602</v>
      </c>
      <c r="H8" s="55" t="s">
        <v>542</v>
      </c>
      <c r="I8" s="123">
        <f>노임단가!F5</f>
        <v>283297</v>
      </c>
      <c r="J8" s="123"/>
      <c r="K8" s="123"/>
      <c r="L8" s="123"/>
      <c r="M8" s="55" t="s">
        <v>542</v>
      </c>
      <c r="N8" s="123" t="s">
        <v>446</v>
      </c>
      <c r="O8" s="123"/>
      <c r="P8" s="123"/>
      <c r="Q8" s="123"/>
      <c r="R8" s="123"/>
      <c r="S8" s="123"/>
      <c r="T8" s="123"/>
      <c r="U8" s="123"/>
      <c r="V8" s="123"/>
      <c r="W8" s="55"/>
      <c r="X8" s="55"/>
      <c r="Y8" s="55"/>
      <c r="Z8" s="56">
        <f>AB8+AA8+AC8</f>
        <v>59020.2</v>
      </c>
      <c r="AA8" s="60"/>
      <c r="AB8" s="60">
        <f>TRUNC(D8*I8*기계경비적용기준!E21,1)</f>
        <v>59020.2</v>
      </c>
      <c r="AC8" s="60"/>
      <c r="AD8" s="19" t="s">
        <v>659</v>
      </c>
    </row>
    <row r="9" spans="2:30" ht="19.7" customHeight="1" x14ac:dyDescent="0.2">
      <c r="B9" s="59" t="s">
        <v>659</v>
      </c>
      <c r="C9" s="16" t="s">
        <v>659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24"/>
      <c r="AA9" s="18"/>
      <c r="AB9" s="18"/>
      <c r="AC9" s="18"/>
      <c r="AD9" s="19" t="s">
        <v>659</v>
      </c>
    </row>
    <row r="10" spans="2:30" ht="19.7" customHeight="1" x14ac:dyDescent="0.2">
      <c r="B10" s="53" t="s">
        <v>438</v>
      </c>
      <c r="C10" s="54" t="s">
        <v>563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>
        <f>AB10+AA10+AC10</f>
        <v>98528</v>
      </c>
      <c r="AA10" s="57">
        <f>TRUNC(AA11+AA12+AA13+AA14)</f>
        <v>21994</v>
      </c>
      <c r="AB10" s="57">
        <f>TRUNC(AB11+AB12+AB13+AB14)</f>
        <v>59020</v>
      </c>
      <c r="AC10" s="57">
        <f>TRUNC(AC11+AC12+AC13+AC14)</f>
        <v>17514</v>
      </c>
      <c r="AD10" s="58"/>
    </row>
    <row r="11" spans="2:30" ht="19.7" customHeight="1" x14ac:dyDescent="0.2">
      <c r="B11" s="59" t="s">
        <v>19</v>
      </c>
      <c r="C11" s="16" t="s">
        <v>659</v>
      </c>
      <c r="D11" s="123">
        <v>84000000</v>
      </c>
      <c r="E11" s="123"/>
      <c r="F11" s="123"/>
      <c r="G11" s="123"/>
      <c r="H11" s="123"/>
      <c r="I11" s="123" t="s">
        <v>134</v>
      </c>
      <c r="J11" s="123"/>
      <c r="K11" s="123">
        <v>2085</v>
      </c>
      <c r="L11" s="123"/>
      <c r="M11" s="123"/>
      <c r="N11" s="55" t="s">
        <v>542</v>
      </c>
      <c r="O11" s="123" t="s">
        <v>587</v>
      </c>
      <c r="P11" s="123"/>
      <c r="Q11" s="123"/>
      <c r="R11" s="55"/>
      <c r="S11" s="55"/>
      <c r="T11" s="55"/>
      <c r="U11" s="55"/>
      <c r="V11" s="55"/>
      <c r="W11" s="55"/>
      <c r="X11" s="55"/>
      <c r="Y11" s="55"/>
      <c r="Z11" s="56">
        <f>AB11+AA11+AC11</f>
        <v>17514</v>
      </c>
      <c r="AA11" s="60"/>
      <c r="AB11" s="60"/>
      <c r="AC11" s="60">
        <f>TRUNC(D11*K11*0.0000001,1)</f>
        <v>17514</v>
      </c>
      <c r="AD11" s="19" t="s">
        <v>492</v>
      </c>
    </row>
    <row r="12" spans="2:30" ht="19.7" customHeight="1" x14ac:dyDescent="0.2">
      <c r="B12" s="59" t="s">
        <v>530</v>
      </c>
      <c r="C12" s="16" t="s">
        <v>42</v>
      </c>
      <c r="D12" s="124">
        <v>9.9</v>
      </c>
      <c r="E12" s="123"/>
      <c r="F12" s="123"/>
      <c r="G12" s="123"/>
      <c r="H12" s="55" t="s">
        <v>509</v>
      </c>
      <c r="I12" s="55" t="s">
        <v>542</v>
      </c>
      <c r="J12" s="123">
        <f>자재단가!R5</f>
        <v>1821</v>
      </c>
      <c r="K12" s="123"/>
      <c r="L12" s="123"/>
      <c r="M12" s="123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6">
        <f>AB12+AA12+AC12</f>
        <v>18027.900000000001</v>
      </c>
      <c r="AA12" s="60">
        <f>TRUNC(D12*J12,1)</f>
        <v>18027.900000000001</v>
      </c>
      <c r="AB12" s="60"/>
      <c r="AC12" s="60"/>
      <c r="AD12" s="19" t="s">
        <v>659</v>
      </c>
    </row>
    <row r="13" spans="2:30" ht="19.7" customHeight="1" x14ac:dyDescent="0.2">
      <c r="B13" s="59" t="s">
        <v>54</v>
      </c>
      <c r="C13" s="16" t="s">
        <v>367</v>
      </c>
      <c r="D13" s="124">
        <v>22</v>
      </c>
      <c r="E13" s="123"/>
      <c r="F13" s="123"/>
      <c r="G13" s="123"/>
      <c r="H13" s="55" t="s">
        <v>144</v>
      </c>
      <c r="I13" s="55" t="s">
        <v>542</v>
      </c>
      <c r="J13" s="123">
        <f>AA12</f>
        <v>18027.900000000001</v>
      </c>
      <c r="K13" s="123"/>
      <c r="L13" s="123"/>
      <c r="M13" s="123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6">
        <f>AB13+AA13+AC13</f>
        <v>3966.1</v>
      </c>
      <c r="AA13" s="60">
        <f>TRUNC(D13/100*J13,1)</f>
        <v>3966.1</v>
      </c>
      <c r="AB13" s="60"/>
      <c r="AC13" s="60"/>
      <c r="AD13" s="19" t="s">
        <v>659</v>
      </c>
    </row>
    <row r="14" spans="2:30" ht="19.7" customHeight="1" x14ac:dyDescent="0.2">
      <c r="B14" s="59" t="s">
        <v>154</v>
      </c>
      <c r="C14" s="16" t="s">
        <v>659</v>
      </c>
      <c r="D14" s="125">
        <v>1</v>
      </c>
      <c r="E14" s="123"/>
      <c r="F14" s="123"/>
      <c r="G14" s="55" t="s">
        <v>602</v>
      </c>
      <c r="H14" s="55" t="s">
        <v>542</v>
      </c>
      <c r="I14" s="123">
        <f>노임단가!F5</f>
        <v>283297</v>
      </c>
      <c r="J14" s="123"/>
      <c r="K14" s="123"/>
      <c r="L14" s="123"/>
      <c r="M14" s="55" t="s">
        <v>542</v>
      </c>
      <c r="N14" s="123" t="s">
        <v>446</v>
      </c>
      <c r="O14" s="123"/>
      <c r="P14" s="123"/>
      <c r="Q14" s="123"/>
      <c r="R14" s="123"/>
      <c r="S14" s="123"/>
      <c r="T14" s="123"/>
      <c r="U14" s="123"/>
      <c r="V14" s="123"/>
      <c r="W14" s="55"/>
      <c r="X14" s="55"/>
      <c r="Y14" s="55"/>
      <c r="Z14" s="56">
        <f>AB14+AA14+AC14</f>
        <v>59020.2</v>
      </c>
      <c r="AA14" s="60"/>
      <c r="AB14" s="60">
        <f>TRUNC(D14*I14*기계경비적용기준!E21,1)</f>
        <v>59020.2</v>
      </c>
      <c r="AC14" s="60"/>
      <c r="AD14" s="19" t="s">
        <v>659</v>
      </c>
    </row>
    <row r="15" spans="2:30" ht="19.7" customHeight="1" x14ac:dyDescent="0.2">
      <c r="B15" s="59" t="s">
        <v>659</v>
      </c>
      <c r="C15" s="16" t="s">
        <v>659</v>
      </c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24"/>
      <c r="AA15" s="18"/>
      <c r="AB15" s="18"/>
      <c r="AC15" s="18"/>
      <c r="AD15" s="19" t="s">
        <v>659</v>
      </c>
    </row>
    <row r="16" spans="2:30" ht="19.7" customHeight="1" x14ac:dyDescent="0.2">
      <c r="B16" s="53" t="s">
        <v>117</v>
      </c>
      <c r="C16" s="54" t="s">
        <v>275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6">
        <f>AB16+AA16+AC16</f>
        <v>112333</v>
      </c>
      <c r="AA16" s="57">
        <f>TRUNC(AA17+AA18+AA19+AA20)</f>
        <v>26193</v>
      </c>
      <c r="AB16" s="57">
        <f>TRUNC(AB17+AB18+AB19+AB20)</f>
        <v>59020</v>
      </c>
      <c r="AC16" s="57">
        <f>TRUNC(AC17+AC18+AC19+AC20)</f>
        <v>27120</v>
      </c>
      <c r="AD16" s="58"/>
    </row>
    <row r="17" spans="2:30" ht="19.7" customHeight="1" x14ac:dyDescent="0.2">
      <c r="B17" s="59" t="s">
        <v>201</v>
      </c>
      <c r="C17" s="16" t="s">
        <v>659</v>
      </c>
      <c r="D17" s="123">
        <v>119000000</v>
      </c>
      <c r="E17" s="123"/>
      <c r="F17" s="123"/>
      <c r="G17" s="123"/>
      <c r="H17" s="123"/>
      <c r="I17" s="123" t="s">
        <v>134</v>
      </c>
      <c r="J17" s="123"/>
      <c r="K17" s="123">
        <v>2279</v>
      </c>
      <c r="L17" s="123"/>
      <c r="M17" s="123"/>
      <c r="N17" s="55" t="s">
        <v>542</v>
      </c>
      <c r="O17" s="123" t="s">
        <v>587</v>
      </c>
      <c r="P17" s="123"/>
      <c r="Q17" s="123"/>
      <c r="R17" s="55"/>
      <c r="S17" s="55"/>
      <c r="T17" s="55"/>
      <c r="U17" s="55"/>
      <c r="V17" s="55"/>
      <c r="W17" s="55"/>
      <c r="X17" s="55"/>
      <c r="Y17" s="55"/>
      <c r="Z17" s="56">
        <f>AB17+AA17+AC17</f>
        <v>27120.1</v>
      </c>
      <c r="AA17" s="60"/>
      <c r="AB17" s="60"/>
      <c r="AC17" s="60">
        <f>TRUNC(D17*K17*0.0000001,1)</f>
        <v>27120.1</v>
      </c>
      <c r="AD17" s="19" t="s">
        <v>492</v>
      </c>
    </row>
    <row r="18" spans="2:30" ht="19.7" customHeight="1" x14ac:dyDescent="0.2">
      <c r="B18" s="59" t="s">
        <v>530</v>
      </c>
      <c r="C18" s="16" t="s">
        <v>42</v>
      </c>
      <c r="D18" s="124">
        <v>11.6</v>
      </c>
      <c r="E18" s="123"/>
      <c r="F18" s="123"/>
      <c r="G18" s="123"/>
      <c r="H18" s="55" t="s">
        <v>509</v>
      </c>
      <c r="I18" s="55" t="s">
        <v>542</v>
      </c>
      <c r="J18" s="123">
        <f>자재단가!R5</f>
        <v>1821</v>
      </c>
      <c r="K18" s="123"/>
      <c r="L18" s="123"/>
      <c r="M18" s="123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>
        <f>AB18+AA18+AC18</f>
        <v>21123.599999999999</v>
      </c>
      <c r="AA18" s="60">
        <f>TRUNC(D18*J18,1)</f>
        <v>21123.599999999999</v>
      </c>
      <c r="AB18" s="60"/>
      <c r="AC18" s="60"/>
      <c r="AD18" s="19" t="s">
        <v>659</v>
      </c>
    </row>
    <row r="19" spans="2:30" ht="19.7" customHeight="1" x14ac:dyDescent="0.2">
      <c r="B19" s="59" t="s">
        <v>54</v>
      </c>
      <c r="C19" s="16" t="s">
        <v>367</v>
      </c>
      <c r="D19" s="124">
        <v>24</v>
      </c>
      <c r="E19" s="123"/>
      <c r="F19" s="123"/>
      <c r="G19" s="123"/>
      <c r="H19" s="55" t="s">
        <v>144</v>
      </c>
      <c r="I19" s="55" t="s">
        <v>542</v>
      </c>
      <c r="J19" s="123">
        <f>AA18</f>
        <v>21123.599999999999</v>
      </c>
      <c r="K19" s="123"/>
      <c r="L19" s="123"/>
      <c r="M19" s="123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6">
        <f>AB19+AA19+AC19</f>
        <v>5069.6000000000004</v>
      </c>
      <c r="AA19" s="60">
        <f>TRUNC(D19/100*J19,1)</f>
        <v>5069.6000000000004</v>
      </c>
      <c r="AB19" s="60"/>
      <c r="AC19" s="60"/>
      <c r="AD19" s="19" t="s">
        <v>659</v>
      </c>
    </row>
    <row r="20" spans="2:30" ht="19.7" customHeight="1" x14ac:dyDescent="0.2">
      <c r="B20" s="59" t="s">
        <v>154</v>
      </c>
      <c r="C20" s="16" t="s">
        <v>659</v>
      </c>
      <c r="D20" s="125">
        <v>1</v>
      </c>
      <c r="E20" s="123"/>
      <c r="F20" s="123"/>
      <c r="G20" s="55" t="s">
        <v>602</v>
      </c>
      <c r="H20" s="55" t="s">
        <v>542</v>
      </c>
      <c r="I20" s="123">
        <f>노임단가!F5</f>
        <v>283297</v>
      </c>
      <c r="J20" s="123"/>
      <c r="K20" s="123"/>
      <c r="L20" s="123"/>
      <c r="M20" s="55" t="s">
        <v>542</v>
      </c>
      <c r="N20" s="123" t="s">
        <v>446</v>
      </c>
      <c r="O20" s="123"/>
      <c r="P20" s="123"/>
      <c r="Q20" s="123"/>
      <c r="R20" s="123"/>
      <c r="S20" s="123"/>
      <c r="T20" s="123"/>
      <c r="U20" s="123"/>
      <c r="V20" s="123"/>
      <c r="W20" s="55"/>
      <c r="X20" s="55"/>
      <c r="Y20" s="55"/>
      <c r="Z20" s="56">
        <f>AB20+AA20+AC20</f>
        <v>59020.2</v>
      </c>
      <c r="AA20" s="60"/>
      <c r="AB20" s="60">
        <f>TRUNC(D20*I20*기계경비적용기준!E21,1)</f>
        <v>59020.2</v>
      </c>
      <c r="AC20" s="60"/>
      <c r="AD20" s="19" t="s">
        <v>659</v>
      </c>
    </row>
    <row r="21" spans="2:30" ht="19.7" customHeight="1" x14ac:dyDescent="0.2">
      <c r="B21" s="59" t="s">
        <v>659</v>
      </c>
      <c r="C21" s="16" t="s">
        <v>659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24"/>
      <c r="AA21" s="18"/>
      <c r="AB21" s="18"/>
      <c r="AC21" s="18"/>
      <c r="AD21" s="19" t="s">
        <v>659</v>
      </c>
    </row>
    <row r="22" spans="2:30" ht="19.7" customHeight="1" x14ac:dyDescent="0.2">
      <c r="B22" s="53" t="s">
        <v>274</v>
      </c>
      <c r="C22" s="54" t="s">
        <v>652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6">
        <f>AB22+AA22+AC22</f>
        <v>118098</v>
      </c>
      <c r="AA22" s="57">
        <f>TRUNC(AA23+AA24+AA25+AA26)</f>
        <v>41764</v>
      </c>
      <c r="AB22" s="57">
        <f>TRUNC(AB23+AB24+AB25+AB26)</f>
        <v>59020</v>
      </c>
      <c r="AC22" s="57">
        <f>TRUNC(AC23+AC24+AC25+AC26)</f>
        <v>17314</v>
      </c>
      <c r="AD22" s="58"/>
    </row>
    <row r="23" spans="2:30" ht="19.7" customHeight="1" x14ac:dyDescent="0.2">
      <c r="B23" s="59" t="s">
        <v>201</v>
      </c>
      <c r="C23" s="16" t="s">
        <v>659</v>
      </c>
      <c r="D23" s="123">
        <v>67216000</v>
      </c>
      <c r="E23" s="123"/>
      <c r="F23" s="123"/>
      <c r="G23" s="123"/>
      <c r="H23" s="123"/>
      <c r="I23" s="123" t="s">
        <v>134</v>
      </c>
      <c r="J23" s="123"/>
      <c r="K23" s="123">
        <v>2576</v>
      </c>
      <c r="L23" s="123"/>
      <c r="M23" s="123"/>
      <c r="N23" s="55" t="s">
        <v>542</v>
      </c>
      <c r="O23" s="123" t="s">
        <v>587</v>
      </c>
      <c r="P23" s="123"/>
      <c r="Q23" s="123"/>
      <c r="R23" s="55"/>
      <c r="S23" s="55"/>
      <c r="T23" s="55"/>
      <c r="U23" s="55"/>
      <c r="V23" s="55"/>
      <c r="W23" s="55"/>
      <c r="X23" s="55"/>
      <c r="Y23" s="55"/>
      <c r="Z23" s="56">
        <f>AB23+AA23+AC23</f>
        <v>17314.8</v>
      </c>
      <c r="AA23" s="60"/>
      <c r="AB23" s="60"/>
      <c r="AC23" s="60">
        <f>TRUNC(D23*K23*0.0000001,1)</f>
        <v>17314.8</v>
      </c>
      <c r="AD23" s="19" t="s">
        <v>492</v>
      </c>
    </row>
    <row r="24" spans="2:30" ht="19.7" customHeight="1" x14ac:dyDescent="0.2">
      <c r="B24" s="59" t="s">
        <v>530</v>
      </c>
      <c r="C24" s="16" t="s">
        <v>42</v>
      </c>
      <c r="D24" s="124">
        <v>16.5</v>
      </c>
      <c r="E24" s="123"/>
      <c r="F24" s="123"/>
      <c r="G24" s="123"/>
      <c r="H24" s="55" t="s">
        <v>509</v>
      </c>
      <c r="I24" s="55" t="s">
        <v>542</v>
      </c>
      <c r="J24" s="123">
        <f>자재단가!R5</f>
        <v>1821</v>
      </c>
      <c r="K24" s="123"/>
      <c r="L24" s="123"/>
      <c r="M24" s="123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6">
        <f>AB24+AA24+AC24</f>
        <v>30046.5</v>
      </c>
      <c r="AA24" s="60">
        <f>TRUNC(D24*J24,1)</f>
        <v>30046.5</v>
      </c>
      <c r="AB24" s="60"/>
      <c r="AC24" s="60"/>
      <c r="AD24" s="19" t="s">
        <v>659</v>
      </c>
    </row>
    <row r="25" spans="2:30" ht="19.7" customHeight="1" x14ac:dyDescent="0.2">
      <c r="B25" s="59" t="s">
        <v>54</v>
      </c>
      <c r="C25" s="16" t="s">
        <v>367</v>
      </c>
      <c r="D25" s="124">
        <v>39</v>
      </c>
      <c r="E25" s="123"/>
      <c r="F25" s="123"/>
      <c r="G25" s="123"/>
      <c r="H25" s="55" t="s">
        <v>144</v>
      </c>
      <c r="I25" s="55" t="s">
        <v>542</v>
      </c>
      <c r="J25" s="123">
        <f>AA24</f>
        <v>30046.5</v>
      </c>
      <c r="K25" s="123"/>
      <c r="L25" s="123"/>
      <c r="M25" s="123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6">
        <f>AB25+AA25+AC25</f>
        <v>11718.1</v>
      </c>
      <c r="AA25" s="60">
        <f>TRUNC(D25/100*J25,1)</f>
        <v>11718.1</v>
      </c>
      <c r="AB25" s="60"/>
      <c r="AC25" s="60"/>
      <c r="AD25" s="19" t="s">
        <v>659</v>
      </c>
    </row>
    <row r="26" spans="2:30" ht="19.7" customHeight="1" x14ac:dyDescent="0.2">
      <c r="B26" s="59" t="s">
        <v>154</v>
      </c>
      <c r="C26" s="16" t="s">
        <v>659</v>
      </c>
      <c r="D26" s="125">
        <v>1</v>
      </c>
      <c r="E26" s="123"/>
      <c r="F26" s="123"/>
      <c r="G26" s="55" t="s">
        <v>602</v>
      </c>
      <c r="H26" s="55" t="s">
        <v>542</v>
      </c>
      <c r="I26" s="123">
        <f>노임단가!F5</f>
        <v>283297</v>
      </c>
      <c r="J26" s="123"/>
      <c r="K26" s="123"/>
      <c r="L26" s="123"/>
      <c r="M26" s="55" t="s">
        <v>542</v>
      </c>
      <c r="N26" s="123" t="s">
        <v>446</v>
      </c>
      <c r="O26" s="123"/>
      <c r="P26" s="123"/>
      <c r="Q26" s="123"/>
      <c r="R26" s="123"/>
      <c r="S26" s="123"/>
      <c r="T26" s="123"/>
      <c r="U26" s="123"/>
      <c r="V26" s="123"/>
      <c r="W26" s="55"/>
      <c r="X26" s="55"/>
      <c r="Y26" s="55"/>
      <c r="Z26" s="56">
        <f>AB26+AA26+AC26</f>
        <v>59020.2</v>
      </c>
      <c r="AA26" s="60"/>
      <c r="AB26" s="60">
        <f>TRUNC(D26*I26*기계경비적용기준!E21,1)</f>
        <v>59020.2</v>
      </c>
      <c r="AC26" s="60"/>
      <c r="AD26" s="19" t="s">
        <v>659</v>
      </c>
    </row>
    <row r="27" spans="2:30" ht="19.7" customHeight="1" x14ac:dyDescent="0.2">
      <c r="B27" s="59" t="s">
        <v>659</v>
      </c>
      <c r="C27" s="16" t="s">
        <v>659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24"/>
      <c r="AA27" s="18"/>
      <c r="AB27" s="18"/>
      <c r="AC27" s="18"/>
      <c r="AD27" s="19" t="s">
        <v>659</v>
      </c>
    </row>
    <row r="28" spans="2:30" ht="19.7" customHeight="1" x14ac:dyDescent="0.2">
      <c r="B28" s="53" t="s">
        <v>403</v>
      </c>
      <c r="C28" s="54" t="s">
        <v>77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6">
        <f t="shared" ref="Z28:Z33" si="0">AB28+AA28+AC28</f>
        <v>120074</v>
      </c>
      <c r="AA28" s="57">
        <f>TRUNC(AA29+AA30+AA31+AA32+AA33)</f>
        <v>39956</v>
      </c>
      <c r="AB28" s="57">
        <f>TRUNC(AB29+AB30+AB31+AB32+AB33)</f>
        <v>59020</v>
      </c>
      <c r="AC28" s="57">
        <f>TRUNC(AC29+AC30+AC31+AC32+AC33)</f>
        <v>21098</v>
      </c>
      <c r="AD28" s="58"/>
    </row>
    <row r="29" spans="2:30" ht="19.7" customHeight="1" x14ac:dyDescent="0.2">
      <c r="B29" s="59" t="s">
        <v>201</v>
      </c>
      <c r="C29" s="16" t="s">
        <v>659</v>
      </c>
      <c r="D29" s="123">
        <v>90653000</v>
      </c>
      <c r="E29" s="123"/>
      <c r="F29" s="123"/>
      <c r="G29" s="123"/>
      <c r="H29" s="123"/>
      <c r="I29" s="123" t="s">
        <v>134</v>
      </c>
      <c r="J29" s="123"/>
      <c r="K29" s="123">
        <v>2279</v>
      </c>
      <c r="L29" s="123"/>
      <c r="M29" s="123"/>
      <c r="N29" s="55" t="s">
        <v>542</v>
      </c>
      <c r="O29" s="123" t="s">
        <v>587</v>
      </c>
      <c r="P29" s="123"/>
      <c r="Q29" s="123"/>
      <c r="R29" s="55"/>
      <c r="S29" s="55"/>
      <c r="T29" s="55"/>
      <c r="U29" s="55"/>
      <c r="V29" s="55"/>
      <c r="W29" s="55"/>
      <c r="X29" s="55"/>
      <c r="Y29" s="55"/>
      <c r="Z29" s="56">
        <f t="shared" si="0"/>
        <v>20659.8</v>
      </c>
      <c r="AA29" s="60"/>
      <c r="AB29" s="60"/>
      <c r="AC29" s="60">
        <f>TRUNC(D29*K29*0.0000001,1)</f>
        <v>20659.8</v>
      </c>
      <c r="AD29" s="19" t="s">
        <v>492</v>
      </c>
    </row>
    <row r="30" spans="2:30" ht="19.7" customHeight="1" x14ac:dyDescent="0.2">
      <c r="B30" s="61" t="s">
        <v>310</v>
      </c>
      <c r="C30" s="21" t="s">
        <v>659</v>
      </c>
      <c r="D30" s="126">
        <v>1634000</v>
      </c>
      <c r="E30" s="126"/>
      <c r="F30" s="126"/>
      <c r="G30" s="126"/>
      <c r="H30" s="126"/>
      <c r="I30" s="126" t="s">
        <v>134</v>
      </c>
      <c r="J30" s="126"/>
      <c r="K30" s="126">
        <v>2684</v>
      </c>
      <c r="L30" s="126"/>
      <c r="M30" s="126"/>
      <c r="N30" s="13" t="s">
        <v>542</v>
      </c>
      <c r="O30" s="126" t="s">
        <v>587</v>
      </c>
      <c r="P30" s="126"/>
      <c r="Q30" s="126"/>
      <c r="R30" s="13"/>
      <c r="S30" s="13"/>
      <c r="T30" s="13"/>
      <c r="U30" s="13"/>
      <c r="V30" s="13"/>
      <c r="W30" s="13"/>
      <c r="X30" s="13"/>
      <c r="Y30" s="13"/>
      <c r="Z30" s="62">
        <f t="shared" si="0"/>
        <v>438.5</v>
      </c>
      <c r="AA30" s="63"/>
      <c r="AB30" s="63"/>
      <c r="AC30" s="63">
        <f>TRUNC(D30*K30*0.0000001,1)</f>
        <v>438.5</v>
      </c>
      <c r="AD30" s="23" t="s">
        <v>492</v>
      </c>
    </row>
    <row r="31" spans="2:30" ht="19.7" customHeight="1" x14ac:dyDescent="0.2">
      <c r="B31" s="59" t="s">
        <v>530</v>
      </c>
      <c r="C31" s="16" t="s">
        <v>42</v>
      </c>
      <c r="D31" s="124">
        <v>15.9</v>
      </c>
      <c r="E31" s="123"/>
      <c r="F31" s="123"/>
      <c r="G31" s="123"/>
      <c r="H31" s="55" t="s">
        <v>509</v>
      </c>
      <c r="I31" s="55" t="s">
        <v>542</v>
      </c>
      <c r="J31" s="123">
        <f>자재단가!R5</f>
        <v>1821</v>
      </c>
      <c r="K31" s="123"/>
      <c r="L31" s="123"/>
      <c r="M31" s="123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6">
        <f t="shared" si="0"/>
        <v>28953.9</v>
      </c>
      <c r="AA31" s="60">
        <f>TRUNC(D31*J31,1)</f>
        <v>28953.9</v>
      </c>
      <c r="AB31" s="60"/>
      <c r="AC31" s="60"/>
      <c r="AD31" s="19" t="s">
        <v>659</v>
      </c>
    </row>
    <row r="32" spans="2:30" ht="19.7" customHeight="1" x14ac:dyDescent="0.2">
      <c r="B32" s="59" t="s">
        <v>54</v>
      </c>
      <c r="C32" s="16" t="s">
        <v>367</v>
      </c>
      <c r="D32" s="124">
        <v>38</v>
      </c>
      <c r="E32" s="123"/>
      <c r="F32" s="123"/>
      <c r="G32" s="123"/>
      <c r="H32" s="55" t="s">
        <v>144</v>
      </c>
      <c r="I32" s="55" t="s">
        <v>542</v>
      </c>
      <c r="J32" s="123">
        <f>AA31</f>
        <v>28953.9</v>
      </c>
      <c r="K32" s="123"/>
      <c r="L32" s="123"/>
      <c r="M32" s="123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6">
        <f t="shared" si="0"/>
        <v>11002.4</v>
      </c>
      <c r="AA32" s="60">
        <f>TRUNC(D32/100*J32,1)</f>
        <v>11002.4</v>
      </c>
      <c r="AB32" s="60"/>
      <c r="AC32" s="60"/>
      <c r="AD32" s="19" t="s">
        <v>659</v>
      </c>
    </row>
    <row r="33" spans="2:30" ht="19.7" customHeight="1" x14ac:dyDescent="0.2">
      <c r="B33" s="59" t="s">
        <v>154</v>
      </c>
      <c r="C33" s="16" t="s">
        <v>659</v>
      </c>
      <c r="D33" s="125">
        <v>1</v>
      </c>
      <c r="E33" s="123"/>
      <c r="F33" s="123"/>
      <c r="G33" s="55" t="s">
        <v>602</v>
      </c>
      <c r="H33" s="55" t="s">
        <v>542</v>
      </c>
      <c r="I33" s="123">
        <f>노임단가!F5</f>
        <v>283297</v>
      </c>
      <c r="J33" s="123"/>
      <c r="K33" s="123"/>
      <c r="L33" s="123"/>
      <c r="M33" s="55" t="s">
        <v>542</v>
      </c>
      <c r="N33" s="123" t="s">
        <v>446</v>
      </c>
      <c r="O33" s="123"/>
      <c r="P33" s="123"/>
      <c r="Q33" s="123"/>
      <c r="R33" s="123"/>
      <c r="S33" s="123"/>
      <c r="T33" s="123"/>
      <c r="U33" s="123"/>
      <c r="V33" s="123"/>
      <c r="W33" s="55"/>
      <c r="X33" s="55"/>
      <c r="Y33" s="55"/>
      <c r="Z33" s="56">
        <f t="shared" si="0"/>
        <v>59020.2</v>
      </c>
      <c r="AA33" s="60"/>
      <c r="AB33" s="60">
        <f>TRUNC(D33*I33*기계경비적용기준!E21,1)</f>
        <v>59020.2</v>
      </c>
      <c r="AC33" s="60"/>
      <c r="AD33" s="19" t="s">
        <v>659</v>
      </c>
    </row>
    <row r="34" spans="2:30" ht="19.7" customHeight="1" x14ac:dyDescent="0.2">
      <c r="B34" s="59" t="s">
        <v>659</v>
      </c>
      <c r="C34" s="16" t="s">
        <v>659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24"/>
      <c r="AA34" s="18"/>
      <c r="AB34" s="18"/>
      <c r="AC34" s="18"/>
      <c r="AD34" s="19" t="s">
        <v>659</v>
      </c>
    </row>
    <row r="35" spans="2:30" ht="19.7" customHeight="1" x14ac:dyDescent="0.2">
      <c r="B35" s="53" t="s">
        <v>592</v>
      </c>
      <c r="C35" s="54" t="s">
        <v>536</v>
      </c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6">
        <f>AB35+AA35+AC35</f>
        <v>42742</v>
      </c>
      <c r="AA35" s="57">
        <f>TRUNC(AA36+AA37+AA38+AA39)</f>
        <v>4527</v>
      </c>
      <c r="AB35" s="57">
        <f>TRUNC(AB36+AB37+AB38+AB39)</f>
        <v>36248</v>
      </c>
      <c r="AC35" s="57">
        <f>TRUNC(AC36+AC37+AC38+AC39)</f>
        <v>1967</v>
      </c>
      <c r="AD35" s="58"/>
    </row>
    <row r="36" spans="2:30" ht="19.7" customHeight="1" x14ac:dyDescent="0.2">
      <c r="B36" s="59" t="s">
        <v>201</v>
      </c>
      <c r="C36" s="16" t="s">
        <v>659</v>
      </c>
      <c r="D36" s="123">
        <v>6966000</v>
      </c>
      <c r="E36" s="123"/>
      <c r="F36" s="123"/>
      <c r="G36" s="123"/>
      <c r="H36" s="123"/>
      <c r="I36" s="123" t="s">
        <v>134</v>
      </c>
      <c r="J36" s="123"/>
      <c r="K36" s="123">
        <v>2825</v>
      </c>
      <c r="L36" s="123"/>
      <c r="M36" s="123"/>
      <c r="N36" s="55" t="s">
        <v>542</v>
      </c>
      <c r="O36" s="123" t="s">
        <v>587</v>
      </c>
      <c r="P36" s="123"/>
      <c r="Q36" s="123"/>
      <c r="R36" s="55"/>
      <c r="S36" s="55"/>
      <c r="T36" s="55"/>
      <c r="U36" s="55"/>
      <c r="V36" s="55"/>
      <c r="W36" s="55"/>
      <c r="X36" s="55"/>
      <c r="Y36" s="55"/>
      <c r="Z36" s="56">
        <f>AB36+AA36+AC36</f>
        <v>1967.8</v>
      </c>
      <c r="AA36" s="60"/>
      <c r="AB36" s="60"/>
      <c r="AC36" s="60">
        <f>TRUNC(D36*K36*0.0000001,1)</f>
        <v>1967.8</v>
      </c>
      <c r="AD36" s="19" t="s">
        <v>492</v>
      </c>
    </row>
    <row r="37" spans="2:30" ht="19.7" customHeight="1" x14ac:dyDescent="0.2">
      <c r="B37" s="59" t="s">
        <v>530</v>
      </c>
      <c r="C37" s="16" t="s">
        <v>42</v>
      </c>
      <c r="D37" s="124">
        <v>2.2000000000000002</v>
      </c>
      <c r="E37" s="123"/>
      <c r="F37" s="123"/>
      <c r="G37" s="123"/>
      <c r="H37" s="55" t="s">
        <v>509</v>
      </c>
      <c r="I37" s="55" t="s">
        <v>542</v>
      </c>
      <c r="J37" s="123">
        <f>자재단가!R5</f>
        <v>1821</v>
      </c>
      <c r="K37" s="123"/>
      <c r="L37" s="123"/>
      <c r="M37" s="123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6">
        <f>AB37+AA37+AC37</f>
        <v>4006.2</v>
      </c>
      <c r="AA37" s="60">
        <f>TRUNC(D37*J37,1)</f>
        <v>4006.2</v>
      </c>
      <c r="AB37" s="60"/>
      <c r="AC37" s="60"/>
      <c r="AD37" s="19" t="s">
        <v>659</v>
      </c>
    </row>
    <row r="38" spans="2:30" ht="19.7" customHeight="1" x14ac:dyDescent="0.2">
      <c r="B38" s="59" t="s">
        <v>54</v>
      </c>
      <c r="C38" s="16" t="s">
        <v>367</v>
      </c>
      <c r="D38" s="124">
        <v>13</v>
      </c>
      <c r="E38" s="123"/>
      <c r="F38" s="123"/>
      <c r="G38" s="123"/>
      <c r="H38" s="55" t="s">
        <v>144</v>
      </c>
      <c r="I38" s="55" t="s">
        <v>542</v>
      </c>
      <c r="J38" s="123">
        <f>AA37</f>
        <v>4006.2</v>
      </c>
      <c r="K38" s="123"/>
      <c r="L38" s="123"/>
      <c r="M38" s="123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6">
        <f>AB38+AA38+AC38</f>
        <v>520.79999999999995</v>
      </c>
      <c r="AA38" s="60">
        <f>TRUNC(D38/100*J38,1)</f>
        <v>520.79999999999995</v>
      </c>
      <c r="AB38" s="60"/>
      <c r="AC38" s="60"/>
      <c r="AD38" s="19" t="s">
        <v>659</v>
      </c>
    </row>
    <row r="39" spans="2:30" ht="19.7" customHeight="1" x14ac:dyDescent="0.2">
      <c r="B39" s="59" t="s">
        <v>325</v>
      </c>
      <c r="C39" s="16" t="s">
        <v>659</v>
      </c>
      <c r="D39" s="125">
        <v>1</v>
      </c>
      <c r="E39" s="123"/>
      <c r="F39" s="123"/>
      <c r="G39" s="55" t="s">
        <v>602</v>
      </c>
      <c r="H39" s="55" t="s">
        <v>542</v>
      </c>
      <c r="I39" s="123">
        <f>노임단가!F9</f>
        <v>173995</v>
      </c>
      <c r="J39" s="123"/>
      <c r="K39" s="123"/>
      <c r="L39" s="123"/>
      <c r="M39" s="55" t="s">
        <v>542</v>
      </c>
      <c r="N39" s="123" t="s">
        <v>446</v>
      </c>
      <c r="O39" s="123"/>
      <c r="P39" s="123"/>
      <c r="Q39" s="123"/>
      <c r="R39" s="123"/>
      <c r="S39" s="123"/>
      <c r="T39" s="123"/>
      <c r="U39" s="123"/>
      <c r="V39" s="123"/>
      <c r="W39" s="55"/>
      <c r="X39" s="55"/>
      <c r="Y39" s="55"/>
      <c r="Z39" s="56">
        <f>AB39+AA39+AC39</f>
        <v>36248.9</v>
      </c>
      <c r="AA39" s="60"/>
      <c r="AB39" s="60">
        <f>TRUNC(D39*I39*기계경비적용기준!E21,1)</f>
        <v>36248.9</v>
      </c>
      <c r="AC39" s="60"/>
      <c r="AD39" s="19" t="s">
        <v>659</v>
      </c>
    </row>
    <row r="40" spans="2:30" ht="19.7" customHeight="1" x14ac:dyDescent="0.2">
      <c r="B40" s="59" t="s">
        <v>659</v>
      </c>
      <c r="C40" s="16" t="s">
        <v>659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24"/>
      <c r="AA40" s="18"/>
      <c r="AB40" s="18"/>
      <c r="AC40" s="18"/>
      <c r="AD40" s="19" t="s">
        <v>659</v>
      </c>
    </row>
    <row r="41" spans="2:30" ht="19.7" customHeight="1" x14ac:dyDescent="0.2">
      <c r="B41" s="53" t="s">
        <v>288</v>
      </c>
      <c r="C41" s="54" t="s">
        <v>116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6">
        <f>AB41+AA41+AC41</f>
        <v>81779</v>
      </c>
      <c r="AA41" s="57">
        <f>TRUNC(AA42+AA43+AA44+AA45)</f>
        <v>22015</v>
      </c>
      <c r="AB41" s="57">
        <f>TRUNC(AB42+AB43+AB44+AB45)</f>
        <v>49778</v>
      </c>
      <c r="AC41" s="57">
        <f>TRUNC(AC42+AC43+AC44+AC45)</f>
        <v>9986</v>
      </c>
      <c r="AD41" s="58"/>
    </row>
    <row r="42" spans="2:30" ht="19.7" customHeight="1" x14ac:dyDescent="0.2">
      <c r="B42" s="59" t="s">
        <v>201</v>
      </c>
      <c r="C42" s="16" t="s">
        <v>659</v>
      </c>
      <c r="D42" s="123">
        <v>47263000</v>
      </c>
      <c r="E42" s="123"/>
      <c r="F42" s="123"/>
      <c r="G42" s="123"/>
      <c r="H42" s="123"/>
      <c r="I42" s="123" t="s">
        <v>134</v>
      </c>
      <c r="J42" s="123"/>
      <c r="K42" s="123">
        <v>2113</v>
      </c>
      <c r="L42" s="123"/>
      <c r="M42" s="123"/>
      <c r="N42" s="55" t="s">
        <v>542</v>
      </c>
      <c r="O42" s="123" t="s">
        <v>587</v>
      </c>
      <c r="P42" s="123"/>
      <c r="Q42" s="123"/>
      <c r="R42" s="55"/>
      <c r="S42" s="55"/>
      <c r="T42" s="55"/>
      <c r="U42" s="55"/>
      <c r="V42" s="55"/>
      <c r="W42" s="55"/>
      <c r="X42" s="55"/>
      <c r="Y42" s="55"/>
      <c r="Z42" s="56">
        <f>AB42+AA42+AC42</f>
        <v>9986.6</v>
      </c>
      <c r="AA42" s="60"/>
      <c r="AB42" s="60"/>
      <c r="AC42" s="60">
        <f>TRUNC(D42*K42*0.0000001,1)</f>
        <v>9986.6</v>
      </c>
      <c r="AD42" s="19" t="s">
        <v>492</v>
      </c>
    </row>
    <row r="43" spans="2:30" ht="19.7" customHeight="1" x14ac:dyDescent="0.2">
      <c r="B43" s="59" t="s">
        <v>530</v>
      </c>
      <c r="C43" s="16" t="s">
        <v>42</v>
      </c>
      <c r="D43" s="124">
        <v>9.3000000000000007</v>
      </c>
      <c r="E43" s="123"/>
      <c r="F43" s="123"/>
      <c r="G43" s="123"/>
      <c r="H43" s="55" t="s">
        <v>509</v>
      </c>
      <c r="I43" s="55" t="s">
        <v>542</v>
      </c>
      <c r="J43" s="123">
        <f>자재단가!R5</f>
        <v>1821</v>
      </c>
      <c r="K43" s="123"/>
      <c r="L43" s="123"/>
      <c r="M43" s="123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6">
        <f>AB43+AA43+AC43</f>
        <v>16935.3</v>
      </c>
      <c r="AA43" s="60">
        <f>TRUNC(D43*J43,1)</f>
        <v>16935.3</v>
      </c>
      <c r="AB43" s="60"/>
      <c r="AC43" s="60"/>
      <c r="AD43" s="19" t="s">
        <v>659</v>
      </c>
    </row>
    <row r="44" spans="2:30" ht="19.7" customHeight="1" x14ac:dyDescent="0.2">
      <c r="B44" s="59" t="s">
        <v>54</v>
      </c>
      <c r="C44" s="16" t="s">
        <v>367</v>
      </c>
      <c r="D44" s="124">
        <v>30</v>
      </c>
      <c r="E44" s="123"/>
      <c r="F44" s="123"/>
      <c r="G44" s="123"/>
      <c r="H44" s="55" t="s">
        <v>144</v>
      </c>
      <c r="I44" s="55" t="s">
        <v>542</v>
      </c>
      <c r="J44" s="123">
        <f>AA43</f>
        <v>16935.3</v>
      </c>
      <c r="K44" s="123"/>
      <c r="L44" s="123"/>
      <c r="M44" s="123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6">
        <f>AB44+AA44+AC44</f>
        <v>5080.5</v>
      </c>
      <c r="AA44" s="60">
        <f>TRUNC(D44/100*J44,1)</f>
        <v>5080.5</v>
      </c>
      <c r="AB44" s="60"/>
      <c r="AC44" s="60"/>
      <c r="AD44" s="19" t="s">
        <v>659</v>
      </c>
    </row>
    <row r="45" spans="2:30" ht="19.7" customHeight="1" x14ac:dyDescent="0.2">
      <c r="B45" s="59" t="s">
        <v>51</v>
      </c>
      <c r="C45" s="16" t="s">
        <v>659</v>
      </c>
      <c r="D45" s="125">
        <v>1</v>
      </c>
      <c r="E45" s="123"/>
      <c r="F45" s="123"/>
      <c r="G45" s="55" t="s">
        <v>602</v>
      </c>
      <c r="H45" s="55" t="s">
        <v>542</v>
      </c>
      <c r="I45" s="123">
        <f>노임단가!F10</f>
        <v>238936</v>
      </c>
      <c r="J45" s="123"/>
      <c r="K45" s="123"/>
      <c r="L45" s="123"/>
      <c r="M45" s="55" t="s">
        <v>542</v>
      </c>
      <c r="N45" s="123" t="s">
        <v>446</v>
      </c>
      <c r="O45" s="123"/>
      <c r="P45" s="123"/>
      <c r="Q45" s="123"/>
      <c r="R45" s="123"/>
      <c r="S45" s="123"/>
      <c r="T45" s="123"/>
      <c r="U45" s="123"/>
      <c r="V45" s="123"/>
      <c r="W45" s="55"/>
      <c r="X45" s="55"/>
      <c r="Y45" s="55"/>
      <c r="Z45" s="56">
        <f>AB45+AA45+AC45</f>
        <v>49778.3</v>
      </c>
      <c r="AA45" s="60"/>
      <c r="AB45" s="60">
        <f>TRUNC(D45*I45*기계경비적용기준!E21,1)</f>
        <v>49778.3</v>
      </c>
      <c r="AC45" s="60"/>
      <c r="AD45" s="19" t="s">
        <v>659</v>
      </c>
    </row>
    <row r="46" spans="2:30" ht="19.7" customHeight="1" x14ac:dyDescent="0.2">
      <c r="B46" s="59" t="s">
        <v>659</v>
      </c>
      <c r="C46" s="16" t="s">
        <v>659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24"/>
      <c r="AA46" s="18"/>
      <c r="AB46" s="18"/>
      <c r="AC46" s="18"/>
      <c r="AD46" s="19" t="s">
        <v>659</v>
      </c>
    </row>
    <row r="47" spans="2:30" ht="19.7" customHeight="1" x14ac:dyDescent="0.2">
      <c r="B47" s="53" t="s">
        <v>16</v>
      </c>
      <c r="C47" s="54" t="s">
        <v>275</v>
      </c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6">
        <f>AB47+AA47+AC47</f>
        <v>105103</v>
      </c>
      <c r="AA47" s="57">
        <f>TRUNC(AA48+AA49+AA50+AA51)</f>
        <v>22660</v>
      </c>
      <c r="AB47" s="57">
        <f>TRUNC(AB48+AB49+AB50+AB51)</f>
        <v>59020</v>
      </c>
      <c r="AC47" s="57">
        <f>TRUNC(AC48+AC49+AC50+AC51)</f>
        <v>23423</v>
      </c>
      <c r="AD47" s="58"/>
    </row>
    <row r="48" spans="2:30" ht="19.7" customHeight="1" x14ac:dyDescent="0.2">
      <c r="B48" s="59" t="s">
        <v>19</v>
      </c>
      <c r="C48" s="16" t="s">
        <v>659</v>
      </c>
      <c r="D48" s="123">
        <v>112342000</v>
      </c>
      <c r="E48" s="123"/>
      <c r="F48" s="123"/>
      <c r="G48" s="123"/>
      <c r="H48" s="123"/>
      <c r="I48" s="123" t="s">
        <v>134</v>
      </c>
      <c r="J48" s="123"/>
      <c r="K48" s="123">
        <v>2085</v>
      </c>
      <c r="L48" s="123"/>
      <c r="M48" s="123"/>
      <c r="N48" s="55" t="s">
        <v>542</v>
      </c>
      <c r="O48" s="123" t="s">
        <v>587</v>
      </c>
      <c r="P48" s="123"/>
      <c r="Q48" s="123"/>
      <c r="R48" s="55"/>
      <c r="S48" s="55"/>
      <c r="T48" s="55"/>
      <c r="U48" s="55"/>
      <c r="V48" s="55"/>
      <c r="W48" s="55"/>
      <c r="X48" s="55"/>
      <c r="Y48" s="55"/>
      <c r="Z48" s="56">
        <f>AB48+AA48+AC48</f>
        <v>23423.3</v>
      </c>
      <c r="AA48" s="60"/>
      <c r="AB48" s="60"/>
      <c r="AC48" s="60">
        <f>TRUNC(D48*K48*0.0000001,1)</f>
        <v>23423.3</v>
      </c>
      <c r="AD48" s="19" t="s">
        <v>492</v>
      </c>
    </row>
    <row r="49" spans="2:30" ht="19.7" customHeight="1" x14ac:dyDescent="0.2">
      <c r="B49" s="59" t="s">
        <v>530</v>
      </c>
      <c r="C49" s="16" t="s">
        <v>42</v>
      </c>
      <c r="D49" s="124">
        <v>10.199999999999999</v>
      </c>
      <c r="E49" s="123"/>
      <c r="F49" s="123"/>
      <c r="G49" s="123"/>
      <c r="H49" s="55" t="s">
        <v>509</v>
      </c>
      <c r="I49" s="55" t="s">
        <v>542</v>
      </c>
      <c r="J49" s="123">
        <f>자재단가!R5</f>
        <v>1821</v>
      </c>
      <c r="K49" s="123"/>
      <c r="L49" s="123"/>
      <c r="M49" s="123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6">
        <f>AB49+AA49+AC49</f>
        <v>18574.2</v>
      </c>
      <c r="AA49" s="60">
        <f>TRUNC(D49*J49,1)</f>
        <v>18574.2</v>
      </c>
      <c r="AB49" s="60"/>
      <c r="AC49" s="60"/>
      <c r="AD49" s="19" t="s">
        <v>659</v>
      </c>
    </row>
    <row r="50" spans="2:30" ht="19.7" customHeight="1" x14ac:dyDescent="0.2">
      <c r="B50" s="59" t="s">
        <v>54</v>
      </c>
      <c r="C50" s="16" t="s">
        <v>367</v>
      </c>
      <c r="D50" s="124">
        <v>22</v>
      </c>
      <c r="E50" s="123"/>
      <c r="F50" s="123"/>
      <c r="G50" s="123"/>
      <c r="H50" s="55" t="s">
        <v>144</v>
      </c>
      <c r="I50" s="55" t="s">
        <v>542</v>
      </c>
      <c r="J50" s="123">
        <f>AA49</f>
        <v>18574.2</v>
      </c>
      <c r="K50" s="123"/>
      <c r="L50" s="123"/>
      <c r="M50" s="123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6">
        <f>AB50+AA50+AC50</f>
        <v>4086.3</v>
      </c>
      <c r="AA50" s="60">
        <f>TRUNC(D50/100*J50,1)</f>
        <v>4086.3</v>
      </c>
      <c r="AB50" s="60"/>
      <c r="AC50" s="60"/>
      <c r="AD50" s="19" t="s">
        <v>659</v>
      </c>
    </row>
    <row r="51" spans="2:30" ht="19.7" customHeight="1" x14ac:dyDescent="0.2">
      <c r="B51" s="59" t="s">
        <v>154</v>
      </c>
      <c r="C51" s="16" t="s">
        <v>659</v>
      </c>
      <c r="D51" s="125">
        <v>1</v>
      </c>
      <c r="E51" s="123"/>
      <c r="F51" s="123"/>
      <c r="G51" s="55" t="s">
        <v>602</v>
      </c>
      <c r="H51" s="55" t="s">
        <v>542</v>
      </c>
      <c r="I51" s="123">
        <f>노임단가!F5</f>
        <v>283297</v>
      </c>
      <c r="J51" s="123"/>
      <c r="K51" s="123"/>
      <c r="L51" s="123"/>
      <c r="M51" s="55" t="s">
        <v>542</v>
      </c>
      <c r="N51" s="123" t="s">
        <v>446</v>
      </c>
      <c r="O51" s="123"/>
      <c r="P51" s="123"/>
      <c r="Q51" s="123"/>
      <c r="R51" s="123"/>
      <c r="S51" s="123"/>
      <c r="T51" s="123"/>
      <c r="U51" s="123"/>
      <c r="V51" s="123"/>
      <c r="W51" s="55"/>
      <c r="X51" s="55"/>
      <c r="Y51" s="55"/>
      <c r="Z51" s="56">
        <f>AB51+AA51+AC51</f>
        <v>59020.2</v>
      </c>
      <c r="AA51" s="60"/>
      <c r="AB51" s="60">
        <f>TRUNC(D51*I51*기계경비적용기준!E21,1)</f>
        <v>59020.2</v>
      </c>
      <c r="AC51" s="60"/>
      <c r="AD51" s="19" t="s">
        <v>659</v>
      </c>
    </row>
    <row r="52" spans="2:30" ht="19.7" customHeight="1" x14ac:dyDescent="0.2">
      <c r="B52" s="59" t="s">
        <v>659</v>
      </c>
      <c r="C52" s="16" t="s">
        <v>659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24"/>
      <c r="AA52" s="18"/>
      <c r="AB52" s="18"/>
      <c r="AC52" s="18"/>
      <c r="AD52" s="19" t="s">
        <v>659</v>
      </c>
    </row>
    <row r="53" spans="2:30" ht="19.7" customHeight="1" x14ac:dyDescent="0.2">
      <c r="B53" s="53" t="s">
        <v>555</v>
      </c>
      <c r="C53" s="54" t="s">
        <v>638</v>
      </c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6">
        <f>AB53+AA53+AC53</f>
        <v>39059</v>
      </c>
      <c r="AA53" s="57">
        <f>TRUNC(AA54+AA55+AA56+AA57)</f>
        <v>2191</v>
      </c>
      <c r="AB53" s="57">
        <f>TRUNC(AB54+AB55+AB56+AB57)</f>
        <v>36248</v>
      </c>
      <c r="AC53" s="57">
        <f>TRUNC(AC54+AC55+AC56+AC57)</f>
        <v>620</v>
      </c>
      <c r="AD53" s="58"/>
    </row>
    <row r="54" spans="2:30" ht="19.7" customHeight="1" x14ac:dyDescent="0.2">
      <c r="B54" s="59" t="s">
        <v>201</v>
      </c>
      <c r="C54" s="16" t="s">
        <v>659</v>
      </c>
      <c r="D54" s="123">
        <v>1673000</v>
      </c>
      <c r="E54" s="123"/>
      <c r="F54" s="123"/>
      <c r="G54" s="123"/>
      <c r="H54" s="123"/>
      <c r="I54" s="123" t="s">
        <v>134</v>
      </c>
      <c r="J54" s="123"/>
      <c r="K54" s="123">
        <v>3708</v>
      </c>
      <c r="L54" s="123"/>
      <c r="M54" s="123"/>
      <c r="N54" s="55" t="s">
        <v>542</v>
      </c>
      <c r="O54" s="123" t="s">
        <v>587</v>
      </c>
      <c r="P54" s="123"/>
      <c r="Q54" s="123"/>
      <c r="R54" s="55"/>
      <c r="S54" s="55"/>
      <c r="T54" s="55"/>
      <c r="U54" s="55"/>
      <c r="V54" s="55"/>
      <c r="W54" s="55"/>
      <c r="X54" s="55"/>
      <c r="Y54" s="55"/>
      <c r="Z54" s="56">
        <f>AB54+AA54+AC54</f>
        <v>620.29999999999995</v>
      </c>
      <c r="AA54" s="60"/>
      <c r="AB54" s="60"/>
      <c r="AC54" s="60">
        <f>TRUNC(D54*K54*0.0000001,1)</f>
        <v>620.29999999999995</v>
      </c>
      <c r="AD54" s="19" t="s">
        <v>492</v>
      </c>
    </row>
    <row r="55" spans="2:30" ht="19.7" customHeight="1" x14ac:dyDescent="0.2">
      <c r="B55" s="59" t="s">
        <v>530</v>
      </c>
      <c r="C55" s="16" t="s">
        <v>7</v>
      </c>
      <c r="D55" s="124">
        <v>1</v>
      </c>
      <c r="E55" s="123"/>
      <c r="F55" s="123"/>
      <c r="G55" s="123"/>
      <c r="H55" s="55" t="s">
        <v>509</v>
      </c>
      <c r="I55" s="55" t="s">
        <v>542</v>
      </c>
      <c r="J55" s="123">
        <f>자재단가!R17</f>
        <v>1826</v>
      </c>
      <c r="K55" s="123"/>
      <c r="L55" s="123"/>
      <c r="M55" s="123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6">
        <f>AB55+AA55+AC55</f>
        <v>1826</v>
      </c>
      <c r="AA55" s="60">
        <f>TRUNC(D55*J55,1)</f>
        <v>1826</v>
      </c>
      <c r="AB55" s="60"/>
      <c r="AC55" s="60"/>
      <c r="AD55" s="19" t="s">
        <v>659</v>
      </c>
    </row>
    <row r="56" spans="2:30" ht="19.7" customHeight="1" x14ac:dyDescent="0.2">
      <c r="B56" s="61" t="s">
        <v>54</v>
      </c>
      <c r="C56" s="21" t="s">
        <v>367</v>
      </c>
      <c r="D56" s="127">
        <v>20</v>
      </c>
      <c r="E56" s="126"/>
      <c r="F56" s="126"/>
      <c r="G56" s="126"/>
      <c r="H56" s="13" t="s">
        <v>144</v>
      </c>
      <c r="I56" s="13" t="s">
        <v>542</v>
      </c>
      <c r="J56" s="126">
        <f>AA55</f>
        <v>1826</v>
      </c>
      <c r="K56" s="126"/>
      <c r="L56" s="126"/>
      <c r="M56" s="126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62">
        <f>AB56+AA56+AC56</f>
        <v>365.2</v>
      </c>
      <c r="AA56" s="63">
        <f>TRUNC(D56/100*J56,1)</f>
        <v>365.2</v>
      </c>
      <c r="AB56" s="63"/>
      <c r="AC56" s="63"/>
      <c r="AD56" s="23" t="s">
        <v>659</v>
      </c>
    </row>
    <row r="57" spans="2:30" ht="19.7" customHeight="1" x14ac:dyDescent="0.2">
      <c r="B57" s="59" t="s">
        <v>325</v>
      </c>
      <c r="C57" s="16" t="s">
        <v>659</v>
      </c>
      <c r="D57" s="125">
        <v>1</v>
      </c>
      <c r="E57" s="123"/>
      <c r="F57" s="123"/>
      <c r="G57" s="55" t="s">
        <v>602</v>
      </c>
      <c r="H57" s="55" t="s">
        <v>542</v>
      </c>
      <c r="I57" s="123">
        <f>노임단가!F9</f>
        <v>173995</v>
      </c>
      <c r="J57" s="123"/>
      <c r="K57" s="123"/>
      <c r="L57" s="123"/>
      <c r="M57" s="55" t="s">
        <v>542</v>
      </c>
      <c r="N57" s="123" t="s">
        <v>446</v>
      </c>
      <c r="O57" s="123"/>
      <c r="P57" s="123"/>
      <c r="Q57" s="123"/>
      <c r="R57" s="123"/>
      <c r="S57" s="123"/>
      <c r="T57" s="123"/>
      <c r="U57" s="123"/>
      <c r="V57" s="123"/>
      <c r="W57" s="55"/>
      <c r="X57" s="55"/>
      <c r="Y57" s="55"/>
      <c r="Z57" s="56">
        <f>AB57+AA57+AC57</f>
        <v>36248.9</v>
      </c>
      <c r="AA57" s="60"/>
      <c r="AB57" s="60">
        <f>TRUNC(D57*I57*기계경비적용기준!E21,1)</f>
        <v>36248.9</v>
      </c>
      <c r="AC57" s="60"/>
      <c r="AD57" s="19" t="s">
        <v>659</v>
      </c>
    </row>
    <row r="58" spans="2:30" ht="19.7" customHeight="1" x14ac:dyDescent="0.2">
      <c r="B58" s="61" t="s">
        <v>659</v>
      </c>
      <c r="C58" s="21" t="s">
        <v>659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1"/>
      <c r="AA58" s="6"/>
      <c r="AB58" s="6"/>
      <c r="AC58" s="6"/>
      <c r="AD58" s="23" t="s">
        <v>659</v>
      </c>
    </row>
    <row r="59" spans="2:30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</sheetData>
  <mergeCells count="105">
    <mergeCell ref="D56:G56"/>
    <mergeCell ref="J56:M56"/>
    <mergeCell ref="D57:F57"/>
    <mergeCell ref="I57:L57"/>
    <mergeCell ref="N57:V57"/>
    <mergeCell ref="N51:V51"/>
    <mergeCell ref="D54:H54"/>
    <mergeCell ref="I54:J54"/>
    <mergeCell ref="K54:M54"/>
    <mergeCell ref="O54:Q54"/>
    <mergeCell ref="D55:G55"/>
    <mergeCell ref="J55:M55"/>
    <mergeCell ref="D49:G49"/>
    <mergeCell ref="J49:M49"/>
    <mergeCell ref="D50:G50"/>
    <mergeCell ref="J50:M50"/>
    <mergeCell ref="D51:F51"/>
    <mergeCell ref="I51:L51"/>
    <mergeCell ref="D44:G44"/>
    <mergeCell ref="J44:M44"/>
    <mergeCell ref="D45:F45"/>
    <mergeCell ref="I45:L45"/>
    <mergeCell ref="N45:V45"/>
    <mergeCell ref="D48:H48"/>
    <mergeCell ref="I48:J48"/>
    <mergeCell ref="K48:M48"/>
    <mergeCell ref="O48:Q48"/>
    <mergeCell ref="N39:V39"/>
    <mergeCell ref="D42:H42"/>
    <mergeCell ref="I42:J42"/>
    <mergeCell ref="K42:M42"/>
    <mergeCell ref="O42:Q42"/>
    <mergeCell ref="D43:G43"/>
    <mergeCell ref="J43:M43"/>
    <mergeCell ref="D37:G37"/>
    <mergeCell ref="J37:M37"/>
    <mergeCell ref="D38:G38"/>
    <mergeCell ref="J38:M38"/>
    <mergeCell ref="D39:F39"/>
    <mergeCell ref="I39:L39"/>
    <mergeCell ref="D32:G32"/>
    <mergeCell ref="J32:M32"/>
    <mergeCell ref="D33:F33"/>
    <mergeCell ref="I33:L33"/>
    <mergeCell ref="D26:F26"/>
    <mergeCell ref="I26:L26"/>
    <mergeCell ref="N26:V26"/>
    <mergeCell ref="D29:H29"/>
    <mergeCell ref="I29:J29"/>
    <mergeCell ref="K29:M29"/>
    <mergeCell ref="O29:Q29"/>
    <mergeCell ref="N33:V33"/>
    <mergeCell ref="D36:H36"/>
    <mergeCell ref="I36:J36"/>
    <mergeCell ref="K36:M36"/>
    <mergeCell ref="O36:Q36"/>
    <mergeCell ref="D30:H30"/>
    <mergeCell ref="I30:J30"/>
    <mergeCell ref="K30:M30"/>
    <mergeCell ref="O30:Q30"/>
    <mergeCell ref="D31:G31"/>
    <mergeCell ref="J31:M31"/>
    <mergeCell ref="D24:G24"/>
    <mergeCell ref="J24:M24"/>
    <mergeCell ref="D18:G18"/>
    <mergeCell ref="J18:M18"/>
    <mergeCell ref="D19:G19"/>
    <mergeCell ref="J19:M19"/>
    <mergeCell ref="D20:F20"/>
    <mergeCell ref="I20:L20"/>
    <mergeCell ref="D25:G25"/>
    <mergeCell ref="J25:M25"/>
    <mergeCell ref="D14:F14"/>
    <mergeCell ref="I14:L14"/>
    <mergeCell ref="N14:V14"/>
    <mergeCell ref="D17:H17"/>
    <mergeCell ref="I17:J17"/>
    <mergeCell ref="K17:M17"/>
    <mergeCell ref="O17:Q17"/>
    <mergeCell ref="N20:V20"/>
    <mergeCell ref="D23:H23"/>
    <mergeCell ref="I23:J23"/>
    <mergeCell ref="K23:M23"/>
    <mergeCell ref="O23:Q23"/>
    <mergeCell ref="D12:G12"/>
    <mergeCell ref="J12:M12"/>
    <mergeCell ref="D6:G6"/>
    <mergeCell ref="J6:M6"/>
    <mergeCell ref="D7:G7"/>
    <mergeCell ref="J7:M7"/>
    <mergeCell ref="D8:F8"/>
    <mergeCell ref="I8:L8"/>
    <mergeCell ref="D13:G13"/>
    <mergeCell ref="J13:M13"/>
    <mergeCell ref="D3:Y3"/>
    <mergeCell ref="B1:AD2"/>
    <mergeCell ref="D5:H5"/>
    <mergeCell ref="I5:J5"/>
    <mergeCell ref="K5:M5"/>
    <mergeCell ref="O5:Q5"/>
    <mergeCell ref="N8:V8"/>
    <mergeCell ref="D11:H11"/>
    <mergeCell ref="I11:J11"/>
    <mergeCell ref="K11:M11"/>
    <mergeCell ref="O11:Q11"/>
  </mergeCells>
  <phoneticPr fontId="5" type="noConversion"/>
  <pageMargins left="0.98425196850393704" right="7.874015748031496E-2" top="0.6692913385826772" bottom="0.59055118110236215" header="0.5" footer="0.5"/>
  <pageSetup paperSize="9" scale="85" orientation="landscape" copies="0"/>
  <headerFooter alignWithMargins="0"/>
  <rowBreaks count="2" manualBreakCount="2">
    <brk id="30" min="2" max="30" man="1"/>
    <brk id="56" min="2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21</vt:i4>
      </vt:variant>
    </vt:vector>
  </HeadingPairs>
  <TitlesOfParts>
    <vt:vector size="33" baseType="lpstr">
      <vt:lpstr>원가계산서</vt:lpstr>
      <vt:lpstr>내역서총괄표</vt:lpstr>
      <vt:lpstr>내역서</vt:lpstr>
      <vt:lpstr>일위대가총괄표</vt:lpstr>
      <vt:lpstr>일위대가</vt:lpstr>
      <vt:lpstr>단가산출총괄표</vt:lpstr>
      <vt:lpstr>단가산출</vt:lpstr>
      <vt:lpstr>기계경비총괄표</vt:lpstr>
      <vt:lpstr>기계경비</vt:lpstr>
      <vt:lpstr>기계경비적용기준</vt:lpstr>
      <vt:lpstr>자재단가</vt:lpstr>
      <vt:lpstr>노임단가</vt:lpstr>
      <vt:lpstr>기계경비!Print_Area</vt:lpstr>
      <vt:lpstr>기계경비총괄표!Print_Area</vt:lpstr>
      <vt:lpstr>내역서!Print_Area</vt:lpstr>
      <vt:lpstr>내역서총괄표!Print_Area</vt:lpstr>
      <vt:lpstr>노임단가!Print_Area</vt:lpstr>
      <vt:lpstr>단가산출!Print_Area</vt:lpstr>
      <vt:lpstr>단가산출총괄표!Print_Area</vt:lpstr>
      <vt:lpstr>원가계산서!Print_Area</vt:lpstr>
      <vt:lpstr>일위대가!Print_Area</vt:lpstr>
      <vt:lpstr>일위대가총괄표!Print_Area</vt:lpstr>
      <vt:lpstr>자재단가!Print_Area</vt:lpstr>
      <vt:lpstr>기계경비!Print_Titles</vt:lpstr>
      <vt:lpstr>기계경비총괄표!Print_Titles</vt:lpstr>
      <vt:lpstr>내역서!Print_Titles</vt:lpstr>
      <vt:lpstr>내역서총괄표!Print_Titles</vt:lpstr>
      <vt:lpstr>노임단가!Print_Titles</vt:lpstr>
      <vt:lpstr>단가산출!Print_Titles</vt:lpstr>
      <vt:lpstr>단가산출총괄표!Print_Titles</vt:lpstr>
      <vt:lpstr>일위대가!Print_Titles</vt:lpstr>
      <vt:lpstr>일위대가총괄표!Print_Titles</vt:lpstr>
      <vt:lpstr>자재단가!Print_Titles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2026-08-24T01:18:11Z</cp:lastPrinted>
  <dcterms:created xsi:type="dcterms:W3CDTF">2026-08-24T00:56:41Z</dcterms:created>
  <dcterms:modified xsi:type="dcterms:W3CDTF">2026-09-07T00:43:43Z</dcterms:modified>
</cp:coreProperties>
</file>