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~2026 공사계약업무\2026년 업무자료\★2026년 강동송파교육지원청 공사계약 자료★\2026년 종합공사\2. 계약방법결정\"/>
    </mc:Choice>
  </mc:AlternateContent>
  <xr:revisionPtr revIDLastSave="0" documentId="13_ncr:1_{ED41D3C7-0399-4F95-B68E-DA7B1AF73F53}" xr6:coauthVersionLast="36" xr6:coauthVersionMax="36" xr10:uidLastSave="{00000000-0000-0000-0000-000000000000}"/>
  <bookViews>
    <workbookView xWindow="-120" yWindow="-120" windowWidth="29040" windowHeight="15720" tabRatio="785" firstSheet="5" activeTab="5" xr2:uid="{00000000-000D-0000-FFFF-FFFF00000000}"/>
  </bookViews>
  <sheets>
    <sheet name="입력(숨기기하세요)" sheetId="5" state="hidden" r:id="rId1"/>
    <sheet name="총괄표(토건분야-숨기기하세요)" sheetId="38" state="hidden" r:id="rId2"/>
    <sheet name="요율(숨기기하세요)" sheetId="7" state="hidden" r:id="rId3"/>
    <sheet name="표지(내역서)" sheetId="8" state="hidden" r:id="rId4"/>
    <sheet name="원가계산서 (총괄-참고용)" sheetId="11" state="hidden" r:id="rId5"/>
    <sheet name="원가계산서(금회발주분)" sheetId="37" r:id="rId6"/>
    <sheet name="원가계산서 (건축-참고용)" sheetId="13" r:id="rId7"/>
    <sheet name="원가계산서 (토목-참고용)" sheetId="14" r:id="rId8"/>
    <sheet name="공종별집계표(분야별)" sheetId="21" r:id="rId9"/>
    <sheet name="공종별집계표" sheetId="106" r:id="rId10"/>
    <sheet name="공종별내역서" sheetId="107" r:id="rId11"/>
    <sheet name="일위대가목록" sheetId="108" r:id="rId12"/>
    <sheet name="일위대가" sheetId="109" r:id="rId13"/>
    <sheet name="단가산출목록" sheetId="110" r:id="rId14"/>
    <sheet name="단가산출서" sheetId="111" r:id="rId15"/>
    <sheet name="단가대비표" sheetId="112" r:id="rId16"/>
    <sheet name="총괄표(재해예방기술지도)" sheetId="96" r:id="rId17"/>
    <sheet name="산출내역서(재해예방기술지도)" sheetId="97" state="hidden" r:id="rId18"/>
    <sheet name="손해배상보험" sheetId="98" state="hidden" r:id="rId19"/>
  </sheets>
  <definedNames>
    <definedName name="_xlnm._FilterDatabase" localSheetId="10" hidden="1">공종별내역서!$A$3:$AV$278</definedName>
    <definedName name="_xlnm._FilterDatabase" localSheetId="9" hidden="1">공종별집계표!$A$4:$T$27</definedName>
    <definedName name="_xlnm._FilterDatabase" localSheetId="8" hidden="1">'공종별집계표(분야별)'!$A$4:$D$103</definedName>
    <definedName name="_xlnm.Print_Area" localSheetId="10">공종별내역서!$A$1:$M$278</definedName>
    <definedName name="_xlnm.Print_Area" localSheetId="9">공종별집계표!$A$1:$M$27</definedName>
    <definedName name="_xlnm.Print_Area" localSheetId="8">'공종별집계표(분야별)'!$E$1:$R$102</definedName>
    <definedName name="_xlnm.Print_Area" localSheetId="15">단가대비표!$A$1:$X$108</definedName>
    <definedName name="_xlnm.Print_Area" localSheetId="13">단가산출목록!$A$1:$J$10</definedName>
    <definedName name="_xlnm.Print_Area" localSheetId="14">단가산출서!$A$1:$F$398</definedName>
    <definedName name="_xlnm.Print_Area" localSheetId="17">'산출내역서(재해예방기술지도)'!$A$1:$G$52</definedName>
    <definedName name="_xlnm.Print_Area" localSheetId="6">'원가계산서 (건축-참고용)'!$B$1:$H$44</definedName>
    <definedName name="_xlnm.Print_Area" localSheetId="4">'원가계산서 (총괄-참고용)'!$A$1:$S$51</definedName>
    <definedName name="_xlnm.Print_Area" localSheetId="7">'원가계산서 (토목-참고용)'!$A$1:$H$39</definedName>
    <definedName name="_xlnm.Print_Area" localSheetId="5">'원가계산서(금회발주분)'!$A$1:$H$46</definedName>
    <definedName name="_xlnm.Print_Area" localSheetId="12">일위대가!$A$1:$M$448</definedName>
    <definedName name="_xlnm.Print_Area" localSheetId="11">일위대가목록!$A$1:$M$69</definedName>
    <definedName name="_xlnm.Print_Area" localSheetId="3">'표지(내역서)'!$A$1:$M$26</definedName>
    <definedName name="Print_Area_MI">#REF!</definedName>
    <definedName name="_xlnm.Print_Titles" localSheetId="10">공종별내역서!$1:$3</definedName>
    <definedName name="_xlnm.Print_Titles" localSheetId="9">공종별집계표!$1:$4</definedName>
    <definedName name="_xlnm.Print_Titles" localSheetId="8">'공종별집계표(분야별)'!$1:$4</definedName>
    <definedName name="_xlnm.Print_Titles" localSheetId="15">단가대비표!$1:$4</definedName>
    <definedName name="_xlnm.Print_Titles" localSheetId="13">단가산출목록!$1:$3</definedName>
    <definedName name="_xlnm.Print_Titles" localSheetId="14">단가산출서!$1:$3</definedName>
    <definedName name="_xlnm.Print_Titles" localSheetId="6">'원가계산서 (건축-참고용)'!$1:$3</definedName>
    <definedName name="_xlnm.Print_Titles" localSheetId="4">'원가계산서 (총괄-참고용)'!$1:$4</definedName>
    <definedName name="_xlnm.Print_Titles" localSheetId="7">'원가계산서 (토목-참고용)'!$1:$3</definedName>
    <definedName name="_xlnm.Print_Titles" localSheetId="5">'원가계산서(금회발주분)'!$1:$4</definedName>
    <definedName name="_xlnm.Print_Titles" localSheetId="12">일위대가!$1:$3</definedName>
    <definedName name="_xlnm.Print_Titles" localSheetId="11">일위대가목록!$1:$3</definedName>
    <definedName name="_xlnm.Print_Titles">#REF!</definedName>
  </definedNames>
  <calcPr calcId="191029" iterate="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1" i="107" l="1"/>
  <c r="J131" i="107" s="1"/>
  <c r="I80" i="107"/>
  <c r="J80" i="107" s="1"/>
  <c r="E161" i="107"/>
  <c r="E159" i="107"/>
  <c r="F159" i="107" s="1"/>
  <c r="E156" i="107"/>
  <c r="G82" i="107"/>
  <c r="H82" i="107" s="1"/>
  <c r="E193" i="107"/>
  <c r="K193" i="107" s="1"/>
  <c r="G191" i="107"/>
  <c r="H191" i="107" s="1"/>
  <c r="E106" i="107"/>
  <c r="F106" i="107" s="1"/>
  <c r="G230" i="107"/>
  <c r="H230" i="107" s="1"/>
  <c r="G188" i="107"/>
  <c r="H188" i="107" s="1"/>
  <c r="G186" i="107"/>
  <c r="H186" i="107" s="1"/>
  <c r="G15" i="107"/>
  <c r="G14" i="107"/>
  <c r="G13" i="107"/>
  <c r="G12" i="107"/>
  <c r="G10" i="107"/>
  <c r="G9" i="107"/>
  <c r="E8" i="107"/>
  <c r="F8" i="107" s="1"/>
  <c r="G8" i="107"/>
  <c r="H263" i="107"/>
  <c r="F263" i="107"/>
  <c r="I262" i="107"/>
  <c r="J262" i="107" s="1"/>
  <c r="G262" i="107"/>
  <c r="H262" i="107" s="1"/>
  <c r="E262" i="107"/>
  <c r="F262" i="107" s="1"/>
  <c r="I261" i="107"/>
  <c r="G261" i="107"/>
  <c r="H261" i="107" s="1"/>
  <c r="E261" i="107"/>
  <c r="F261" i="107" s="1"/>
  <c r="I260" i="107"/>
  <c r="J260" i="107" s="1"/>
  <c r="G260" i="107"/>
  <c r="H260" i="107" s="1"/>
  <c r="E260" i="107"/>
  <c r="I259" i="107"/>
  <c r="J259" i="107" s="1"/>
  <c r="G259" i="107"/>
  <c r="H259" i="107" s="1"/>
  <c r="E259" i="107"/>
  <c r="F259" i="107" s="1"/>
  <c r="I258" i="107"/>
  <c r="G258" i="107"/>
  <c r="H258" i="107" s="1"/>
  <c r="E258" i="107"/>
  <c r="F258" i="107" s="1"/>
  <c r="I257" i="107"/>
  <c r="J257" i="107" s="1"/>
  <c r="G257" i="107"/>
  <c r="H257" i="107" s="1"/>
  <c r="E257" i="107"/>
  <c r="I256" i="107"/>
  <c r="J256" i="107" s="1"/>
  <c r="G256" i="107"/>
  <c r="H256" i="107" s="1"/>
  <c r="E256" i="107"/>
  <c r="F256" i="107" s="1"/>
  <c r="K255" i="107"/>
  <c r="J255" i="107"/>
  <c r="H255" i="107"/>
  <c r="F255" i="107"/>
  <c r="I207" i="107"/>
  <c r="J207" i="107" s="1"/>
  <c r="G207" i="107"/>
  <c r="H207" i="107" s="1"/>
  <c r="E207" i="107"/>
  <c r="K207" i="107" s="1"/>
  <c r="I206" i="107"/>
  <c r="J206" i="107" s="1"/>
  <c r="G206" i="107"/>
  <c r="H206" i="107" s="1"/>
  <c r="E206" i="107"/>
  <c r="F206" i="107" s="1"/>
  <c r="L206" i="107" s="1"/>
  <c r="I205" i="107"/>
  <c r="J205" i="107" s="1"/>
  <c r="G205" i="107"/>
  <c r="H205" i="107" s="1"/>
  <c r="H228" i="107" s="1"/>
  <c r="E205" i="107"/>
  <c r="J193" i="107"/>
  <c r="I193" i="107"/>
  <c r="G193" i="107"/>
  <c r="H193" i="107" s="1"/>
  <c r="I184" i="107"/>
  <c r="J184" i="107" s="1"/>
  <c r="G184" i="107"/>
  <c r="H184" i="107" s="1"/>
  <c r="E184" i="107"/>
  <c r="I183" i="107"/>
  <c r="J183" i="107" s="1"/>
  <c r="G183" i="107"/>
  <c r="H183" i="107" s="1"/>
  <c r="E183" i="107"/>
  <c r="I182" i="107"/>
  <c r="J182" i="107" s="1"/>
  <c r="H182" i="107"/>
  <c r="G182" i="107"/>
  <c r="E182" i="107"/>
  <c r="K182" i="107" s="1"/>
  <c r="I181" i="107"/>
  <c r="J181" i="107" s="1"/>
  <c r="G181" i="107"/>
  <c r="H181" i="107" s="1"/>
  <c r="E181" i="107"/>
  <c r="I180" i="107"/>
  <c r="J180" i="107" s="1"/>
  <c r="G180" i="107"/>
  <c r="H180" i="107" s="1"/>
  <c r="E180" i="107"/>
  <c r="K180" i="107" s="1"/>
  <c r="H162" i="107"/>
  <c r="F162" i="107"/>
  <c r="I161" i="107"/>
  <c r="J161" i="107" s="1"/>
  <c r="G161" i="107"/>
  <c r="H161" i="107" s="1"/>
  <c r="I160" i="107"/>
  <c r="J160" i="107" s="1"/>
  <c r="H160" i="107"/>
  <c r="G160" i="107"/>
  <c r="E160" i="107"/>
  <c r="F160" i="107" s="1"/>
  <c r="I159" i="107"/>
  <c r="J159" i="107" s="1"/>
  <c r="G159" i="107"/>
  <c r="H159" i="107" s="1"/>
  <c r="I158" i="107"/>
  <c r="J158" i="107" s="1"/>
  <c r="G158" i="107"/>
  <c r="H158" i="107" s="1"/>
  <c r="E158" i="107"/>
  <c r="K158" i="107" s="1"/>
  <c r="I157" i="107"/>
  <c r="J157" i="107" s="1"/>
  <c r="G157" i="107"/>
  <c r="H157" i="107" s="1"/>
  <c r="E157" i="107"/>
  <c r="F157" i="107" s="1"/>
  <c r="I156" i="107"/>
  <c r="J156" i="107" s="1"/>
  <c r="G156" i="107"/>
  <c r="H156" i="107" s="1"/>
  <c r="L155" i="107"/>
  <c r="K155" i="107"/>
  <c r="J155" i="107"/>
  <c r="H155" i="107"/>
  <c r="F155" i="107"/>
  <c r="I135" i="107"/>
  <c r="G135" i="107"/>
  <c r="H135" i="107" s="1"/>
  <c r="E135" i="107"/>
  <c r="F135" i="107" s="1"/>
  <c r="I134" i="107"/>
  <c r="J134" i="107" s="1"/>
  <c r="G134" i="107"/>
  <c r="H134" i="107" s="1"/>
  <c r="E134" i="107"/>
  <c r="I133" i="107"/>
  <c r="J133" i="107" s="1"/>
  <c r="G133" i="107"/>
  <c r="H133" i="107" s="1"/>
  <c r="E133" i="107"/>
  <c r="F133" i="107" s="1"/>
  <c r="J132" i="107"/>
  <c r="I132" i="107"/>
  <c r="G132" i="107"/>
  <c r="H132" i="107" s="1"/>
  <c r="E132" i="107"/>
  <c r="F132" i="107" s="1"/>
  <c r="G131" i="107"/>
  <c r="H131" i="107" s="1"/>
  <c r="E131" i="107"/>
  <c r="I130" i="107"/>
  <c r="J130" i="107" s="1"/>
  <c r="G130" i="107"/>
  <c r="H130" i="107" s="1"/>
  <c r="E130" i="107"/>
  <c r="F130" i="107" s="1"/>
  <c r="G105" i="107"/>
  <c r="H105" i="107" s="1"/>
  <c r="I83" i="107"/>
  <c r="J83" i="107" s="1"/>
  <c r="G83" i="107"/>
  <c r="H83" i="107" s="1"/>
  <c r="E83" i="107"/>
  <c r="K83" i="107" s="1"/>
  <c r="I82" i="107"/>
  <c r="J82" i="107" s="1"/>
  <c r="E82" i="107"/>
  <c r="F82" i="107" s="1"/>
  <c r="I81" i="107"/>
  <c r="J81" i="107" s="1"/>
  <c r="G81" i="107"/>
  <c r="H81" i="107" s="1"/>
  <c r="E81" i="107"/>
  <c r="F81" i="107" s="1"/>
  <c r="G80" i="107"/>
  <c r="H80" i="107" s="1"/>
  <c r="E80" i="107"/>
  <c r="I56" i="107"/>
  <c r="J56" i="107" s="1"/>
  <c r="G56" i="107"/>
  <c r="H56" i="107" s="1"/>
  <c r="E56" i="107"/>
  <c r="F56" i="107" s="1"/>
  <c r="L56" i="107" s="1"/>
  <c r="I55" i="107"/>
  <c r="J55" i="107" s="1"/>
  <c r="G55" i="107"/>
  <c r="H55" i="107" s="1"/>
  <c r="E55" i="107"/>
  <c r="F55" i="107" s="1"/>
  <c r="K42" i="107"/>
  <c r="I42" i="107"/>
  <c r="J42" i="107" s="1"/>
  <c r="H42" i="107"/>
  <c r="G42" i="107"/>
  <c r="E42" i="107"/>
  <c r="F42" i="107" s="1"/>
  <c r="G40" i="107"/>
  <c r="H40" i="107" s="1"/>
  <c r="I33" i="107"/>
  <c r="J33" i="107" s="1"/>
  <c r="H33" i="107"/>
  <c r="G33" i="107"/>
  <c r="E33" i="107"/>
  <c r="K33" i="107" s="1"/>
  <c r="I32" i="107"/>
  <c r="J32" i="107" s="1"/>
  <c r="G32" i="107"/>
  <c r="H32" i="107" s="1"/>
  <c r="E32" i="107"/>
  <c r="F32" i="107" s="1"/>
  <c r="I31" i="107"/>
  <c r="J31" i="107" s="1"/>
  <c r="G31" i="107"/>
  <c r="H31" i="107" s="1"/>
  <c r="E31" i="107"/>
  <c r="F31" i="107" s="1"/>
  <c r="L31" i="107" s="1"/>
  <c r="I30" i="107"/>
  <c r="J30" i="107" s="1"/>
  <c r="G30" i="107"/>
  <c r="H30" i="107" s="1"/>
  <c r="E30" i="107"/>
  <c r="F30" i="107" s="1"/>
  <c r="G16" i="107"/>
  <c r="E16" i="107"/>
  <c r="G11" i="107"/>
  <c r="T21" i="106"/>
  <c r="T20" i="106"/>
  <c r="L30" i="107" l="1"/>
  <c r="K183" i="107"/>
  <c r="K30" i="107"/>
  <c r="K132" i="107"/>
  <c r="G192" i="107"/>
  <c r="H192" i="107" s="1"/>
  <c r="G41" i="107"/>
  <c r="H41" i="107" s="1"/>
  <c r="I187" i="107"/>
  <c r="J187" i="107" s="1"/>
  <c r="I36" i="107"/>
  <c r="J36" i="107" s="1"/>
  <c r="G185" i="107"/>
  <c r="H185" i="107" s="1"/>
  <c r="G34" i="107"/>
  <c r="H34" i="107" s="1"/>
  <c r="G231" i="107"/>
  <c r="H231" i="107" s="1"/>
  <c r="H253" i="107" s="1"/>
  <c r="G106" i="107"/>
  <c r="H106" i="107" s="1"/>
  <c r="K161" i="107"/>
  <c r="F161" i="107"/>
  <c r="L161" i="107" s="1"/>
  <c r="I186" i="107"/>
  <c r="J186" i="107" s="1"/>
  <c r="I35" i="107"/>
  <c r="J35" i="107" s="1"/>
  <c r="G6" i="107"/>
  <c r="F16" i="107"/>
  <c r="G190" i="107"/>
  <c r="H190" i="107" s="1"/>
  <c r="F33" i="107"/>
  <c r="H278" i="107"/>
  <c r="K82" i="107"/>
  <c r="F83" i="107"/>
  <c r="L83" i="107" s="1"/>
  <c r="K205" i="107"/>
  <c r="K55" i="107"/>
  <c r="L133" i="107"/>
  <c r="F205" i="107"/>
  <c r="L205" i="107" s="1"/>
  <c r="L262" i="107"/>
  <c r="K256" i="107"/>
  <c r="F183" i="107"/>
  <c r="L183" i="107" s="1"/>
  <c r="G37" i="107"/>
  <c r="H37" i="107" s="1"/>
  <c r="K80" i="107"/>
  <c r="K133" i="107"/>
  <c r="K262" i="107"/>
  <c r="K157" i="107"/>
  <c r="K206" i="107"/>
  <c r="K134" i="107"/>
  <c r="F134" i="107"/>
  <c r="L134" i="107" s="1"/>
  <c r="K184" i="107"/>
  <c r="G7" i="107"/>
  <c r="K130" i="107"/>
  <c r="F180" i="107"/>
  <c r="L180" i="107" s="1"/>
  <c r="K81" i="107"/>
  <c r="K131" i="107"/>
  <c r="F158" i="107"/>
  <c r="L158" i="107" s="1"/>
  <c r="K135" i="107"/>
  <c r="J135" i="107"/>
  <c r="J153" i="107" s="1"/>
  <c r="K181" i="107"/>
  <c r="K259" i="107"/>
  <c r="I192" i="107"/>
  <c r="J192" i="107" s="1"/>
  <c r="I41" i="107"/>
  <c r="J41" i="107" s="1"/>
  <c r="F156" i="107"/>
  <c r="K156" i="107"/>
  <c r="J228" i="107"/>
  <c r="I34" i="107"/>
  <c r="J34" i="107" s="1"/>
  <c r="I185" i="107"/>
  <c r="J185" i="107" s="1"/>
  <c r="L159" i="107"/>
  <c r="J78" i="107"/>
  <c r="L81" i="107"/>
  <c r="L132" i="107"/>
  <c r="F257" i="107"/>
  <c r="L257" i="107" s="1"/>
  <c r="K257" i="107"/>
  <c r="F260" i="107"/>
  <c r="L260" i="107" s="1"/>
  <c r="K260" i="107"/>
  <c r="J103" i="107"/>
  <c r="L55" i="107"/>
  <c r="L78" i="107" s="1"/>
  <c r="F78" i="107"/>
  <c r="K31" i="107"/>
  <c r="H103" i="107"/>
  <c r="H78" i="107"/>
  <c r="L33" i="107"/>
  <c r="F80" i="107"/>
  <c r="F131" i="107"/>
  <c r="L131" i="107" s="1"/>
  <c r="H178" i="107"/>
  <c r="L160" i="107"/>
  <c r="L256" i="107"/>
  <c r="F278" i="107"/>
  <c r="G232" i="107"/>
  <c r="H232" i="107" s="1"/>
  <c r="G107" i="107"/>
  <c r="H107" i="107" s="1"/>
  <c r="H128" i="107" s="1"/>
  <c r="E9" i="107"/>
  <c r="I37" i="107"/>
  <c r="J37" i="107" s="1"/>
  <c r="I188" i="107"/>
  <c r="J188" i="107" s="1"/>
  <c r="L42" i="107"/>
  <c r="K32" i="107"/>
  <c r="G35" i="107"/>
  <c r="H35" i="107" s="1"/>
  <c r="L82" i="107"/>
  <c r="L157" i="107"/>
  <c r="L259" i="107"/>
  <c r="J258" i="107"/>
  <c r="L258" i="107" s="1"/>
  <c r="K258" i="107"/>
  <c r="J261" i="107"/>
  <c r="K261" i="107"/>
  <c r="I197" i="107"/>
  <c r="J197" i="107" s="1"/>
  <c r="I48" i="107"/>
  <c r="J48" i="107" s="1"/>
  <c r="G187" i="107"/>
  <c r="H187" i="107" s="1"/>
  <c r="G36" i="107"/>
  <c r="H36" i="107" s="1"/>
  <c r="I40" i="107"/>
  <c r="J40" i="107" s="1"/>
  <c r="I191" i="107"/>
  <c r="J191" i="107" s="1"/>
  <c r="H153" i="107"/>
  <c r="K56" i="107"/>
  <c r="L255" i="107"/>
  <c r="L130" i="107"/>
  <c r="G197" i="107"/>
  <c r="H197" i="107" s="1"/>
  <c r="G48" i="107"/>
  <c r="H48" i="107" s="1"/>
  <c r="L32" i="107"/>
  <c r="L261" i="107"/>
  <c r="E12" i="107"/>
  <c r="E15" i="107"/>
  <c r="F181" i="107"/>
  <c r="L181" i="107" s="1"/>
  <c r="F184" i="107"/>
  <c r="L184" i="107" s="1"/>
  <c r="F193" i="107"/>
  <c r="L193" i="107" s="1"/>
  <c r="F207" i="107"/>
  <c r="L207" i="107" s="1"/>
  <c r="K159" i="107"/>
  <c r="F182" i="107"/>
  <c r="L182" i="107" s="1"/>
  <c r="K160" i="107"/>
  <c r="E231" i="107"/>
  <c r="B31" i="98"/>
  <c r="A31" i="98"/>
  <c r="C27" i="98"/>
  <c r="E19" i="98"/>
  <c r="D19" i="98"/>
  <c r="E18" i="98"/>
  <c r="D18" i="98"/>
  <c r="E17" i="98"/>
  <c r="D17" i="98"/>
  <c r="E16" i="98"/>
  <c r="D16" i="98"/>
  <c r="E15" i="98"/>
  <c r="D15" i="98"/>
  <c r="F153" i="107" l="1"/>
  <c r="G5" i="107"/>
  <c r="I263" i="107"/>
  <c r="J263" i="107" s="1"/>
  <c r="I189" i="107"/>
  <c r="J189" i="107" s="1"/>
  <c r="I38" i="107"/>
  <c r="J38" i="107" s="1"/>
  <c r="L135" i="107"/>
  <c r="L153" i="107" s="1"/>
  <c r="G189" i="107"/>
  <c r="H189" i="107" s="1"/>
  <c r="G38" i="107"/>
  <c r="H38" i="107" s="1"/>
  <c r="G39" i="107"/>
  <c r="H39" i="107" s="1"/>
  <c r="I190" i="107"/>
  <c r="J190" i="107" s="1"/>
  <c r="I39" i="107"/>
  <c r="J39" i="107" s="1"/>
  <c r="F12" i="107"/>
  <c r="F9" i="107"/>
  <c r="F228" i="107"/>
  <c r="H28" i="107"/>
  <c r="F15" i="107"/>
  <c r="F231" i="107"/>
  <c r="G44" i="107"/>
  <c r="H44" i="107" s="1"/>
  <c r="G45" i="107"/>
  <c r="H45" i="107" s="1"/>
  <c r="F103" i="107"/>
  <c r="L80" i="107"/>
  <c r="L103" i="107" s="1"/>
  <c r="E10" i="107"/>
  <c r="I162" i="107"/>
  <c r="F178" i="107"/>
  <c r="L156" i="107"/>
  <c r="T13" i="106"/>
  <c r="I43" i="107"/>
  <c r="J43" i="107" s="1"/>
  <c r="I194" i="107"/>
  <c r="J194" i="107" s="1"/>
  <c r="E13" i="107"/>
  <c r="L228" i="107"/>
  <c r="I44" i="107"/>
  <c r="J44" i="107" s="1"/>
  <c r="F12" i="97"/>
  <c r="C14" i="97" s="1"/>
  <c r="F14" i="97" s="1"/>
  <c r="F27" i="97" s="1"/>
  <c r="D31" i="97"/>
  <c r="E29" i="97"/>
  <c r="E27" i="97"/>
  <c r="E25" i="97"/>
  <c r="J24" i="97"/>
  <c r="E20" i="97"/>
  <c r="E19" i="97"/>
  <c r="E18" i="97"/>
  <c r="E17" i="97"/>
  <c r="C4" i="97"/>
  <c r="K263" i="107" l="1"/>
  <c r="I195" i="107"/>
  <c r="J195" i="107" s="1"/>
  <c r="I46" i="107"/>
  <c r="J46" i="107" s="1"/>
  <c r="G195" i="107"/>
  <c r="H195" i="107" s="1"/>
  <c r="G46" i="107"/>
  <c r="H46" i="107" s="1"/>
  <c r="F13" i="107"/>
  <c r="E189" i="107"/>
  <c r="E38" i="107"/>
  <c r="G196" i="107"/>
  <c r="H196" i="107" s="1"/>
  <c r="G47" i="107"/>
  <c r="H47" i="107" s="1"/>
  <c r="E11" i="107"/>
  <c r="L263" i="107"/>
  <c r="L278" i="107" s="1"/>
  <c r="J278" i="107"/>
  <c r="E230" i="107"/>
  <c r="E105" i="107"/>
  <c r="E188" i="107"/>
  <c r="E37" i="107"/>
  <c r="J162" i="107"/>
  <c r="K162" i="107"/>
  <c r="I45" i="107"/>
  <c r="J45" i="107" s="1"/>
  <c r="E14" i="107"/>
  <c r="E197" i="107"/>
  <c r="E48" i="107"/>
  <c r="E186" i="107"/>
  <c r="E35" i="107"/>
  <c r="E185" i="107"/>
  <c r="E34" i="107"/>
  <c r="F10" i="107"/>
  <c r="F38" i="107" l="1"/>
  <c r="L38" i="107" s="1"/>
  <c r="K38" i="107"/>
  <c r="I196" i="107"/>
  <c r="J196" i="107" s="1"/>
  <c r="J203" i="107" s="1"/>
  <c r="I47" i="107"/>
  <c r="J47" i="107" s="1"/>
  <c r="J53" i="107" s="1"/>
  <c r="T19" i="106"/>
  <c r="K185" i="107"/>
  <c r="F185" i="107"/>
  <c r="F105" i="107"/>
  <c r="G194" i="107"/>
  <c r="H194" i="107" s="1"/>
  <c r="H203" i="107" s="1"/>
  <c r="G43" i="107"/>
  <c r="H43" i="107" s="1"/>
  <c r="H53" i="107" s="1"/>
  <c r="F230" i="107"/>
  <c r="K34" i="107"/>
  <c r="F34" i="107"/>
  <c r="F14" i="107"/>
  <c r="J178" i="107"/>
  <c r="L162" i="107"/>
  <c r="L178" i="107" s="1"/>
  <c r="F35" i="107"/>
  <c r="L35" i="107" s="1"/>
  <c r="K35" i="107"/>
  <c r="K188" i="107"/>
  <c r="F188" i="107"/>
  <c r="L188" i="107" s="1"/>
  <c r="F11" i="107"/>
  <c r="K197" i="107"/>
  <c r="F197" i="107"/>
  <c r="L197" i="107" s="1"/>
  <c r="K37" i="107"/>
  <c r="F37" i="107"/>
  <c r="L37" i="107" s="1"/>
  <c r="K186" i="107"/>
  <c r="F186" i="107"/>
  <c r="L186" i="107" s="1"/>
  <c r="F48" i="107"/>
  <c r="L48" i="107" s="1"/>
  <c r="K48" i="107"/>
  <c r="K189" i="107"/>
  <c r="F189" i="107"/>
  <c r="L189" i="107" s="1"/>
  <c r="T14" i="106" l="1"/>
  <c r="E36" i="107"/>
  <c r="E187" i="107"/>
  <c r="L34" i="107"/>
  <c r="L185" i="107"/>
  <c r="I230" i="107"/>
  <c r="I105" i="107"/>
  <c r="E232" i="107"/>
  <c r="E107" i="107"/>
  <c r="F232" i="107" l="1"/>
  <c r="K187" i="107"/>
  <c r="F187" i="107"/>
  <c r="J230" i="107"/>
  <c r="K230" i="107"/>
  <c r="J105" i="107"/>
  <c r="K105" i="107"/>
  <c r="F36" i="107"/>
  <c r="K36" i="107"/>
  <c r="F107" i="107"/>
  <c r="E39" i="107" l="1"/>
  <c r="E190" i="107"/>
  <c r="E191" i="107"/>
  <c r="E40" i="107"/>
  <c r="E192" i="107"/>
  <c r="E41" i="107"/>
  <c r="L36" i="107"/>
  <c r="E6" i="107"/>
  <c r="E7" i="107"/>
  <c r="L230" i="107"/>
  <c r="F253" i="107"/>
  <c r="L187" i="107"/>
  <c r="F128" i="107"/>
  <c r="L105" i="107"/>
  <c r="O29" i="11"/>
  <c r="D28" i="11"/>
  <c r="D27" i="11"/>
  <c r="D28" i="37"/>
  <c r="D27" i="37"/>
  <c r="D27" i="14"/>
  <c r="D26" i="14"/>
  <c r="D95" i="21"/>
  <c r="D94" i="21"/>
  <c r="D92" i="21"/>
  <c r="D91" i="21"/>
  <c r="D87" i="21"/>
  <c r="C74" i="21"/>
  <c r="C75" i="21" s="1"/>
  <c r="C76" i="21" s="1"/>
  <c r="C70" i="21"/>
  <c r="C71" i="21" s="1"/>
  <c r="C72" i="21" s="1"/>
  <c r="G56" i="11"/>
  <c r="M56" i="11"/>
  <c r="L56" i="11"/>
  <c r="K56" i="11"/>
  <c r="I56" i="11"/>
  <c r="H56" i="11"/>
  <c r="F7" i="107" l="1"/>
  <c r="K192" i="107"/>
  <c r="F192" i="107"/>
  <c r="L192" i="107" s="1"/>
  <c r="K191" i="107"/>
  <c r="F191" i="107"/>
  <c r="L191" i="107" s="1"/>
  <c r="K40" i="107"/>
  <c r="F40" i="107"/>
  <c r="L40" i="107" s="1"/>
  <c r="F41" i="107"/>
  <c r="L41" i="107" s="1"/>
  <c r="K41" i="107"/>
  <c r="F39" i="107"/>
  <c r="K39" i="107"/>
  <c r="F6" i="107"/>
  <c r="K190" i="107"/>
  <c r="F190" i="107"/>
  <c r="B5" i="38"/>
  <c r="E195" i="107" l="1"/>
  <c r="E46" i="107"/>
  <c r="E196" i="107"/>
  <c r="E47" i="107"/>
  <c r="L39" i="107"/>
  <c r="L190" i="107"/>
  <c r="E45" i="107"/>
  <c r="E194" i="107"/>
  <c r="E43" i="107"/>
  <c r="E44" i="107"/>
  <c r="N33" i="11"/>
  <c r="B33" i="11"/>
  <c r="B33" i="37"/>
  <c r="E15" i="5"/>
  <c r="F44" i="107" l="1"/>
  <c r="L44" i="107" s="1"/>
  <c r="K44" i="107"/>
  <c r="K195" i="107"/>
  <c r="F195" i="107"/>
  <c r="L195" i="107" s="1"/>
  <c r="K46" i="107"/>
  <c r="F46" i="107"/>
  <c r="L46" i="107" s="1"/>
  <c r="F45" i="107"/>
  <c r="L45" i="107" s="1"/>
  <c r="K45" i="107"/>
  <c r="I232" i="107"/>
  <c r="I107" i="107"/>
  <c r="F47" i="107"/>
  <c r="L47" i="107" s="1"/>
  <c r="K47" i="107"/>
  <c r="K194" i="107"/>
  <c r="F194" i="107"/>
  <c r="L194" i="107" s="1"/>
  <c r="K43" i="107"/>
  <c r="F43" i="107"/>
  <c r="K196" i="107"/>
  <c r="F196" i="107"/>
  <c r="J232" i="107" l="1"/>
  <c r="L232" i="107" s="1"/>
  <c r="K232" i="107"/>
  <c r="L43" i="107"/>
  <c r="F53" i="107"/>
  <c r="L196" i="107"/>
  <c r="L203" i="107" s="1"/>
  <c r="F203" i="107"/>
  <c r="J107" i="107"/>
  <c r="L107" i="107" s="1"/>
  <c r="K107" i="107"/>
  <c r="E5" i="107"/>
  <c r="L53" i="107"/>
  <c r="B7" i="5"/>
  <c r="I90" i="21"/>
  <c r="D90" i="21" s="1"/>
  <c r="I89" i="21"/>
  <c r="I231" i="107" l="1"/>
  <c r="I106" i="107"/>
  <c r="F5" i="107"/>
  <c r="D89" i="21"/>
  <c r="K106" i="107" l="1"/>
  <c r="J106" i="107"/>
  <c r="J231" i="107"/>
  <c r="K231" i="107"/>
  <c r="F28" i="107"/>
  <c r="D88" i="21"/>
  <c r="L231" i="107" l="1"/>
  <c r="L253" i="107" s="1"/>
  <c r="J253" i="107"/>
  <c r="L106" i="107"/>
  <c r="L128" i="107" s="1"/>
  <c r="J128" i="107"/>
  <c r="F33" i="11"/>
  <c r="J33" i="11" s="1"/>
  <c r="Q33" i="11" s="1"/>
  <c r="T12" i="106" l="1"/>
  <c r="T18" i="106"/>
  <c r="B40" i="11"/>
  <c r="N49" i="11" l="1"/>
  <c r="B45" i="37"/>
  <c r="B49" i="11" s="1"/>
  <c r="S12" i="11" l="1"/>
  <c r="N34" i="11"/>
  <c r="B34" i="11"/>
  <c r="B34" i="37"/>
  <c r="J28" i="107" l="1"/>
  <c r="L28" i="107"/>
  <c r="N47" i="11"/>
  <c r="B47" i="11"/>
  <c r="J47" i="11" l="1"/>
  <c r="Q47" i="11" s="1"/>
  <c r="N21" i="11"/>
  <c r="G30" i="21"/>
  <c r="C28" i="21"/>
  <c r="C29" i="21" s="1"/>
  <c r="F21" i="11" l="1"/>
  <c r="G21" i="11"/>
  <c r="B40" i="37"/>
  <c r="B6" i="38" s="1"/>
  <c r="B38" i="37"/>
  <c r="B39" i="11" s="1"/>
  <c r="J21" i="11" l="1"/>
  <c r="Q21" i="11" s="1"/>
  <c r="N39" i="11"/>
  <c r="B4" i="38"/>
  <c r="B42" i="11"/>
  <c r="N40" i="11" l="1"/>
  <c r="Q40" i="11" s="1"/>
  <c r="N20" i="11"/>
  <c r="N59" i="11"/>
  <c r="J59" i="11"/>
  <c r="D2" i="5"/>
  <c r="C23" i="21"/>
  <c r="C24" i="21" s="1"/>
  <c r="G25" i="21"/>
  <c r="C63" i="21"/>
  <c r="C64" i="21" s="1"/>
  <c r="B63" i="21"/>
  <c r="B64" i="21" s="1"/>
  <c r="C45" i="21"/>
  <c r="C46" i="21" s="1"/>
  <c r="B45" i="21"/>
  <c r="B46" i="21" s="1"/>
  <c r="C54" i="21"/>
  <c r="C55" i="21" s="1"/>
  <c r="B54" i="21"/>
  <c r="B55" i="21" s="1"/>
  <c r="C36" i="21"/>
  <c r="C37" i="21" s="1"/>
  <c r="B36" i="21"/>
  <c r="B37" i="21" s="1"/>
  <c r="C17" i="21"/>
  <c r="C18" i="21" s="1"/>
  <c r="B17" i="21"/>
  <c r="B18" i="21" s="1"/>
  <c r="C9" i="21"/>
  <c r="C10" i="21" s="1"/>
  <c r="B9" i="21"/>
  <c r="B10" i="21" s="1"/>
  <c r="Q59" i="11" l="1"/>
  <c r="G20" i="11"/>
  <c r="G102" i="21"/>
  <c r="G84" i="21"/>
  <c r="G77" i="21"/>
  <c r="G65" i="21"/>
  <c r="G57" i="21"/>
  <c r="G19" i="21"/>
  <c r="G47" i="21"/>
  <c r="G39" i="21"/>
  <c r="G12" i="21"/>
  <c r="G48" i="21" l="1"/>
  <c r="G66" i="21"/>
  <c r="G20" i="21"/>
  <c r="H2" i="37"/>
  <c r="B37" i="14" l="1"/>
  <c r="B36" i="14"/>
  <c r="D25" i="14"/>
  <c r="B42" i="13"/>
  <c r="B41" i="13"/>
  <c r="P61" i="11"/>
  <c r="P60" i="11"/>
  <c r="J53" i="11"/>
  <c r="N48" i="11"/>
  <c r="N36" i="11"/>
  <c r="N37" i="11"/>
  <c r="N41" i="11"/>
  <c r="B41" i="11"/>
  <c r="N35" i="11"/>
  <c r="B35" i="11"/>
  <c r="D26" i="11"/>
  <c r="G24" i="11"/>
  <c r="B2" i="11"/>
  <c r="A9" i="8"/>
  <c r="J55" i="11"/>
  <c r="C10" i="7" s="1"/>
  <c r="C42" i="7" l="1"/>
  <c r="F36" i="37"/>
  <c r="AD14" i="21"/>
  <c r="C88" i="7"/>
  <c r="C95" i="7"/>
  <c r="C102" i="7"/>
  <c r="B3" i="37"/>
  <c r="N6" i="11"/>
  <c r="Q6" i="11" s="1"/>
  <c r="G46" i="11"/>
  <c r="N7" i="11"/>
  <c r="Q7" i="11" s="1"/>
  <c r="AC16" i="21"/>
  <c r="AD15" i="21"/>
  <c r="N12" i="11"/>
  <c r="C112" i="7"/>
  <c r="C18" i="7"/>
  <c r="G35" i="11"/>
  <c r="B2" i="14"/>
  <c r="B2" i="13"/>
  <c r="F41" i="11" l="1"/>
  <c r="C5" i="38"/>
  <c r="I113" i="7"/>
  <c r="I112" i="7"/>
  <c r="I111" i="7"/>
  <c r="I110" i="7"/>
  <c r="C49" i="7"/>
  <c r="C61" i="7" s="1"/>
  <c r="C60" i="7" s="1"/>
  <c r="C41" i="7"/>
  <c r="C40" i="7"/>
  <c r="I109" i="7"/>
  <c r="I24" i="37"/>
  <c r="AE14" i="21"/>
  <c r="AF14" i="21"/>
  <c r="AH14" i="21"/>
  <c r="J37" i="11"/>
  <c r="Q37" i="11" s="1"/>
  <c r="AC15" i="21"/>
  <c r="AJ14" i="21"/>
  <c r="AC14" i="21"/>
  <c r="J36" i="11"/>
  <c r="E2" i="21"/>
  <c r="AF15" i="21"/>
  <c r="AH15" i="21"/>
  <c r="AJ15" i="21"/>
  <c r="M8" i="11"/>
  <c r="L8" i="11"/>
  <c r="N9" i="11"/>
  <c r="J48" i="11"/>
  <c r="Q48" i="11" s="1"/>
  <c r="I23" i="13"/>
  <c r="AJ16" i="21"/>
  <c r="AE16" i="21"/>
  <c r="AD16" i="21"/>
  <c r="AF16" i="21"/>
  <c r="AH16" i="21"/>
  <c r="N50" i="11"/>
  <c r="K8" i="11"/>
  <c r="N46" i="11"/>
  <c r="AE15" i="21"/>
  <c r="C59" i="7" l="1"/>
  <c r="C48" i="7"/>
  <c r="C62" i="7"/>
  <c r="J41" i="11"/>
  <c r="Q41" i="11" s="1"/>
  <c r="C39" i="7"/>
  <c r="C58" i="7"/>
  <c r="N18" i="11"/>
  <c r="N45" i="11"/>
  <c r="N5" i="11"/>
  <c r="M11" i="11"/>
  <c r="N8" i="11"/>
  <c r="G45" i="11" l="1"/>
  <c r="N24" i="11"/>
  <c r="N22" i="11"/>
  <c r="G12" i="11"/>
  <c r="G9" i="11"/>
  <c r="L11" i="11"/>
  <c r="K11" i="11"/>
  <c r="N16" i="11" l="1"/>
  <c r="N26" i="11"/>
  <c r="N25" i="11"/>
  <c r="G16" i="11"/>
  <c r="AC7" i="21"/>
  <c r="F35" i="11"/>
  <c r="J35" i="11" s="1"/>
  <c r="Q35" i="11" s="1"/>
  <c r="F35" i="37"/>
  <c r="N10" i="11"/>
  <c r="G5" i="11"/>
  <c r="N11" i="11"/>
  <c r="O38" i="11"/>
  <c r="O42" i="11" s="1"/>
  <c r="Q36" i="11"/>
  <c r="O43" i="11" l="1"/>
  <c r="O44" i="11" s="1"/>
  <c r="O51" i="11" s="1"/>
  <c r="O57" i="11" s="1"/>
  <c r="N23" i="11"/>
  <c r="N14" i="11"/>
  <c r="AJ7" i="21"/>
  <c r="AH7" i="21"/>
  <c r="AD7" i="21"/>
  <c r="AE7" i="21"/>
  <c r="AF7" i="21"/>
  <c r="G15" i="11"/>
  <c r="G8" i="11"/>
  <c r="AC8" i="21"/>
  <c r="N13" i="11" l="1"/>
  <c r="G25" i="11"/>
  <c r="G17" i="11"/>
  <c r="G22" i="11"/>
  <c r="G26" i="11"/>
  <c r="N15" i="11"/>
  <c r="O60" i="11"/>
  <c r="O61" i="11"/>
  <c r="AJ8" i="21"/>
  <c r="AH8" i="21"/>
  <c r="AE8" i="21"/>
  <c r="AD8" i="21"/>
  <c r="AF8" i="21"/>
  <c r="AJ11" i="21"/>
  <c r="AH11" i="21"/>
  <c r="AD11" i="21"/>
  <c r="AE11" i="21"/>
  <c r="AF11" i="21"/>
  <c r="AC11" i="21"/>
  <c r="N17" i="11" l="1"/>
  <c r="F45" i="11"/>
  <c r="I8" i="11"/>
  <c r="F46" i="11"/>
  <c r="H8" i="11"/>
  <c r="J46" i="11" l="1"/>
  <c r="Q46" i="11" s="1"/>
  <c r="J45" i="11"/>
  <c r="J54" i="11" l="1"/>
  <c r="F12" i="11"/>
  <c r="Q45" i="11"/>
  <c r="J12" i="11" l="1"/>
  <c r="Q12" i="11" s="1"/>
  <c r="B6" i="5"/>
  <c r="C70" i="7"/>
  <c r="C69" i="7" s="1"/>
  <c r="C71" i="7" l="1"/>
  <c r="C82" i="7" s="1"/>
  <c r="C81" i="7" s="1"/>
  <c r="C73" i="7" l="1"/>
  <c r="H14" i="37" l="1"/>
  <c r="S14" i="11" s="1"/>
  <c r="F9" i="11" l="1"/>
  <c r="F16" i="11" l="1"/>
  <c r="J16" i="11" s="1"/>
  <c r="Q16" i="11" s="1"/>
  <c r="R15" i="11"/>
  <c r="F18" i="11"/>
  <c r="R18" i="11"/>
  <c r="G18" i="11"/>
  <c r="F15" i="11"/>
  <c r="J9" i="11"/>
  <c r="F17" i="11" l="1"/>
  <c r="J17" i="11" s="1"/>
  <c r="Q17" i="11" s="1"/>
  <c r="R16" i="11"/>
  <c r="J18" i="11"/>
  <c r="Q18" i="11" s="1"/>
  <c r="J15" i="11"/>
  <c r="Q15" i="11" s="1"/>
  <c r="Q9" i="11"/>
  <c r="R17" i="11" l="1"/>
  <c r="F34" i="11" l="1"/>
  <c r="F5" i="11"/>
  <c r="Z33" i="21"/>
  <c r="Z6" i="21"/>
  <c r="AH6" i="21"/>
  <c r="AD6" i="21"/>
  <c r="AF6" i="21"/>
  <c r="AC6" i="21"/>
  <c r="AJ6" i="21" l="1"/>
  <c r="AE6" i="21"/>
  <c r="F8" i="11"/>
  <c r="J5" i="11"/>
  <c r="Z51" i="21"/>
  <c r="AA51" i="21" s="1"/>
  <c r="AA33" i="21"/>
  <c r="C110" i="7" l="1"/>
  <c r="C111" i="7" s="1"/>
  <c r="C9" i="7"/>
  <c r="F22" i="11"/>
  <c r="F26" i="11"/>
  <c r="F25" i="11"/>
  <c r="Q5" i="11"/>
  <c r="J8" i="11"/>
  <c r="C17" i="7" l="1"/>
  <c r="C16" i="7" s="1"/>
  <c r="H110" i="7"/>
  <c r="H113" i="7"/>
  <c r="H109" i="7"/>
  <c r="H111" i="7"/>
  <c r="C28" i="7"/>
  <c r="C29" i="7"/>
  <c r="J25" i="11"/>
  <c r="Q25" i="11" s="1"/>
  <c r="J26" i="11"/>
  <c r="Q26" i="11" s="1"/>
  <c r="J22" i="11"/>
  <c r="Q22" i="11" s="1"/>
  <c r="R22" i="11"/>
  <c r="R26" i="11"/>
  <c r="R25" i="11"/>
  <c r="Q8" i="11"/>
  <c r="C30" i="7" l="1"/>
  <c r="C26" i="7"/>
  <c r="C31" i="7"/>
  <c r="C27" i="7"/>
  <c r="T19" i="11" l="1"/>
  <c r="T20" i="11"/>
  <c r="K29" i="11" l="1"/>
  <c r="M29" i="11"/>
  <c r="L29" i="11"/>
  <c r="M30" i="11" l="1"/>
  <c r="L30" i="11"/>
  <c r="N19" i="11"/>
  <c r="K30" i="11"/>
  <c r="N29" i="11" l="1"/>
  <c r="N30" i="11"/>
  <c r="K38" i="11" l="1"/>
  <c r="K42" i="11" s="1"/>
  <c r="L38" i="11"/>
  <c r="L42" i="11" s="1"/>
  <c r="N31" i="11"/>
  <c r="M38" i="11" l="1"/>
  <c r="M42" i="11" s="1"/>
  <c r="M43" i="11" s="1"/>
  <c r="M44" i="11" s="1"/>
  <c r="M51" i="11" s="1"/>
  <c r="K43" i="11"/>
  <c r="K44" i="11" s="1"/>
  <c r="L43" i="11"/>
  <c r="L44" i="11" s="1"/>
  <c r="L51" i="11" s="1"/>
  <c r="N32" i="11"/>
  <c r="N38" i="11" l="1"/>
  <c r="N42" i="11"/>
  <c r="M61" i="11"/>
  <c r="M57" i="11"/>
  <c r="M60" i="11"/>
  <c r="N43" i="11"/>
  <c r="N44" i="11"/>
  <c r="K51" i="11"/>
  <c r="L61" i="11"/>
  <c r="L57" i="11"/>
  <c r="L60" i="11"/>
  <c r="N51" i="11" l="1"/>
  <c r="K61" i="11"/>
  <c r="K57" i="11"/>
  <c r="K60" i="11"/>
  <c r="N60" i="11" l="1"/>
  <c r="N61" i="11"/>
  <c r="N57" i="11"/>
  <c r="C9" i="38" l="1"/>
  <c r="F44" i="37"/>
  <c r="C10" i="38" s="1"/>
  <c r="C109" i="7" l="1"/>
  <c r="C114" i="7" s="1"/>
  <c r="H112" i="7" l="1"/>
  <c r="C113" i="7" s="1"/>
  <c r="C7" i="7"/>
  <c r="C6" i="7" s="1"/>
  <c r="F24" i="11" l="1"/>
  <c r="J24" i="11" s="1"/>
  <c r="Q24" i="11" s="1"/>
  <c r="H24" i="37"/>
  <c r="F10" i="11" l="1"/>
  <c r="R24" i="11"/>
  <c r="F11" i="11" l="1"/>
  <c r="R10" i="11"/>
  <c r="G10" i="11"/>
  <c r="G11" i="11" s="1"/>
  <c r="I11" i="11"/>
  <c r="F27" i="11" l="1"/>
  <c r="F28" i="11"/>
  <c r="J10" i="11"/>
  <c r="F14" i="11"/>
  <c r="F13" i="11"/>
  <c r="H11" i="11"/>
  <c r="G28" i="11" l="1"/>
  <c r="G27" i="11"/>
  <c r="Q10" i="11"/>
  <c r="J11" i="11"/>
  <c r="G13" i="11"/>
  <c r="G14" i="11"/>
  <c r="R14" i="11"/>
  <c r="R13" i="11"/>
  <c r="Q11" i="11" l="1"/>
  <c r="J13" i="11"/>
  <c r="Q13" i="11" s="1"/>
  <c r="J14" i="11"/>
  <c r="Q14" i="11" s="1"/>
  <c r="V19" i="11" l="1"/>
  <c r="F19" i="11" l="1"/>
  <c r="R19" i="11"/>
  <c r="G19" i="11"/>
  <c r="J19" i="11" l="1"/>
  <c r="S19" i="11"/>
  <c r="Q19" i="11" l="1"/>
  <c r="J34" i="11" l="1"/>
  <c r="Q34" i="11" s="1"/>
  <c r="R23" i="11" l="1"/>
  <c r="F23" i="11"/>
  <c r="I29" i="11"/>
  <c r="I30" i="11" s="1"/>
  <c r="H29" i="11"/>
  <c r="H30" i="11" s="1"/>
  <c r="G23" i="11"/>
  <c r="G29" i="11" s="1"/>
  <c r="G30" i="11" s="1"/>
  <c r="J23" i="11" l="1"/>
  <c r="G31" i="11"/>
  <c r="Q23" i="11" l="1"/>
  <c r="G32" i="11"/>
  <c r="G38" i="11" s="1"/>
  <c r="I38" i="11"/>
  <c r="H38" i="11" l="1"/>
  <c r="G42" i="11"/>
  <c r="I42" i="11"/>
  <c r="G43" i="11" l="1"/>
  <c r="G44" i="11" s="1"/>
  <c r="G51" i="11" s="1"/>
  <c r="H42" i="11"/>
  <c r="I43" i="11"/>
  <c r="I44" i="11" s="1"/>
  <c r="I51" i="11" s="1"/>
  <c r="G61" i="11" l="1"/>
  <c r="G60" i="11"/>
  <c r="G57" i="11"/>
  <c r="H43" i="11"/>
  <c r="H44" i="11" s="1"/>
  <c r="H51" i="11" s="1"/>
  <c r="I57" i="11"/>
  <c r="I61" i="11"/>
  <c r="I60" i="11"/>
  <c r="H60" i="11" l="1"/>
  <c r="H61" i="11"/>
  <c r="H57" i="11"/>
  <c r="F20" i="11" l="1"/>
  <c r="J20" i="11" l="1"/>
  <c r="Q20" i="11" s="1"/>
  <c r="F29" i="11"/>
  <c r="J29" i="11" l="1"/>
  <c r="Q29" i="11" s="1"/>
  <c r="F30" i="11"/>
  <c r="F31" i="11"/>
  <c r="J31" i="11" s="1"/>
  <c r="Q31" i="11" s="1"/>
  <c r="R31" i="11"/>
  <c r="F39" i="11"/>
  <c r="C4" i="38"/>
  <c r="J30" i="11" l="1"/>
  <c r="Q30" i="11" s="1"/>
  <c r="F32" i="11"/>
  <c r="J32" i="11" s="1"/>
  <c r="Q32" i="11" s="1"/>
  <c r="R32" i="11"/>
  <c r="J39" i="11"/>
  <c r="Q39" i="11" s="1"/>
  <c r="F38" i="11" l="1"/>
  <c r="J38" i="11" s="1"/>
  <c r="C3" i="38"/>
  <c r="F42" i="11" l="1"/>
  <c r="J42" i="11" s="1"/>
  <c r="Q42" i="11" s="1"/>
  <c r="Q38" i="11"/>
  <c r="Z87" i="21"/>
  <c r="B4" i="5"/>
  <c r="H5" i="5" s="1"/>
  <c r="R43" i="11"/>
  <c r="C6" i="38"/>
  <c r="I32" i="37" l="1"/>
  <c r="F43" i="11"/>
  <c r="J43" i="11" s="1"/>
  <c r="Q43" i="11" s="1"/>
  <c r="C12" i="97"/>
  <c r="C7" i="38"/>
  <c r="C8" i="38" s="1"/>
  <c r="F44" i="11" l="1"/>
  <c r="J44" i="11" s="1"/>
  <c r="Q44" i="11" s="1"/>
  <c r="D25" i="97" l="1"/>
  <c r="F25" i="97" s="1"/>
  <c r="F24" i="97" s="1"/>
  <c r="D29" i="97" l="1"/>
  <c r="F29" i="97" s="1"/>
  <c r="E30" i="97" s="1"/>
  <c r="D30" i="97"/>
  <c r="F30" i="97" l="1"/>
  <c r="F32" i="97" s="1"/>
  <c r="C4" i="98" l="1"/>
  <c r="C12" i="98" s="1"/>
  <c r="C22" i="98" l="1"/>
  <c r="B19" i="98"/>
  <c r="C19" i="98" s="1"/>
  <c r="B15" i="98"/>
  <c r="C15" i="98" s="1"/>
  <c r="B18" i="98"/>
  <c r="C18" i="98" s="1"/>
  <c r="B16" i="98"/>
  <c r="C16" i="98" s="1"/>
  <c r="B17" i="98"/>
  <c r="C17" i="98" s="1"/>
  <c r="C20" i="98" l="1"/>
  <c r="C24" i="98" s="1"/>
  <c r="F34" i="97" s="1"/>
  <c r="F36" i="97" l="1"/>
  <c r="F38" i="97" l="1"/>
  <c r="G16" i="97" l="1"/>
  <c r="C3" i="97"/>
  <c r="F49" i="11" l="1"/>
  <c r="J49" i="11" s="1"/>
  <c r="Q49" i="11" s="1"/>
  <c r="J50" i="11" l="1"/>
  <c r="Q50" i="11" s="1"/>
  <c r="F51" i="11"/>
  <c r="F61" i="11" l="1"/>
  <c r="F60" i="11"/>
  <c r="J51" i="11"/>
  <c r="F57" i="11"/>
  <c r="F46" i="37"/>
  <c r="C11" i="38"/>
  <c r="C2" i="38" s="1"/>
  <c r="J61" i="11" l="1"/>
  <c r="J57" i="11"/>
  <c r="J60" i="11"/>
  <c r="Q51" i="11"/>
  <c r="O52" i="11" l="1"/>
  <c r="Q55" i="11"/>
  <c r="M52" i="11"/>
  <c r="Q61" i="11"/>
  <c r="W2" i="11"/>
  <c r="L52" i="11"/>
  <c r="T2" i="11"/>
  <c r="K52" i="11"/>
  <c r="G52" i="11"/>
  <c r="I52" i="11"/>
  <c r="Q60" i="11"/>
  <c r="H52" i="11"/>
  <c r="Q57" i="11"/>
  <c r="Q54" i="11"/>
  <c r="F52" i="11"/>
  <c r="F49" i="37"/>
  <c r="S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건축설계담당1</author>
  </authors>
  <commentList>
    <comment ref="C12" authorId="0" shapeId="0" xr:uid="{00000000-0006-0000-1200-000001000000}">
      <text>
        <r>
          <rPr>
            <sz val="9"/>
            <color rgb="FF000000"/>
            <rFont val="굴림"/>
            <family val="3"/>
            <charset val="129"/>
          </rPr>
          <t>공사금액 1억원 미만은 미해당
*총공사비=재료비+노무비+경비+부가가치세+관급자재비</t>
        </r>
      </text>
    </comment>
  </commentList>
</comments>
</file>

<file path=xl/sharedStrings.xml><?xml version="1.0" encoding="utf-8"?>
<sst xmlns="http://schemas.openxmlformats.org/spreadsheetml/2006/main" count="14746" uniqueCount="2353">
  <si>
    <t>&lt;--입력</t>
    <phoneticPr fontId="3" type="noConversion"/>
  </si>
  <si>
    <t>연면적:</t>
    <phoneticPr fontId="3" type="noConversion"/>
  </si>
  <si>
    <t>&lt;--입력(M2)</t>
    <phoneticPr fontId="3" type="noConversion"/>
  </si>
  <si>
    <t>설계 :</t>
    <phoneticPr fontId="3" type="noConversion"/>
  </si>
  <si>
    <t>ㅇㅇ건축사사무소</t>
    <phoneticPr fontId="3" type="noConversion"/>
  </si>
  <si>
    <t>공급가액(추정가격)</t>
    <phoneticPr fontId="3" type="noConversion"/>
  </si>
  <si>
    <t>&lt;--입력(위 추정가격을 입력=순환참조때문에 입력해야함)</t>
    <phoneticPr fontId="3" type="noConversion"/>
  </si>
  <si>
    <t>총공사비(추정금액)</t>
  </si>
  <si>
    <t>공사기간(일수)</t>
    <phoneticPr fontId="3" type="noConversion"/>
  </si>
  <si>
    <t>산재보험료</t>
    <phoneticPr fontId="3" type="noConversion"/>
  </si>
  <si>
    <t>환경보전비</t>
    <phoneticPr fontId="3" type="noConversion"/>
  </si>
  <si>
    <t>재개발,재건축=0.7  주택(신축)=0.3 주택외건축 0.5 기타(전문,개보수)=0.3</t>
    <phoneticPr fontId="3" type="noConversion"/>
  </si>
  <si>
    <t>공사이행보증수수료</t>
    <phoneticPr fontId="3" type="noConversion"/>
  </si>
  <si>
    <t>&lt;--입력(비적용=0,적용=1)</t>
    <phoneticPr fontId="3" type="noConversion"/>
  </si>
  <si>
    <t>제비율기준</t>
    <phoneticPr fontId="3" type="noConversion"/>
  </si>
  <si>
    <t>도급자설치관급</t>
    <phoneticPr fontId="3" type="noConversion"/>
  </si>
  <si>
    <t>관급자설치관급</t>
    <phoneticPr fontId="3" type="noConversion"/>
  </si>
  <si>
    <t>시설분담금</t>
    <phoneticPr fontId="3" type="noConversion"/>
  </si>
  <si>
    <t>전문</t>
    <phoneticPr fontId="4" type="noConversion"/>
  </si>
  <si>
    <t>183미만</t>
    <phoneticPr fontId="4" type="noConversion"/>
  </si>
  <si>
    <t>183이상</t>
    <phoneticPr fontId="4" type="noConversion"/>
  </si>
  <si>
    <t>366이상</t>
    <phoneticPr fontId="4" type="noConversion"/>
  </si>
  <si>
    <t>기본금액</t>
    <phoneticPr fontId="12" type="noConversion"/>
  </si>
  <si>
    <t>4. 일반관리비</t>
    <phoneticPr fontId="12" type="noConversion"/>
  </si>
  <si>
    <t>건축(지방)</t>
    <phoneticPr fontId="4" type="noConversion"/>
  </si>
  <si>
    <t>300~1000억미만</t>
    <phoneticPr fontId="12" type="noConversion"/>
  </si>
  <si>
    <t>30~300억미만</t>
    <phoneticPr fontId="12" type="noConversion"/>
  </si>
  <si>
    <t>1000억이상</t>
    <phoneticPr fontId="4" type="noConversion"/>
  </si>
  <si>
    <t>5. 이윤</t>
    <phoneticPr fontId="12" type="noConversion"/>
  </si>
  <si>
    <t>1등급(1200억이상)</t>
    <phoneticPr fontId="12" type="noConversion"/>
  </si>
  <si>
    <t>적용제외(1개월미만)</t>
    <phoneticPr fontId="12" type="noConversion"/>
  </si>
  <si>
    <t>기본금액(250억~500억미만)</t>
    <phoneticPr fontId="12" type="noConversion"/>
  </si>
  <si>
    <t>13.건설기계대여대금지급보증서발급수수료</t>
    <phoneticPr fontId="12" type="noConversion"/>
  </si>
  <si>
    <t>내           역           서</t>
    <phoneticPr fontId="17" type="noConversion"/>
  </si>
  <si>
    <t>( 총괄 및 건축 )</t>
    <phoneticPr fontId="17" type="noConversion"/>
  </si>
  <si>
    <t>비        목</t>
    <phoneticPr fontId="3" type="noConversion"/>
  </si>
  <si>
    <t>합계</t>
    <phoneticPr fontId="3" type="noConversion"/>
  </si>
  <si>
    <t>총계</t>
    <phoneticPr fontId="3" type="noConversion"/>
  </si>
  <si>
    <t>구성</t>
    <phoneticPr fontId="3" type="noConversion"/>
  </si>
  <si>
    <t>비고</t>
    <phoneticPr fontId="3" type="noConversion"/>
  </si>
  <si>
    <t>건축</t>
    <phoneticPr fontId="3" type="noConversion"/>
  </si>
  <si>
    <t>토목</t>
    <phoneticPr fontId="3" type="noConversion"/>
  </si>
  <si>
    <t>기계</t>
    <phoneticPr fontId="3" type="noConversion"/>
  </si>
  <si>
    <t>조경</t>
    <phoneticPr fontId="3" type="noConversion"/>
  </si>
  <si>
    <t>전기</t>
    <phoneticPr fontId="3" type="noConversion"/>
  </si>
  <si>
    <t>통신</t>
    <phoneticPr fontId="3" type="noConversion"/>
  </si>
  <si>
    <t>소방</t>
    <phoneticPr fontId="3" type="noConversion"/>
  </si>
  <si>
    <t>A1</t>
  </si>
  <si>
    <t>순   공   사   원   가</t>
  </si>
  <si>
    <t>직  접  재  료  비</t>
  </si>
  <si>
    <t/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</si>
  <si>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</si>
  <si>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</si>
  <si>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</si>
  <si>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</si>
  <si>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</si>
  <si>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</si>
  <si>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</si>
  <si>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</si>
  <si>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</si>
  <si>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</si>
  <si>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BS</t>
  </si>
  <si>
    <t>C2</t>
  </si>
  <si>
    <t>경        비</t>
  </si>
  <si>
    <t>C4</t>
  </si>
  <si>
    <t>산  재  보  험  료</t>
  </si>
  <si>
    <t>C5</t>
  </si>
  <si>
    <t>고  용  보  험  료</t>
  </si>
  <si>
    <t>C6</t>
  </si>
  <si>
    <t>국민  건강  보험료</t>
  </si>
  <si>
    <t>C7</t>
  </si>
  <si>
    <t>국민  연금  보험료</t>
  </si>
  <si>
    <t>CB</t>
  </si>
  <si>
    <t>노인장기요양보험료</t>
  </si>
  <si>
    <t>C8</t>
  </si>
  <si>
    <t>CA</t>
  </si>
  <si>
    <t>산업안전보건관리비</t>
  </si>
  <si>
    <t>CH</t>
  </si>
  <si>
    <t>CG</t>
  </si>
  <si>
    <t>기   타    경   비</t>
  </si>
  <si>
    <t>CK</t>
  </si>
  <si>
    <t>하도급지급보증수수료</t>
  </si>
  <si>
    <t>CS</t>
  </si>
  <si>
    <t>S1</t>
  </si>
  <si>
    <t>계</t>
    <phoneticPr fontId="3" type="noConversion"/>
  </si>
  <si>
    <t>D1</t>
  </si>
  <si>
    <t>일  반  관  리  비</t>
  </si>
  <si>
    <t>D2</t>
  </si>
  <si>
    <t>이              윤</t>
  </si>
  <si>
    <t>D9</t>
  </si>
  <si>
    <t>공   급    가   액</t>
  </si>
  <si>
    <t>DB</t>
  </si>
  <si>
    <t>부  가  가  치  세</t>
  </si>
  <si>
    <t>DH</t>
  </si>
  <si>
    <t>도      급      액</t>
  </si>
  <si>
    <t>DJ</t>
  </si>
  <si>
    <t>DL</t>
  </si>
  <si>
    <t>S2</t>
  </si>
  <si>
    <t>총   공   사    비</t>
  </si>
  <si>
    <t>원</t>
    <phoneticPr fontId="3" type="noConversion"/>
  </si>
  <si>
    <t>총공사비(추정금액)</t>
    <phoneticPr fontId="3" type="noConversion"/>
  </si>
  <si>
    <t>공사기간</t>
    <phoneticPr fontId="3" type="noConversion"/>
  </si>
  <si>
    <t>일</t>
    <phoneticPr fontId="3" type="noConversion"/>
  </si>
  <si>
    <t>평당공사비(부가세포함)</t>
    <phoneticPr fontId="3" type="noConversion"/>
  </si>
  <si>
    <t>변경전공사비</t>
    <phoneticPr fontId="3" type="noConversion"/>
  </si>
  <si>
    <t>증감액</t>
    <phoneticPr fontId="3" type="noConversion"/>
  </si>
  <si>
    <t>비        목</t>
  </si>
  <si>
    <t>금      액</t>
  </si>
  <si>
    <t>구        성        비</t>
  </si>
  <si>
    <t>비      고</t>
  </si>
  <si>
    <t>공사이행보증수수료</t>
    <phoneticPr fontId="3" type="noConversion"/>
  </si>
  <si>
    <t>건설기계대여대금지급보증서발급수수료</t>
    <phoneticPr fontId="3" type="noConversion"/>
  </si>
  <si>
    <t>계</t>
    <phoneticPr fontId="3" type="noConversion"/>
  </si>
  <si>
    <t>PS항목(미확정설계공종)</t>
    <phoneticPr fontId="3" type="noConversion"/>
  </si>
  <si>
    <t>공 종 별 집 계 표 ( 분 야 별 )</t>
    <phoneticPr fontId="3" type="noConversion"/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</si>
  <si>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</si>
  <si>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</si>
  <si>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</si>
  <si>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</si>
  <si>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</si>
  <si>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</si>
  <si>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</si>
  <si>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</si>
  <si>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</si>
  <si>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</si>
  <si>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</si>
  <si>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</si>
  <si>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</si>
  <si>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</si>
  <si>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</si>
  <si>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</si>
  <si>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</si>
  <si>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</si>
  <si>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>공사비비율표</t>
    <phoneticPr fontId="3" type="noConversion"/>
  </si>
  <si>
    <t>공사비비율표(관급포함일때)</t>
    <phoneticPr fontId="3" type="noConversion"/>
  </si>
  <si>
    <t>01</t>
  </si>
  <si>
    <t>재</t>
    <phoneticPr fontId="3" type="noConversion"/>
  </si>
  <si>
    <t>노</t>
    <phoneticPr fontId="3" type="noConversion"/>
  </si>
  <si>
    <t>경</t>
    <phoneticPr fontId="3" type="noConversion"/>
  </si>
  <si>
    <t>식</t>
    <phoneticPr fontId="3" type="noConversion"/>
  </si>
  <si>
    <t>0101</t>
  </si>
  <si>
    <t>평당공사비(관급포함)</t>
    <phoneticPr fontId="3" type="noConversion"/>
  </si>
  <si>
    <t>[ 소           계 ]</t>
    <phoneticPr fontId="4" type="noConversion"/>
  </si>
  <si>
    <t>[ 합           계 ]</t>
    <phoneticPr fontId="4" type="noConversion"/>
  </si>
  <si>
    <t>부가세포함</t>
    <phoneticPr fontId="3" type="noConversion"/>
  </si>
  <si>
    <t>관급비</t>
    <phoneticPr fontId="3" type="noConversion"/>
  </si>
  <si>
    <t>식</t>
  </si>
  <si>
    <t>노무비</t>
  </si>
  <si>
    <t>공 사 원 가 계 산 서(토목)(참고용)</t>
    <phoneticPr fontId="3" type="noConversion"/>
  </si>
  <si>
    <t>공 사 원 가 계 산 서(건축)(참고용)</t>
    <phoneticPr fontId="3" type="noConversion"/>
  </si>
  <si>
    <t>T A B공사</t>
    <phoneticPr fontId="3" type="noConversion"/>
  </si>
  <si>
    <t>도급자설치관급</t>
    <phoneticPr fontId="3" type="noConversion"/>
  </si>
  <si>
    <t>관급자설치관급</t>
    <phoneticPr fontId="3" type="noConversion"/>
  </si>
  <si>
    <t>구분</t>
    <phoneticPr fontId="3" type="noConversion"/>
  </si>
  <si>
    <t>금액</t>
    <phoneticPr fontId="3" type="noConversion"/>
  </si>
  <si>
    <t>비고</t>
    <phoneticPr fontId="3" type="noConversion"/>
  </si>
  <si>
    <t>총공사비</t>
    <phoneticPr fontId="3" type="noConversion"/>
  </si>
  <si>
    <t>도급비</t>
    <phoneticPr fontId="3" type="noConversion"/>
  </si>
  <si>
    <t>공급가액</t>
    <phoneticPr fontId="3" type="noConversion"/>
  </si>
  <si>
    <t>부가세</t>
    <phoneticPr fontId="3" type="noConversion"/>
  </si>
  <si>
    <t>계</t>
    <phoneticPr fontId="3" type="noConversion"/>
  </si>
  <si>
    <t>도급자설치관급</t>
    <phoneticPr fontId="3" type="noConversion"/>
  </si>
  <si>
    <t>관급자설치관급</t>
    <phoneticPr fontId="3" type="noConversion"/>
  </si>
  <si>
    <t>공종구분</t>
    <phoneticPr fontId="3" type="noConversion"/>
  </si>
  <si>
    <t>구분내용</t>
    <phoneticPr fontId="3" type="noConversion"/>
  </si>
  <si>
    <t>직접비</t>
    <phoneticPr fontId="3" type="noConversion"/>
  </si>
  <si>
    <t>도급관급</t>
    <phoneticPr fontId="3" type="noConversion"/>
  </si>
  <si>
    <t>발주관급</t>
    <phoneticPr fontId="3" type="noConversion"/>
  </si>
  <si>
    <t>T  A  B공사</t>
    <phoneticPr fontId="3" type="noConversion"/>
  </si>
  <si>
    <t>ps항목</t>
    <phoneticPr fontId="3" type="noConversion"/>
  </si>
  <si>
    <t>기타</t>
    <phoneticPr fontId="3" type="noConversion"/>
  </si>
  <si>
    <t>&lt;--입력(개월수입력)</t>
    <phoneticPr fontId="3" type="noConversion"/>
  </si>
  <si>
    <t>고재환수비</t>
    <phoneticPr fontId="3" type="noConversion"/>
  </si>
  <si>
    <t>재료비</t>
  </si>
  <si>
    <t>1.건축</t>
    <phoneticPr fontId="3" type="noConversion"/>
  </si>
  <si>
    <t>2.토목</t>
    <phoneticPr fontId="3" type="noConversion"/>
  </si>
  <si>
    <t>3.기계</t>
    <phoneticPr fontId="3" type="noConversion"/>
  </si>
  <si>
    <t>4.조경</t>
    <phoneticPr fontId="3" type="noConversion"/>
  </si>
  <si>
    <t>5.전기</t>
    <phoneticPr fontId="3" type="noConversion"/>
  </si>
  <si>
    <t>6.통신</t>
    <phoneticPr fontId="3" type="noConversion"/>
  </si>
  <si>
    <t>7.소방</t>
    <phoneticPr fontId="3" type="noConversion"/>
  </si>
  <si>
    <t>간접공사비</t>
    <phoneticPr fontId="3" type="noConversion"/>
  </si>
  <si>
    <t>1)</t>
    <phoneticPr fontId="3" type="noConversion"/>
  </si>
  <si>
    <t xml:space="preserve"> 건  축  공  사</t>
    <phoneticPr fontId="3" type="noConversion"/>
  </si>
  <si>
    <t xml:space="preserve"> 토  목  공  사</t>
    <phoneticPr fontId="4" type="noConversion"/>
  </si>
  <si>
    <t xml:space="preserve"> 기  계  공  사</t>
    <phoneticPr fontId="4" type="noConversion"/>
  </si>
  <si>
    <t xml:space="preserve"> 조  경  공  사</t>
    <phoneticPr fontId="4" type="noConversion"/>
  </si>
  <si>
    <t>2)</t>
  </si>
  <si>
    <t>3)</t>
  </si>
  <si>
    <t>4)</t>
  </si>
  <si>
    <t xml:space="preserve"> 전  기  공  사</t>
    <phoneticPr fontId="4" type="noConversion"/>
  </si>
  <si>
    <t xml:space="preserve"> 통  신  공  사</t>
    <phoneticPr fontId="4" type="noConversion"/>
  </si>
  <si>
    <t xml:space="preserve"> 소  방  공  사</t>
    <phoneticPr fontId="4" type="noConversion"/>
  </si>
  <si>
    <t xml:space="preserve"> PS항목(미확정설계공종)</t>
    <phoneticPr fontId="4" type="noConversion"/>
  </si>
  <si>
    <t xml:space="preserve"> T.A.B공사</t>
    <phoneticPr fontId="3" type="noConversion"/>
  </si>
  <si>
    <t xml:space="preserve"> 시설분담금</t>
    <phoneticPr fontId="3" type="noConversion"/>
  </si>
  <si>
    <t xml:space="preserve"> 한전불입금 및 사용전검사비</t>
    <phoneticPr fontId="3" type="noConversion"/>
  </si>
  <si>
    <t xml:space="preserve"> 고재환수비</t>
    <phoneticPr fontId="3" type="noConversion"/>
  </si>
  <si>
    <t>목표금액(예산)</t>
    <phoneticPr fontId="3" type="noConversion"/>
  </si>
  <si>
    <t>증감액</t>
    <phoneticPr fontId="3" type="noConversion"/>
  </si>
  <si>
    <t>증감율</t>
    <phoneticPr fontId="3" type="noConversion"/>
  </si>
  <si>
    <t>평당공사비</t>
    <phoneticPr fontId="3" type="noConversion"/>
  </si>
  <si>
    <t>3-2)</t>
  </si>
  <si>
    <t>3-1)</t>
    <phoneticPr fontId="3" type="noConversion"/>
  </si>
  <si>
    <t xml:space="preserve"> 기계설비공사</t>
    <phoneticPr fontId="3" type="noConversion"/>
  </si>
  <si>
    <t>식</t>
    <phoneticPr fontId="3" type="noConversion"/>
  </si>
  <si>
    <t xml:space="preserve"> 전기소방공사</t>
    <phoneticPr fontId="3" type="noConversion"/>
  </si>
  <si>
    <t>1. 간접노무비</t>
    <phoneticPr fontId="12" type="noConversion"/>
  </si>
  <si>
    <t>적용기준(%)</t>
    <phoneticPr fontId="12" type="noConversion"/>
  </si>
  <si>
    <t>6개월이하</t>
    <phoneticPr fontId="13" type="noConversion"/>
  </si>
  <si>
    <t>7~12개월</t>
    <phoneticPr fontId="4" type="noConversion"/>
  </si>
  <si>
    <t>13~36개월</t>
    <phoneticPr fontId="4" type="noConversion"/>
  </si>
  <si>
    <t>36개월이상</t>
    <phoneticPr fontId="4" type="noConversion"/>
  </si>
  <si>
    <t>적용</t>
    <phoneticPr fontId="4" type="noConversion"/>
  </si>
  <si>
    <t>공사금액</t>
    <phoneticPr fontId="13" type="noConversion"/>
  </si>
  <si>
    <t>183일</t>
    <phoneticPr fontId="12" type="noConversion"/>
  </si>
  <si>
    <t>365일</t>
    <phoneticPr fontId="12" type="noConversion"/>
  </si>
  <si>
    <t>1095일</t>
    <phoneticPr fontId="3" type="noConversion"/>
  </si>
  <si>
    <t>1096일</t>
    <phoneticPr fontId="4" type="noConversion"/>
  </si>
  <si>
    <t>일반공사</t>
    <phoneticPr fontId="4" type="noConversion"/>
  </si>
  <si>
    <t>전문공사</t>
    <phoneticPr fontId="4" type="noConversion"/>
  </si>
  <si>
    <t xml:space="preserve"> 공사기간</t>
    <phoneticPr fontId="12" type="noConversion"/>
  </si>
  <si>
    <t>2. 기타경비</t>
    <phoneticPr fontId="12" type="noConversion"/>
  </si>
  <si>
    <t xml:space="preserve"> 기타</t>
    <phoneticPr fontId="12" type="noConversion"/>
  </si>
  <si>
    <t>3. 산업안전보건관리비</t>
    <phoneticPr fontId="12" type="noConversion"/>
  </si>
  <si>
    <t>2천만원미만</t>
    <phoneticPr fontId="4" type="noConversion"/>
  </si>
  <si>
    <t>5억미만</t>
    <phoneticPr fontId="12" type="noConversion"/>
  </si>
  <si>
    <t>50억미만</t>
    <phoneticPr fontId="12" type="noConversion"/>
  </si>
  <si>
    <t>50억이상</t>
    <phoneticPr fontId="12" type="noConversion"/>
  </si>
  <si>
    <t>800억이상</t>
    <phoneticPr fontId="3" type="noConversion"/>
  </si>
  <si>
    <t>건축(국가)</t>
    <phoneticPr fontId="4" type="noConversion"/>
  </si>
  <si>
    <t>공사금액</t>
    <phoneticPr fontId="4" type="noConversion"/>
  </si>
  <si>
    <t>국가</t>
    <phoneticPr fontId="4" type="noConversion"/>
  </si>
  <si>
    <t>지방</t>
    <phoneticPr fontId="4" type="noConversion"/>
  </si>
  <si>
    <t>50~300억미만</t>
    <phoneticPr fontId="12" type="noConversion"/>
  </si>
  <si>
    <t>5~30억미만</t>
    <phoneticPr fontId="12" type="noConversion"/>
  </si>
  <si>
    <t>요율</t>
    <phoneticPr fontId="4" type="noConversion"/>
  </si>
  <si>
    <t>300억미만</t>
    <phoneticPr fontId="12" type="noConversion"/>
  </si>
  <si>
    <t>1000억이만</t>
    <phoneticPr fontId="12" type="noConversion"/>
  </si>
  <si>
    <t>1000억이상</t>
    <phoneticPr fontId="12" type="noConversion"/>
  </si>
  <si>
    <t>6. 건설하도급대금 지급보증서 발급수수료</t>
    <phoneticPr fontId="12" type="noConversion"/>
  </si>
  <si>
    <t>(참고용)</t>
    <phoneticPr fontId="4" type="noConversion"/>
  </si>
  <si>
    <t xml:space="preserve"> 적용요율(%)</t>
    <phoneticPr fontId="4" type="noConversion"/>
  </si>
  <si>
    <t xml:space="preserve"> 요율</t>
    <phoneticPr fontId="12" type="noConversion"/>
  </si>
  <si>
    <t>참고용</t>
    <phoneticPr fontId="4" type="noConversion"/>
  </si>
  <si>
    <t>100억미만</t>
    <phoneticPr fontId="12" type="noConversion"/>
  </si>
  <si>
    <t xml:space="preserve"> 추정가격+부가세=설계금액</t>
    <phoneticPr fontId="4" type="noConversion"/>
  </si>
  <si>
    <t>300억이상</t>
    <phoneticPr fontId="12" type="noConversion"/>
  </si>
  <si>
    <t xml:space="preserve"> 조사금액(참고용)</t>
    <phoneticPr fontId="4" type="noConversion"/>
  </si>
  <si>
    <t>모든공사에 적용(전문,문화재등 제외)</t>
    <phoneticPr fontId="4" type="noConversion"/>
  </si>
  <si>
    <t>7. 고용보험료</t>
    <phoneticPr fontId="12" type="noConversion"/>
  </si>
  <si>
    <t>7등급이하(130억미만)</t>
    <phoneticPr fontId="3" type="noConversion"/>
  </si>
  <si>
    <t>예정금액</t>
    <phoneticPr fontId="4" type="noConversion"/>
  </si>
  <si>
    <t>모든공사 적용,</t>
    <phoneticPr fontId="4" type="noConversion"/>
  </si>
  <si>
    <t>등급기준은 추정금액 기준임</t>
    <phoneticPr fontId="4" type="noConversion"/>
  </si>
  <si>
    <t>8. 퇴직공제부금비</t>
    <phoneticPr fontId="12" type="noConversion"/>
  </si>
  <si>
    <t>적용제외</t>
    <phoneticPr fontId="12" type="noConversion"/>
  </si>
  <si>
    <t>(1억이상)</t>
    <phoneticPr fontId="12" type="noConversion"/>
  </si>
  <si>
    <t>1개월이상 모든공사에 적용</t>
    <phoneticPr fontId="4" type="noConversion"/>
  </si>
  <si>
    <t>10. 건강보험료</t>
    <phoneticPr fontId="12" type="noConversion"/>
  </si>
  <si>
    <t>11. 노인장기요양보험료</t>
    <phoneticPr fontId="12" type="noConversion"/>
  </si>
  <si>
    <t>12.공사이행보증수수료</t>
    <phoneticPr fontId="12" type="noConversion"/>
  </si>
  <si>
    <t>요율</t>
    <phoneticPr fontId="3" type="noConversion"/>
  </si>
  <si>
    <t>기본금액</t>
    <phoneticPr fontId="3" type="noConversion"/>
  </si>
  <si>
    <t>적용금액</t>
    <phoneticPr fontId="3" type="noConversion"/>
  </si>
  <si>
    <t>적용비고</t>
    <phoneticPr fontId="3" type="noConversion"/>
  </si>
  <si>
    <t>기본금액(70억미만)</t>
    <phoneticPr fontId="12" type="noConversion"/>
  </si>
  <si>
    <t>기본금액(70억~120억미만)</t>
    <phoneticPr fontId="12" type="noConversion"/>
  </si>
  <si>
    <t>기본금액(120억~250억미만)</t>
    <phoneticPr fontId="12" type="noConversion"/>
  </si>
  <si>
    <t>공기년수</t>
    <phoneticPr fontId="3" type="noConversion"/>
  </si>
  <si>
    <t>적용금액</t>
    <phoneticPr fontId="12" type="noConversion"/>
  </si>
  <si>
    <t>기본금액(500억이상)</t>
    <phoneticPr fontId="12" type="noConversion"/>
  </si>
  <si>
    <t>적용비고</t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</si>
  <si>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(직노*율)</t>
    </r>
    <phoneticPr fontId="12" type="noConversion"/>
  </si>
  <si>
    <r>
      <t xml:space="preserve"> 적용요율</t>
    </r>
    <r>
      <rPr>
        <sz val="11"/>
        <color theme="1"/>
        <rFont val="Asia희망M-NC"/>
        <family val="3"/>
        <charset val="129"/>
      </rPr>
      <t>(%)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</si>
  <si>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(재+직노+산경)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</si>
  <si>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((재+노)*율)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</si>
  <si>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((재(관급포함)+직노)*율)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</si>
  <si>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(재(관급포함)+직노)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</si>
  <si>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(추정금액)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</si>
  <si>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((재+노+경)*율)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</si>
  <si>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(추정가격)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</si>
  <si>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((노+경+일)*율)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</si>
  <si>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((재+직노+산출경비)*율)</t>
    </r>
    <phoneticPr fontId="12" type="noConversion"/>
  </si>
  <si>
    <r>
      <t xml:space="preserve"> 적용기준 </t>
    </r>
    <r>
      <rPr>
        <sz val="11"/>
        <color theme="1"/>
        <rFont val="Asia희망M-NC"/>
        <family val="3"/>
        <charset val="129"/>
      </rPr>
      <t>((직노)*율)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</si>
  <si>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(공사예정금액)</t>
    </r>
    <phoneticPr fontId="12" type="noConversion"/>
  </si>
  <si>
    <r>
      <t xml:space="preserve"> 적용기준</t>
    </r>
    <r>
      <rPr>
        <sz val="11"/>
        <color theme="1"/>
        <rFont val="Asia희망M-NC"/>
        <family val="3"/>
        <charset val="129"/>
      </rPr>
      <t>((국민건강보험의 보험료)*율)</t>
    </r>
    <phoneticPr fontId="12" type="noConversion"/>
  </si>
  <si>
    <r>
      <t xml:space="preserve"> 적용기준</t>
    </r>
    <r>
      <rPr>
        <sz val="11"/>
        <color theme="1"/>
        <rFont val="Asia희망M-NC"/>
        <family val="3"/>
        <charset val="129"/>
      </rPr>
      <t>([(재+직노+산출경비)*율+기본금]*공기(년))</t>
    </r>
    <phoneticPr fontId="12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</si>
  <si>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(직접공사비)</t>
    </r>
    <phoneticPr fontId="12" type="noConversion"/>
  </si>
  <si>
    <t>별도</t>
    <phoneticPr fontId="3" type="noConversion"/>
  </si>
  <si>
    <t>별도</t>
    <phoneticPr fontId="3" type="noConversion"/>
  </si>
  <si>
    <t>최종수정일</t>
    <phoneticPr fontId="3" type="noConversion"/>
  </si>
  <si>
    <t>평</t>
    <phoneticPr fontId="3" type="noConversion"/>
  </si>
  <si>
    <t>관급포함</t>
    <phoneticPr fontId="3" type="noConversion"/>
  </si>
  <si>
    <t>제경비포함</t>
    <phoneticPr fontId="3" type="noConversion"/>
  </si>
  <si>
    <t>(바)</t>
    <phoneticPr fontId="3" type="noConversion"/>
  </si>
  <si>
    <t>산출경비</t>
    <phoneticPr fontId="3" type="noConversion"/>
  </si>
  <si>
    <t>안전관리비</t>
    <phoneticPr fontId="3" type="noConversion"/>
  </si>
  <si>
    <t>환경보전비</t>
    <phoneticPr fontId="3" type="noConversion"/>
  </si>
  <si>
    <t>(나)</t>
    <phoneticPr fontId="3" type="noConversion"/>
  </si>
  <si>
    <t>[ 도급자설치관급 계 ]</t>
    <phoneticPr fontId="4" type="noConversion"/>
  </si>
  <si>
    <t>[ 안전관리비 계 ]</t>
    <phoneticPr fontId="4" type="noConversion"/>
  </si>
  <si>
    <t>[ 관급자설치관급 계 ]</t>
    <phoneticPr fontId="4" type="noConversion"/>
  </si>
  <si>
    <t>[ 기타공사 계 ]</t>
    <phoneticPr fontId="4" type="noConversion"/>
  </si>
  <si>
    <t>요율적용</t>
    <phoneticPr fontId="3" type="noConversion"/>
  </si>
  <si>
    <t>1.2배</t>
    <phoneticPr fontId="3" type="noConversion"/>
  </si>
  <si>
    <t>국토부 고시 제2021-905호, 2021.7.1.</t>
    <phoneticPr fontId="4" type="noConversion"/>
  </si>
  <si>
    <t>1.건축</t>
    <phoneticPr fontId="3" type="noConversion"/>
  </si>
  <si>
    <t>건축</t>
    <phoneticPr fontId="3" type="noConversion"/>
  </si>
  <si>
    <t>(가)</t>
    <phoneticPr fontId="3" type="noConversion"/>
  </si>
  <si>
    <t>(마-1)</t>
    <phoneticPr fontId="3" type="noConversion"/>
  </si>
  <si>
    <t>210814</t>
    <phoneticPr fontId="3" type="noConversion"/>
  </si>
  <si>
    <t>공종별집계표(분야별)= 번호구간의 서식 열정리 일부변경</t>
    <phoneticPr fontId="3" type="noConversion"/>
  </si>
  <si>
    <t>210906</t>
    <phoneticPr fontId="3" type="noConversion"/>
  </si>
  <si>
    <t>품질관리비 경비항목 분리</t>
    <phoneticPr fontId="3" type="noConversion"/>
  </si>
  <si>
    <t xml:space="preserve"> 품질관리비</t>
    <phoneticPr fontId="4" type="noConversion"/>
  </si>
  <si>
    <t>(마)</t>
    <phoneticPr fontId="3" type="noConversion"/>
  </si>
  <si>
    <t>품질관리비</t>
    <phoneticPr fontId="3" type="noConversion"/>
  </si>
  <si>
    <t>산출경비</t>
    <phoneticPr fontId="3" type="noConversion"/>
  </si>
  <si>
    <t>퇴직공제부금비</t>
    <phoneticPr fontId="3" type="noConversion"/>
  </si>
  <si>
    <t>[ 품질관리비 계 ]</t>
    <phoneticPr fontId="4" type="noConversion"/>
  </si>
  <si>
    <t>소방</t>
    <phoneticPr fontId="3" type="noConversion"/>
  </si>
  <si>
    <t>211008</t>
    <phoneticPr fontId="3" type="noConversion"/>
  </si>
  <si>
    <t>소방원가에 공사손해보험료 추가</t>
    <phoneticPr fontId="3" type="noConversion"/>
  </si>
  <si>
    <t>6.통신</t>
    <phoneticPr fontId="3" type="noConversion"/>
  </si>
  <si>
    <t>건축</t>
    <phoneticPr fontId="3" type="noConversion"/>
  </si>
  <si>
    <t>통신</t>
    <phoneticPr fontId="3" type="noConversion"/>
  </si>
  <si>
    <t>소방</t>
    <phoneticPr fontId="3" type="noConversion"/>
  </si>
  <si>
    <t>통신</t>
    <phoneticPr fontId="3" type="noConversion"/>
  </si>
  <si>
    <t>211015</t>
    <phoneticPr fontId="3" type="noConversion"/>
  </si>
  <si>
    <t>토목 품질시험비 산출경비항목 링크 오류 수정</t>
    <phoneticPr fontId="3" type="noConversion"/>
  </si>
  <si>
    <t>(바)</t>
    <phoneticPr fontId="3" type="noConversion"/>
  </si>
  <si>
    <t>211023</t>
    <phoneticPr fontId="3" type="noConversion"/>
  </si>
  <si>
    <t>요율시트 간접노무비의 금액 품질시험비 누락</t>
    <phoneticPr fontId="3" type="noConversion"/>
  </si>
  <si>
    <t>211027</t>
    <phoneticPr fontId="3" type="noConversion"/>
  </si>
  <si>
    <t>공사이행보증수수료 요율 산식 변경</t>
    <phoneticPr fontId="3" type="noConversion"/>
  </si>
  <si>
    <t>[ 건축분야 계 ]</t>
    <phoneticPr fontId="4" type="noConversion"/>
  </si>
  <si>
    <t>총계</t>
  </si>
  <si>
    <t>211221</t>
    <phoneticPr fontId="3" type="noConversion"/>
  </si>
  <si>
    <t>220103</t>
    <phoneticPr fontId="3" type="noConversion"/>
  </si>
  <si>
    <t>22년제경비수정</t>
    <phoneticPr fontId="3" type="noConversion"/>
  </si>
  <si>
    <t>220121</t>
    <phoneticPr fontId="3" type="noConversion"/>
  </si>
  <si>
    <t>토목에 하수도 분담금란을 추가함</t>
    <phoneticPr fontId="3" type="noConversion"/>
  </si>
  <si>
    <t>토목</t>
    <phoneticPr fontId="3" type="noConversion"/>
  </si>
  <si>
    <t xml:space="preserve"> 하수도분담금</t>
    <phoneticPr fontId="3" type="noConversion"/>
  </si>
  <si>
    <t>토목</t>
    <phoneticPr fontId="3" type="noConversion"/>
  </si>
  <si>
    <t>하수도분담금</t>
    <phoneticPr fontId="3" type="noConversion"/>
  </si>
  <si>
    <t>220210</t>
    <phoneticPr fontId="3" type="noConversion"/>
  </si>
  <si>
    <t>상세도 작성비 22년 노임으로 변경</t>
    <phoneticPr fontId="3" type="noConversion"/>
  </si>
  <si>
    <t>소계</t>
  </si>
  <si>
    <t>고용지원개선비</t>
    <phoneticPr fontId="3" type="noConversion"/>
  </si>
  <si>
    <t>고용개선지원비</t>
    <phoneticPr fontId="3" type="noConversion"/>
  </si>
  <si>
    <t xml:space="preserve"> 고용개선지원비</t>
    <phoneticPr fontId="3" type="noConversion"/>
  </si>
  <si>
    <t>직접노무비확인사항 정리</t>
    <phoneticPr fontId="3" type="noConversion"/>
  </si>
  <si>
    <t>고용지원개선비 적용</t>
    <phoneticPr fontId="3" type="noConversion"/>
  </si>
  <si>
    <t>220315</t>
    <phoneticPr fontId="3" type="noConversion"/>
  </si>
  <si>
    <t>220314</t>
    <phoneticPr fontId="3" type="noConversion"/>
  </si>
  <si>
    <t>미술장식품 표준공사비 변경</t>
    <phoneticPr fontId="3" type="noConversion"/>
  </si>
  <si>
    <t>220318</t>
    <phoneticPr fontId="3" type="noConversion"/>
  </si>
  <si>
    <t>시트검색목록 정리</t>
    <phoneticPr fontId="3" type="noConversion"/>
  </si>
  <si>
    <t>220413</t>
    <phoneticPr fontId="3" type="noConversion"/>
  </si>
  <si>
    <t>원가계산 비고란 산출경비 변경</t>
    <phoneticPr fontId="3" type="noConversion"/>
  </si>
  <si>
    <t>산출경비</t>
    <phoneticPr fontId="3" type="noConversion"/>
  </si>
  <si>
    <t>220422</t>
    <phoneticPr fontId="3" type="noConversion"/>
  </si>
  <si>
    <t>22년제경비수정(220425)</t>
    <phoneticPr fontId="3" type="noConversion"/>
  </si>
  <si>
    <t>220518</t>
    <phoneticPr fontId="3" type="noConversion"/>
  </si>
  <si>
    <t>미술장식품 수정</t>
    <phoneticPr fontId="3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</si>
  <si>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(재+직노)</t>
    </r>
    <phoneticPr fontId="12" type="noConversion"/>
  </si>
  <si>
    <t>220630</t>
    <phoneticPr fontId="3" type="noConversion"/>
  </si>
  <si>
    <t>고용보험 추정금액(추정가격+부가세+도급자설치관급)변경</t>
    <phoneticPr fontId="3" type="noConversion"/>
  </si>
  <si>
    <t>산업안전보건관리 대상금액 수정</t>
    <phoneticPr fontId="3" type="noConversion"/>
  </si>
  <si>
    <t>추정금액 1억이상시 적용</t>
    <phoneticPr fontId="4" type="noConversion"/>
  </si>
  <si>
    <r>
      <t xml:space="preserve"> 공사금액</t>
    </r>
    <r>
      <rPr>
        <sz val="11"/>
        <color theme="1"/>
        <rFont val="Asia희망M-NC"/>
        <family val="3"/>
        <charset val="129"/>
      </rPr>
      <t>(추정금액)</t>
    </r>
    <phoneticPr fontId="12" type="noConversion"/>
  </si>
  <si>
    <t>220712</t>
    <phoneticPr fontId="3" type="noConversion"/>
  </si>
  <si>
    <t>원가계산 건축분야 = 원가총괄 비교용 금액란 수정</t>
    <phoneticPr fontId="3" type="noConversion"/>
  </si>
  <si>
    <t>기본금</t>
    <phoneticPr fontId="12" type="noConversion"/>
  </si>
  <si>
    <t>관급포함</t>
    <phoneticPr fontId="3" type="noConversion"/>
  </si>
  <si>
    <t>220721</t>
    <phoneticPr fontId="3" type="noConversion"/>
  </si>
  <si>
    <t>정기안전점검비 대상금액 수정 및 산업안전보건관리비 기본금 수정</t>
    <phoneticPr fontId="3" type="noConversion"/>
  </si>
  <si>
    <t>220810</t>
    <phoneticPr fontId="3" type="noConversion"/>
  </si>
  <si>
    <t>정기안전점검비 대상금액 링크수정</t>
    <phoneticPr fontId="3" type="noConversion"/>
  </si>
  <si>
    <t>재해예방기술지도추가</t>
    <phoneticPr fontId="3" type="noConversion"/>
  </si>
  <si>
    <t>천원</t>
  </si>
  <si>
    <t>중급기술자</t>
  </si>
  <si>
    <t>재해예방기술지도</t>
    <phoneticPr fontId="3" type="noConversion"/>
  </si>
  <si>
    <t>기계</t>
    <phoneticPr fontId="3" type="noConversion"/>
  </si>
  <si>
    <t xml:space="preserve"> 재해예방기술지도</t>
    <phoneticPr fontId="3" type="noConversion"/>
  </si>
  <si>
    <t>전기</t>
    <phoneticPr fontId="3" type="noConversion"/>
  </si>
  <si>
    <t>건축</t>
    <phoneticPr fontId="3" type="noConversion"/>
  </si>
  <si>
    <t>재해예방기술지도</t>
    <phoneticPr fontId="3" type="noConversion"/>
  </si>
  <si>
    <t>220824</t>
    <phoneticPr fontId="3" type="noConversion"/>
  </si>
  <si>
    <t>220826</t>
    <phoneticPr fontId="3" type="noConversion"/>
  </si>
  <si>
    <t>재해예방기술지도 총괄표 합산 수정</t>
    <phoneticPr fontId="3" type="noConversion"/>
  </si>
  <si>
    <t>220829</t>
    <phoneticPr fontId="3" type="noConversion"/>
  </si>
  <si>
    <t>정기안전점검비 대상금액 링크수정(순환참조 걸리지 않게 조정)</t>
    <phoneticPr fontId="3" type="noConversion"/>
  </si>
  <si>
    <t>220906</t>
    <phoneticPr fontId="3" type="noConversion"/>
  </si>
  <si>
    <t>가설비/운반비/환경보전비/안전관리비(직접비) 분야별집계표에서 삭제</t>
    <phoneticPr fontId="3" type="noConversion"/>
  </si>
  <si>
    <t>별도공사</t>
    <phoneticPr fontId="3" type="noConversion"/>
  </si>
  <si>
    <t>공사손해보험</t>
    <phoneticPr fontId="3" type="noConversion"/>
  </si>
  <si>
    <t xml:space="preserve"> 공사손해보험</t>
    <phoneticPr fontId="3" type="noConversion"/>
  </si>
  <si>
    <t xml:space="preserve"> 배상책임보험</t>
    <phoneticPr fontId="3" type="noConversion"/>
  </si>
  <si>
    <t>220907</t>
    <phoneticPr fontId="3" type="noConversion"/>
  </si>
  <si>
    <t>원가계산에 배상책임보험칸 추가</t>
    <phoneticPr fontId="3" type="noConversion"/>
  </si>
  <si>
    <t>☞</t>
  </si>
  <si>
    <t>221020</t>
    <phoneticPr fontId="3" type="noConversion"/>
  </si>
  <si>
    <t>재해예방기술지도비용 변경 및 입력란에 추가</t>
    <phoneticPr fontId="3" type="noConversion"/>
  </si>
  <si>
    <t>재해예방기술지도</t>
    <phoneticPr fontId="3" type="noConversion"/>
  </si>
  <si>
    <t>221202</t>
    <phoneticPr fontId="3" type="noConversion"/>
  </si>
  <si>
    <t>기술사용료 포함</t>
    <phoneticPr fontId="3" type="noConversion"/>
  </si>
  <si>
    <t>기술사용료</t>
    <phoneticPr fontId="3" type="noConversion"/>
  </si>
  <si>
    <t>230105</t>
    <phoneticPr fontId="3" type="noConversion"/>
  </si>
  <si>
    <t>23년도 제경비 적용(230102)</t>
    <phoneticPr fontId="3" type="noConversion"/>
  </si>
  <si>
    <t>시공상세도 작성비 수정</t>
    <phoneticPr fontId="3" type="noConversion"/>
  </si>
  <si>
    <t>안전관리비</t>
    <phoneticPr fontId="3" type="noConversion"/>
  </si>
  <si>
    <t>안전관리비</t>
    <phoneticPr fontId="3" type="noConversion"/>
  </si>
  <si>
    <t xml:space="preserve"> 기술사용료</t>
    <phoneticPr fontId="3" type="noConversion"/>
  </si>
  <si>
    <t>230125</t>
    <phoneticPr fontId="3" type="noConversion"/>
  </si>
  <si>
    <t>230215</t>
    <phoneticPr fontId="3" type="noConversion"/>
  </si>
  <si>
    <t>스마트안전장비비추가(수자원공사기준임)</t>
    <phoneticPr fontId="3" type="noConversion"/>
  </si>
  <si>
    <t>230228</t>
    <phoneticPr fontId="3" type="noConversion"/>
  </si>
  <si>
    <t>일반관리비 및 이윤(기술사용료 제외)</t>
    <phoneticPr fontId="3" type="noConversion"/>
  </si>
  <si>
    <t>230315</t>
    <phoneticPr fontId="3" type="noConversion"/>
  </si>
  <si>
    <t>공사개요 시트 추가</t>
    <phoneticPr fontId="3" type="noConversion"/>
  </si>
  <si>
    <t>230406</t>
    <phoneticPr fontId="3" type="noConversion"/>
  </si>
  <si>
    <t>고용개선지원비 수정</t>
    <phoneticPr fontId="3" type="noConversion"/>
  </si>
  <si>
    <t>230424</t>
    <phoneticPr fontId="3" type="noConversion"/>
  </si>
  <si>
    <t>미술장식품 23년도 표준공사비</t>
    <phoneticPr fontId="3" type="noConversion"/>
  </si>
  <si>
    <t>230428</t>
    <phoneticPr fontId="3" type="noConversion"/>
  </si>
  <si>
    <t>23년도 제경비 적용(230428)</t>
    <phoneticPr fontId="3" type="noConversion"/>
  </si>
  <si>
    <t>230613</t>
    <phoneticPr fontId="3" type="noConversion"/>
  </si>
  <si>
    <t>고용지원개선비 적용기준 수정</t>
    <phoneticPr fontId="3" type="noConversion"/>
  </si>
  <si>
    <t>230724</t>
    <phoneticPr fontId="3" type="noConversion"/>
  </si>
  <si>
    <t>23년도 제경비 적용(230710)-고용보험 등급 금액 변경</t>
    <phoneticPr fontId="3" type="noConversion"/>
  </si>
  <si>
    <t>6등급(210~130억미만)</t>
    <phoneticPr fontId="12" type="noConversion"/>
  </si>
  <si>
    <t>5등급이하(340~210억미만)</t>
    <phoneticPr fontId="12" type="noConversion"/>
  </si>
  <si>
    <t>4등급이하(520-340억미만)</t>
    <phoneticPr fontId="12" type="noConversion"/>
  </si>
  <si>
    <t>3등급(800억-520억)</t>
    <phoneticPr fontId="12" type="noConversion"/>
  </si>
  <si>
    <t>2등급(1200억-800억)</t>
    <phoneticPr fontId="12" type="noConversion"/>
  </si>
  <si>
    <t>기계경비,가설비,운반비,환경보전비(직접비),안전관리비(직접비)</t>
    <phoneticPr fontId="3" type="noConversion"/>
  </si>
  <si>
    <t>230810</t>
    <phoneticPr fontId="3" type="noConversion"/>
  </si>
  <si>
    <t>손해배상보험 산업별 선택기능 추가</t>
    <phoneticPr fontId="3" type="noConversion"/>
  </si>
  <si>
    <t>231018</t>
    <phoneticPr fontId="3" type="noConversion"/>
  </si>
  <si>
    <t>원가계산서총괄표 금회발주분 별도발주분으로 명칭변경</t>
    <phoneticPr fontId="3" type="noConversion"/>
  </si>
  <si>
    <t>240103</t>
    <phoneticPr fontId="3" type="noConversion"/>
  </si>
  <si>
    <t>24년도 제경비 적용(240101)</t>
    <phoneticPr fontId="3" type="noConversion"/>
  </si>
  <si>
    <t>턴키대안공사</t>
    <phoneticPr fontId="3" type="noConversion"/>
  </si>
  <si>
    <t>건설하도급대금지급보증서발급수수료 수정할것</t>
    <phoneticPr fontId="3" type="noConversion"/>
  </si>
  <si>
    <t>240206</t>
    <phoneticPr fontId="3" type="noConversion"/>
  </si>
  <si>
    <t>도급분 건설폐기물 순공사 경비로 수정</t>
    <phoneticPr fontId="3" type="noConversion"/>
  </si>
  <si>
    <t>240218</t>
    <phoneticPr fontId="3" type="noConversion"/>
  </si>
  <si>
    <t>재해예방기술지도 24년 노무비 변경</t>
    <phoneticPr fontId="3" type="noConversion"/>
  </si>
  <si>
    <t>240222</t>
    <phoneticPr fontId="3" type="noConversion"/>
  </si>
  <si>
    <t>시공상세도 작성비 노임수정</t>
    <phoneticPr fontId="3" type="noConversion"/>
  </si>
  <si>
    <t>240321</t>
    <phoneticPr fontId="3" type="noConversion"/>
  </si>
  <si>
    <t>24년도 제경비 적용(240315)</t>
    <phoneticPr fontId="3" type="noConversion"/>
  </si>
  <si>
    <t>폴더명(집계폴더)</t>
    <phoneticPr fontId="3" type="noConversion"/>
  </si>
  <si>
    <t>24년도 제경비 적용(240701)</t>
    <phoneticPr fontId="3" type="noConversion"/>
  </si>
  <si>
    <t>240701</t>
    <phoneticPr fontId="3" type="noConversion"/>
  </si>
  <si>
    <t>240730</t>
    <phoneticPr fontId="3" type="noConversion"/>
  </si>
  <si>
    <t>고용지원개선비 수정</t>
    <phoneticPr fontId="3" type="noConversion"/>
  </si>
  <si>
    <t>기술사용료 원가계산서상 이윤 밑으로 이동</t>
    <phoneticPr fontId="3" type="noConversion"/>
  </si>
  <si>
    <t>초급기술자</t>
  </si>
  <si>
    <t>240923</t>
    <phoneticPr fontId="3" type="noConversion"/>
  </si>
  <si>
    <t>시공상세도작성비 수정</t>
    <phoneticPr fontId="3" type="noConversion"/>
  </si>
  <si>
    <t>건설폐기물처리비</t>
    <phoneticPr fontId="3" type="noConversion"/>
  </si>
  <si>
    <t>241004</t>
    <phoneticPr fontId="3" type="noConversion"/>
  </si>
  <si>
    <t>건설폐기물처리비 도급분 항목추가</t>
    <phoneticPr fontId="3" type="noConversion"/>
  </si>
  <si>
    <t>241016</t>
    <phoneticPr fontId="3" type="noConversion"/>
  </si>
  <si>
    <t>건설폐기물처리비 도급분 항목삭제 산출경비 항목임</t>
    <phoneticPr fontId="3" type="noConversion"/>
  </si>
  <si>
    <t>250114</t>
    <phoneticPr fontId="3" type="noConversion"/>
  </si>
  <si>
    <t>25년01월 제경비율 적용</t>
    <phoneticPr fontId="3" type="noConversion"/>
  </si>
  <si>
    <t>250305</t>
    <phoneticPr fontId="3" type="noConversion"/>
  </si>
  <si>
    <t>총괄표 폐기물처리비-&gt;건설폐기물처리비로 수정</t>
    <phoneticPr fontId="3" type="noConversion"/>
  </si>
  <si>
    <t>건설폐기물처리</t>
    <phoneticPr fontId="3" type="noConversion"/>
  </si>
  <si>
    <t>250328</t>
    <phoneticPr fontId="3" type="noConversion"/>
  </si>
  <si>
    <t>25년04월 제경비율 적용(간접노무비/기타경비/공사이행보증수수료)</t>
    <phoneticPr fontId="3" type="noConversion"/>
  </si>
  <si>
    <t>250401</t>
    <phoneticPr fontId="3" type="noConversion"/>
  </si>
  <si>
    <t>전기/통신/소방 원가항목에 재해예방기술지도비 추가</t>
    <phoneticPr fontId="3" type="noConversion"/>
  </si>
  <si>
    <t>국가계약법과 지방계약법 구분 적용</t>
    <phoneticPr fontId="3" type="noConversion"/>
  </si>
  <si>
    <t>일반관리비구분</t>
    <phoneticPr fontId="3" type="noConversion"/>
  </si>
  <si>
    <t>&lt;--입력(국가계약법=1, 지방계약법=2)</t>
    <phoneticPr fontId="3" type="noConversion"/>
  </si>
  <si>
    <t>250508</t>
    <phoneticPr fontId="3" type="noConversion"/>
  </si>
  <si>
    <t>250509</t>
    <phoneticPr fontId="3" type="noConversion"/>
  </si>
  <si>
    <t>서울시 고용지원개선비 주휴수당 원가반영 VER 8.0</t>
    <phoneticPr fontId="3" type="noConversion"/>
  </si>
  <si>
    <t>2025년 재해예방기술지도비 손해배상보험요율표 적용</t>
    <phoneticPr fontId="3" type="noConversion"/>
  </si>
  <si>
    <t>공사손해보험료 = (공사총원가 + 도급자설치관급(부가세 제외)) × 보험료율(0.27%)</t>
    <phoneticPr fontId="3" type="noConversion"/>
  </si>
  <si>
    <t>250511</t>
    <phoneticPr fontId="3" type="noConversion"/>
  </si>
  <si>
    <t>공사손해보험료 및 배상책임보험료 비교표 작성</t>
    <phoneticPr fontId="3" type="noConversion"/>
  </si>
  <si>
    <t>250512</t>
    <phoneticPr fontId="3" type="noConversion"/>
  </si>
  <si>
    <t>공사손해보험료 견적서 미첨부시 임의 개략공사비 산식 적용</t>
    <phoneticPr fontId="3" type="noConversion"/>
  </si>
  <si>
    <t>250520</t>
    <phoneticPr fontId="3" type="noConversion"/>
  </si>
  <si>
    <t>시공상세도 작성기준을 수정함</t>
    <phoneticPr fontId="3" type="noConversion"/>
  </si>
  <si>
    <t>250527</t>
    <phoneticPr fontId="3" type="noConversion"/>
  </si>
  <si>
    <t>토목 일반관리비 및 이윤에서 안전관리비 금액 제외 계산으로 수정</t>
    <phoneticPr fontId="3" type="noConversion"/>
  </si>
  <si>
    <t>10억미만</t>
    <phoneticPr fontId="3" type="noConversion"/>
  </si>
  <si>
    <t>50억미만</t>
    <phoneticPr fontId="3" type="noConversion"/>
  </si>
  <si>
    <t>300억미만</t>
    <phoneticPr fontId="3" type="noConversion"/>
  </si>
  <si>
    <t>1000억미만</t>
    <phoneticPr fontId="3" type="noConversion"/>
  </si>
  <si>
    <t>1000억이상</t>
    <phoneticPr fontId="3" type="noConversion"/>
  </si>
  <si>
    <t xml:space="preserve"> 안전관리비(제요율적용제외공종)</t>
    <phoneticPr fontId="4" type="noConversion"/>
  </si>
  <si>
    <t>소계</t>
    <phoneticPr fontId="3" type="noConversion"/>
  </si>
  <si>
    <t>250616</t>
    <phoneticPr fontId="3" type="noConversion"/>
  </si>
  <si>
    <t>고재환수비 공사손해보험료 아래로 적용(조달청 검토의견)</t>
    <phoneticPr fontId="3" type="noConversion"/>
  </si>
  <si>
    <t>250717</t>
    <phoneticPr fontId="3" type="noConversion"/>
  </si>
  <si>
    <t>이름충돌 정리</t>
    <phoneticPr fontId="3" type="noConversion"/>
  </si>
  <si>
    <t xml:space="preserve"> 기계소방공사</t>
  </si>
  <si>
    <t>250809</t>
    <phoneticPr fontId="3" type="noConversion"/>
  </si>
  <si>
    <t>25년08월 제경비율 적용</t>
    <phoneticPr fontId="3" type="noConversion"/>
  </si>
  <si>
    <t>250930</t>
    <phoneticPr fontId="3" type="noConversion"/>
  </si>
  <si>
    <t>폐기물처리비구분(건설폐기물/가연성폐기물)</t>
    <phoneticPr fontId="3" type="noConversion"/>
  </si>
  <si>
    <t>1-1)</t>
    <phoneticPr fontId="3" type="noConversion"/>
  </si>
  <si>
    <t>1-1-1)</t>
    <phoneticPr fontId="3" type="noConversion"/>
  </si>
  <si>
    <t>1-1-2)</t>
  </si>
  <si>
    <t>1-1-3)</t>
  </si>
  <si>
    <t>1-2)</t>
    <phoneticPr fontId="3" type="noConversion"/>
  </si>
  <si>
    <t xml:space="preserve"> 건설폐기물처리비</t>
    <phoneticPr fontId="3" type="noConversion"/>
  </si>
  <si>
    <t xml:space="preserve"> 가연성폐기물처리비</t>
    <phoneticPr fontId="3" type="noConversion"/>
  </si>
  <si>
    <t>1-2-1)</t>
    <phoneticPr fontId="3" type="noConversion"/>
  </si>
  <si>
    <t>1-2-2)</t>
  </si>
  <si>
    <t>1-2-3)</t>
  </si>
  <si>
    <t>폐기물/건설</t>
    <phoneticPr fontId="3" type="noConversion"/>
  </si>
  <si>
    <t>폐기물/가연성</t>
    <phoneticPr fontId="3" type="noConversion"/>
  </si>
  <si>
    <t>251117</t>
    <phoneticPr fontId="3" type="noConversion"/>
  </si>
  <si>
    <t>하단 페이지 없음으로 변경</t>
    <phoneticPr fontId="3" type="noConversion"/>
  </si>
  <si>
    <t>#1-1</t>
    <phoneticPr fontId="3" type="noConversion"/>
  </si>
  <si>
    <t>260102</t>
    <phoneticPr fontId="3" type="noConversion"/>
  </si>
  <si>
    <t>26년01월 제경비율 적용</t>
    <phoneticPr fontId="3" type="noConversion"/>
  </si>
  <si>
    <t>260111</t>
    <phoneticPr fontId="3" type="noConversion"/>
  </si>
  <si>
    <t>시공상세도 작성비 26년 노임으로 변경</t>
    <phoneticPr fontId="3" type="noConversion"/>
  </si>
  <si>
    <t>9. 연금보험료</t>
    <phoneticPr fontId="12" type="noConversion"/>
  </si>
  <si>
    <t>260310</t>
    <phoneticPr fontId="3" type="noConversion"/>
  </si>
  <si>
    <t>26년03월 제경비율 적용</t>
    <phoneticPr fontId="3" type="noConversion"/>
  </si>
  <si>
    <t>법정부담금(석면분담금)</t>
    <phoneticPr fontId="3" type="noConversion"/>
  </si>
  <si>
    <t>법정부담금(임금채권부담금)</t>
    <phoneticPr fontId="3" type="noConversion"/>
  </si>
  <si>
    <t>260325</t>
    <phoneticPr fontId="3" type="noConversion"/>
  </si>
  <si>
    <t>셀서식 정리</t>
    <phoneticPr fontId="3" type="noConversion"/>
  </si>
  <si>
    <t xml:space="preserve"> 직접공사비 - [건축분야]</t>
  </si>
  <si>
    <t xml:space="preserve"> 도급자설치관급 - [건축분야]</t>
  </si>
  <si>
    <t xml:space="preserve"> 관급자설치관급 - [건축분야]</t>
  </si>
  <si>
    <t xml:space="preserve"> 직접공사비 - [전기통신분야]</t>
  </si>
  <si>
    <t xml:space="preserve"> 도급자설치관급 - [전기통신분야]</t>
  </si>
  <si>
    <t xml:space="preserve"> 관급자설치관급 - [전기통신분야]</t>
  </si>
  <si>
    <t xml:space="preserve"> 폐기물처리비(전기통신분야)</t>
  </si>
  <si>
    <t>공 사 원 가 계 산 서(건축분야+전기통신분야)(참고용)</t>
    <phoneticPr fontId="3" type="noConversion"/>
  </si>
  <si>
    <t>건축분야</t>
    <phoneticPr fontId="3" type="noConversion"/>
  </si>
  <si>
    <t>전기통신분야</t>
    <phoneticPr fontId="3" type="noConversion"/>
  </si>
  <si>
    <t>260401</t>
    <phoneticPr fontId="3" type="noConversion"/>
  </si>
  <si>
    <t>금회발주 및 별도발주 명칭 변경</t>
    <phoneticPr fontId="3" type="noConversion"/>
  </si>
  <si>
    <t>26년04월 제경비율 적용</t>
    <phoneticPr fontId="3" type="noConversion"/>
  </si>
  <si>
    <t>260408</t>
    <phoneticPr fontId="3" type="noConversion"/>
  </si>
  <si>
    <t>26년04월13일 입찰공고 기준</t>
    <phoneticPr fontId="3" type="noConversion"/>
  </si>
  <si>
    <t>260510</t>
    <phoneticPr fontId="3" type="noConversion"/>
  </si>
  <si>
    <t>법정부담금 원가계산서에서 분리</t>
    <phoneticPr fontId="3" type="noConversion"/>
  </si>
  <si>
    <t>석면분담금</t>
    <phoneticPr fontId="3" type="noConversion"/>
  </si>
  <si>
    <t>임금채권부담금</t>
    <phoneticPr fontId="3" type="noConversion"/>
  </si>
  <si>
    <t>공 종 별 집 계 표</t>
  </si>
  <si>
    <t>010101</t>
  </si>
  <si>
    <t>010102</t>
  </si>
  <si>
    <t>010103</t>
  </si>
  <si>
    <t>010104</t>
  </si>
  <si>
    <t>[집계별도]</t>
  </si>
  <si>
    <t>6</t>
  </si>
  <si>
    <t>B</t>
  </si>
  <si>
    <t>C</t>
  </si>
  <si>
    <t>[ 합           계 ]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</si>
  <si>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</si>
  <si>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</si>
  <si>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</si>
  <si>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</si>
  <si>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</si>
  <si>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</si>
  <si>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</si>
  <si>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</si>
  <si>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</si>
  <si>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</si>
  <si>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</si>
  <si>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</si>
  <si>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</si>
  <si>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</si>
  <si>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</si>
  <si>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</si>
  <si>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</si>
  <si>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</si>
  <si>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</si>
  <si>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</si>
  <si>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</si>
  <si>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</si>
  <si>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</si>
  <si>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</si>
  <si>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</si>
  <si>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</si>
  <si>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</si>
  <si>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</si>
  <si>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</si>
  <si>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</si>
  <si>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</si>
  <si>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M</t>
  </si>
  <si>
    <t>호표 1</t>
  </si>
  <si>
    <t>T</t>
  </si>
  <si>
    <t>F</t>
  </si>
  <si>
    <t>호표 2</t>
  </si>
  <si>
    <t>호표 3</t>
  </si>
  <si>
    <t>개소</t>
  </si>
  <si>
    <t>호표 4</t>
  </si>
  <si>
    <t>M2</t>
  </si>
  <si>
    <t>호표 5</t>
  </si>
  <si>
    <t>호표 6</t>
  </si>
  <si>
    <t>호표 7</t>
  </si>
  <si>
    <t>호표 8</t>
  </si>
  <si>
    <t>호표 9</t>
  </si>
  <si>
    <t>대</t>
  </si>
  <si>
    <t>호표 10</t>
  </si>
  <si>
    <t>호표 11</t>
  </si>
  <si>
    <t>호표 12</t>
  </si>
  <si>
    <t>호표 13</t>
  </si>
  <si>
    <t>공사안내판</t>
  </si>
  <si>
    <t>벽면부착</t>
  </si>
  <si>
    <t>TOTAL</t>
  </si>
  <si>
    <t>호표 14</t>
  </si>
  <si>
    <t>호표 15</t>
  </si>
  <si>
    <t>호표 16</t>
  </si>
  <si>
    <t>호표 17</t>
  </si>
  <si>
    <t>호표 18</t>
  </si>
  <si>
    <t>호표 19</t>
  </si>
  <si>
    <t>호표 20</t>
  </si>
  <si>
    <t>호표 21</t>
  </si>
  <si>
    <t>호표 22</t>
  </si>
  <si>
    <t>호표 23</t>
  </si>
  <si>
    <t>호표 24</t>
  </si>
  <si>
    <t>호표 25</t>
  </si>
  <si>
    <t>호표 26</t>
  </si>
  <si>
    <t>호표 27</t>
  </si>
  <si>
    <t>호표 28</t>
  </si>
  <si>
    <t>호표 29</t>
  </si>
  <si>
    <t>호표 30</t>
  </si>
  <si>
    <t>호표 31</t>
  </si>
  <si>
    <t>호표 32</t>
  </si>
  <si>
    <t>호표 33</t>
  </si>
  <si>
    <t>호표 34</t>
  </si>
  <si>
    <t>호표 35</t>
  </si>
  <si>
    <t>호표 36</t>
  </si>
  <si>
    <t>호표 37</t>
  </si>
  <si>
    <t>고강도콘크리트말뚝(관급)</t>
  </si>
  <si>
    <t>500mm*80mm*8m*2190kg, A종</t>
  </si>
  <si>
    <t>본</t>
  </si>
  <si>
    <t>관급</t>
  </si>
  <si>
    <t>500mm*80mm*9m*2470kg, A종</t>
  </si>
  <si>
    <t>500mm*80mm*10m*2740kg, A종</t>
  </si>
  <si>
    <t>잔토처리(기계)-파일</t>
  </si>
  <si>
    <t>토사10km 백호0.7M3＋덤프15톤</t>
  </si>
  <si>
    <t>M3</t>
  </si>
  <si>
    <t>호표 38</t>
  </si>
  <si>
    <t>파일이음</t>
  </si>
  <si>
    <t>Ø500, 이음밴드 포함, 2개1조</t>
  </si>
  <si>
    <t>호표 39</t>
  </si>
  <si>
    <t>강관항타보조파일</t>
  </si>
  <si>
    <t>호표 40</t>
  </si>
  <si>
    <t>말뚝두부정리(콘크리트)</t>
  </si>
  <si>
    <t>호표 41</t>
  </si>
  <si>
    <t>콘크리트말뚝 머리보강</t>
  </si>
  <si>
    <t>Ø500, (캡+보강철근포함)</t>
  </si>
  <si>
    <t>호표 42</t>
  </si>
  <si>
    <t>말뚝속콘크리트채움</t>
  </si>
  <si>
    <t>Ø500</t>
  </si>
  <si>
    <t>호표 43</t>
  </si>
  <si>
    <t>케이싱병행 선굴착 매입말뚝공법(SDA+T4)</t>
  </si>
  <si>
    <t>Ø500mm 단관말뚝, 그라우트주입</t>
  </si>
  <si>
    <t>호표 44</t>
  </si>
  <si>
    <t>Ø500mm 이음말뚝, 그라우트주입</t>
  </si>
  <si>
    <t>호표 45</t>
  </si>
  <si>
    <t>PHC파일 폐기물파쇄비</t>
  </si>
  <si>
    <t>보통, 대형브레이카+굴착기 0.7m3</t>
  </si>
  <si>
    <t>산근 1</t>
  </si>
  <si>
    <t>되메우기 및 다짐</t>
  </si>
  <si>
    <t>소형장비</t>
  </si>
  <si>
    <t>호표 46</t>
  </si>
  <si>
    <t>기성말뚝 장비조립</t>
  </si>
  <si>
    <t>외부 반출 및 반입 / 리더부 30M 이하</t>
  </si>
  <si>
    <t>회</t>
  </si>
  <si>
    <t>호표 47</t>
  </si>
  <si>
    <t>기성말뚝 장비해체</t>
  </si>
  <si>
    <t>호표 48</t>
  </si>
  <si>
    <t>작업구간내 이동 / 리더부 30M 이하</t>
  </si>
  <si>
    <t>호표 49</t>
  </si>
  <si>
    <t>호표 50</t>
  </si>
  <si>
    <t>TON</t>
  </si>
  <si>
    <t>호표 51</t>
  </si>
  <si>
    <t>호표 52</t>
  </si>
  <si>
    <t>호표 53</t>
  </si>
  <si>
    <t>호표 54</t>
  </si>
  <si>
    <t>호표 55</t>
  </si>
  <si>
    <t>호표 56</t>
  </si>
  <si>
    <t>호표 57</t>
  </si>
  <si>
    <t>호표 58</t>
  </si>
  <si>
    <t>호표 59</t>
  </si>
  <si>
    <t>레미콘(관급)</t>
  </si>
  <si>
    <t>25-27-150</t>
  </si>
  <si>
    <t>호표 60</t>
  </si>
  <si>
    <t>호표 61</t>
  </si>
  <si>
    <t>호표 62</t>
  </si>
  <si>
    <t>호표 63</t>
  </si>
  <si>
    <t>호표 64</t>
  </si>
  <si>
    <t>호표 65</t>
  </si>
  <si>
    <t>호표 66</t>
  </si>
  <si>
    <t>개</t>
  </si>
  <si>
    <t>매</t>
  </si>
  <si>
    <t>자갈</t>
  </si>
  <si>
    <t>자갈, 서울, 도착도, #57</t>
  </si>
  <si>
    <t>모래</t>
  </si>
  <si>
    <t>모래, 서울, 자연사, 도착도</t>
  </si>
  <si>
    <t>건설폐기물상차비(건설폐재류)</t>
  </si>
  <si>
    <t>백호0.7M3</t>
  </si>
  <si>
    <t>파일하차비</t>
  </si>
  <si>
    <t>트럭크레인10톤</t>
  </si>
  <si>
    <t>산근 2</t>
  </si>
  <si>
    <t>파일장비운반(트레일러20톤)</t>
  </si>
  <si>
    <t>파일장비 L:50km, 왕복</t>
  </si>
  <si>
    <t>산근 3</t>
  </si>
  <si>
    <t>산근 4</t>
  </si>
  <si>
    <t>산근 5</t>
  </si>
  <si>
    <t>산근 6</t>
  </si>
  <si>
    <t>시멘트운반(상차비포함)</t>
  </si>
  <si>
    <t>L:20km, 덤프 8ton</t>
  </si>
  <si>
    <t>포</t>
  </si>
  <si>
    <t>산근 7</t>
  </si>
  <si>
    <t>말뚝재하시험</t>
  </si>
  <si>
    <t>동재하</t>
  </si>
  <si>
    <t>정재하(압축재하)</t>
  </si>
  <si>
    <t>비파괴검사(자분탐상 MT)</t>
  </si>
  <si>
    <t>Ø500,PHC파일이음</t>
  </si>
  <si>
    <t>※부가세포함</t>
  </si>
  <si>
    <t>시멘트</t>
  </si>
  <si>
    <t>시멘트, 40kg</t>
  </si>
  <si>
    <t>21639833</t>
  </si>
  <si>
    <t>조달수수료</t>
  </si>
  <si>
    <t>주재료비의 0.54%</t>
  </si>
  <si>
    <t>레미콘</t>
  </si>
  <si>
    <t>레미콘, 25-27-150</t>
  </si>
  <si>
    <t>고강도콘크리트말뚝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</si>
  <si>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</si>
  <si>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</si>
  <si>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</si>
  <si>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</si>
  <si>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</si>
  <si>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</si>
  <si>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</si>
  <si>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노임계수</t>
  </si>
  <si>
    <t>할증</t>
  </si>
  <si>
    <t>품셈개요</t>
  </si>
  <si>
    <t>장비일위</t>
  </si>
  <si>
    <t>조립식가설울타리/E.G.I철판-재료비</t>
  </si>
  <si>
    <t>CONC인력비빔타설 / 가설</t>
  </si>
  <si>
    <t>무근울타리기초</t>
  </si>
  <si>
    <t>콘크리트 인력비빔 타설</t>
  </si>
  <si>
    <t>소형구조물</t>
  </si>
  <si>
    <t>RPP가설방음벽(자재)</t>
  </si>
  <si>
    <t>세로형 가설방음판 설치</t>
  </si>
  <si>
    <t>설치높이 6m 이하, 시공량 100m/일당</t>
  </si>
  <si>
    <t>강관 지주 설치</t>
  </si>
  <si>
    <t>지주높이 7.0m 이하, 시공량 70m/일당</t>
  </si>
  <si>
    <t>굴착기(무한궤도)</t>
  </si>
  <si>
    <t>0.2㎥</t>
  </si>
  <si>
    <t>HR</t>
  </si>
  <si>
    <t>A</t>
  </si>
  <si>
    <t>가설울타리판 설치</t>
  </si>
  <si>
    <t>설치높이 6m 이하, 시공량 95m/일당</t>
  </si>
  <si>
    <t>크레인(타이어)</t>
  </si>
  <si>
    <t>10ton</t>
  </si>
  <si>
    <t>콘테이너형 가설건축물 설치 및 해체</t>
  </si>
  <si>
    <t>3.0*6.0m</t>
  </si>
  <si>
    <t>0.7㎥</t>
  </si>
  <si>
    <t>덤프트럭</t>
  </si>
  <si>
    <t>15ton</t>
  </si>
  <si>
    <t>덤프트럭 자동덮개시설</t>
  </si>
  <si>
    <t>레디믹스트콘크리트 인력운반 소량(12㎥ 이하) 타설</t>
  </si>
  <si>
    <t>철근구조물</t>
  </si>
  <si>
    <t>Ø500mm L=15m,그라우트주입</t>
  </si>
  <si>
    <t>L=10m이상~15m이하</t>
  </si>
  <si>
    <t>부자재계산용</t>
  </si>
  <si>
    <t>파일천공전용장비</t>
  </si>
  <si>
    <t>100ton</t>
  </si>
  <si>
    <t>오거</t>
  </si>
  <si>
    <t>89.52kw</t>
  </si>
  <si>
    <t>발전기</t>
  </si>
  <si>
    <t>450kw</t>
  </si>
  <si>
    <t>100kw</t>
  </si>
  <si>
    <t>공기압축기(이동식)</t>
  </si>
  <si>
    <t>25.5㎥/min</t>
  </si>
  <si>
    <t>지게차</t>
  </si>
  <si>
    <t>5.0ton</t>
  </si>
  <si>
    <t>크레인(무한궤도)</t>
  </si>
  <si>
    <t>50ton(1.91㎥)</t>
  </si>
  <si>
    <t>Ø500mm L=19m,그라우트주입</t>
  </si>
  <si>
    <t>L=15m초과~20m미만</t>
  </si>
  <si>
    <t>50kw</t>
  </si>
  <si>
    <t>대형 브레이커</t>
  </si>
  <si>
    <t>0.7㎥용</t>
  </si>
  <si>
    <t>0.7㎥(암석)</t>
  </si>
  <si>
    <t>대형 브레이커용 치즐 소모량</t>
  </si>
  <si>
    <t>0.7㎥용, 보통암</t>
  </si>
  <si>
    <t>물탱크(살수차)</t>
  </si>
  <si>
    <t>5500L</t>
  </si>
  <si>
    <t>진동롤러(핸드가이드식)</t>
  </si>
  <si>
    <t>0.7ton</t>
  </si>
  <si>
    <t>25ton(0.76㎥)</t>
  </si>
  <si>
    <t>kg</t>
  </si>
  <si>
    <t>트럭탑재형 크레인</t>
  </si>
  <si>
    <t>트럭 트랙터 및 평판트레일러</t>
  </si>
  <si>
    <t>20ton</t>
  </si>
  <si>
    <t>8ton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</si>
  <si>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</si>
  <si>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</si>
  <si>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</si>
  <si>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</si>
  <si>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</si>
  <si>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</si>
  <si>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</si>
  <si>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</si>
  <si>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</si>
  <si>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m</t>
  </si>
  <si>
    <t xml:space="preserve"> [ 합          계 ]</t>
  </si>
  <si>
    <t>홀딩도어현장출입문</t>
  </si>
  <si>
    <t>기초포함</t>
  </si>
  <si>
    <t>금액제외</t>
  </si>
  <si>
    <t>-</t>
  </si>
  <si>
    <t>손율(재생플라스틱 준용)</t>
  </si>
  <si>
    <t>경비로 적용</t>
  </si>
  <si>
    <t>합계의 100%</t>
  </si>
  <si>
    <t>주재료비의 100%</t>
  </si>
  <si>
    <t>보통인부</t>
  </si>
  <si>
    <t>일반공사 직종</t>
  </si>
  <si>
    <t>인</t>
  </si>
  <si>
    <t>이동식가설화장실</t>
  </si>
  <si>
    <t>3.0*6.0*2.6m, 남.여</t>
  </si>
  <si>
    <t>1)장비손료</t>
  </si>
  <si>
    <t>자동세륜기(월임대료)</t>
  </si>
  <si>
    <t>N21C-MD02, W2200×L4200×H400 Grating Type</t>
  </si>
  <si>
    <t>대월</t>
  </si>
  <si>
    <t>2)운전경비</t>
  </si>
  <si>
    <t>공통자재(세륜시설)</t>
  </si>
  <si>
    <t>보충수</t>
  </si>
  <si>
    <t>CABLE설치</t>
  </si>
  <si>
    <t>380V, EV22*3C</t>
  </si>
  <si>
    <t>가교화폴리에틸렌관</t>
  </si>
  <si>
    <t>가교화폴리에틸렌관, XL관(KS), ∮15mm</t>
  </si>
  <si>
    <t>배관공</t>
  </si>
  <si>
    <t>저압케이블전공</t>
  </si>
  <si>
    <t>Note</t>
  </si>
  <si>
    <t>노무비율 85%</t>
  </si>
  <si>
    <t>토사 운반/단지외 10km</t>
  </si>
  <si>
    <t>보통, 덤프 15톤(적재백호0.7m3)</t>
  </si>
  <si>
    <t>파일이음밴드</t>
  </si>
  <si>
    <t>파일이음밴드, PHC용, ∮500mm</t>
  </si>
  <si>
    <t>스파이럴 강관 파일</t>
  </si>
  <si>
    <t>508.0*6mm, 10m*743kg/본</t>
  </si>
  <si>
    <t>손료</t>
  </si>
  <si>
    <t>주재료비의 5%</t>
  </si>
  <si>
    <t>공구손료</t>
  </si>
  <si>
    <t>파일두부보강캡</t>
  </si>
  <si>
    <t>500mm (캡+보강철근포함)</t>
  </si>
  <si>
    <t>특별인부</t>
  </si>
  <si>
    <t>진동롤러(핸드가이드식) 조정원 계산안함</t>
  </si>
  <si>
    <t>조정원의 100%</t>
  </si>
  <si>
    <t>기계설비공</t>
  </si>
  <si>
    <t>철공</t>
  </si>
  <si>
    <t>공구손료 및 경장비의 기계경비</t>
  </si>
  <si>
    <t>인력품의 3%</t>
  </si>
  <si>
    <t>용접공</t>
  </si>
  <si>
    <t>인력품의 5%</t>
  </si>
  <si>
    <t>L</t>
  </si>
  <si>
    <t>별도</t>
  </si>
  <si>
    <t>잡재료</t>
  </si>
  <si>
    <t>시멘트(별도)</t>
  </si>
  <si>
    <t>(별도)</t>
  </si>
  <si>
    <t>인력품의 2%</t>
  </si>
  <si>
    <t>건설</t>
  </si>
  <si>
    <t>가속도계</t>
  </si>
  <si>
    <t>변형률변환계</t>
  </si>
  <si>
    <t>동재하시험장치 손료</t>
  </si>
  <si>
    <t>단독콘</t>
  </si>
  <si>
    <t>재하시험장치 손료</t>
  </si>
  <si>
    <t>반력빔 손료</t>
  </si>
  <si>
    <t>200ton급</t>
  </si>
  <si>
    <t>중급품질관리원</t>
  </si>
  <si>
    <t>조립식 가설울타리 부재</t>
  </si>
  <si>
    <t>EGI철판, 550*2400</t>
  </si>
  <si>
    <t>손율-칼라강판</t>
  </si>
  <si>
    <t>강관비계</t>
  </si>
  <si>
    <t>강관비계, 비계파이프, 48.6*2.3mm</t>
  </si>
  <si>
    <t>손율-기둥 및 띠장</t>
  </si>
  <si>
    <t>강관비계 부속철물</t>
  </si>
  <si>
    <t>클램프 고정, 자동</t>
  </si>
  <si>
    <t>이음철물, 연결핀</t>
  </si>
  <si>
    <t>손율-조임철물 및 이음철물</t>
  </si>
  <si>
    <t>볼트/넛트</t>
  </si>
  <si>
    <t>손율-철물</t>
  </si>
  <si>
    <t>(별도), 25mm, #57</t>
  </si>
  <si>
    <t>콘크리트공</t>
  </si>
  <si>
    <t>RPP 조이너</t>
  </si>
  <si>
    <t>ø48용</t>
  </si>
  <si>
    <t>손율-재생플라스틱방음판</t>
  </si>
  <si>
    <t>손율-강관,비계기본틀,비계장선틀,가새</t>
  </si>
  <si>
    <t>손율-조임철물,이음철물</t>
  </si>
  <si>
    <t>비계공</t>
  </si>
  <si>
    <t>경유</t>
  </si>
  <si>
    <t>경유, 저유황</t>
  </si>
  <si>
    <t>주연료비의 21%</t>
  </si>
  <si>
    <t>건설기계운전사</t>
  </si>
  <si>
    <t>주연료비의 39%</t>
  </si>
  <si>
    <t>주연료비의 22%</t>
  </si>
  <si>
    <t>주연료비의 38%</t>
  </si>
  <si>
    <t>주재료비의 20%</t>
  </si>
  <si>
    <t>주연료비의 24%</t>
  </si>
  <si>
    <t>일반기계운전사</t>
  </si>
  <si>
    <t>주연료비의 16%</t>
  </si>
  <si>
    <t>주연료비의 37%</t>
  </si>
  <si>
    <t>주연료비의 20%</t>
  </si>
  <si>
    <t>대형 브레이커용 치즐</t>
  </si>
  <si>
    <t>주연료비의 30%</t>
  </si>
  <si>
    <t>화물차운전사</t>
  </si>
  <si>
    <t>주연료비의 13%</t>
  </si>
  <si>
    <t>형광습식자분/14AM SPRAY 450ML</t>
  </si>
  <si>
    <t>MT형광자분</t>
  </si>
  <si>
    <t>세척제/PT 염색 침투탐상제</t>
  </si>
  <si>
    <t>SUPER DYE-CHECK 450ml 세척액</t>
  </si>
  <si>
    <t>G</t>
  </si>
  <si>
    <t>청테이프</t>
  </si>
  <si>
    <t>R/L</t>
  </si>
  <si>
    <t>소창직</t>
  </si>
  <si>
    <t>건전지[CM]</t>
  </si>
  <si>
    <t>마킹팬/METAL MARKER</t>
  </si>
  <si>
    <t>비파괴시험공</t>
  </si>
  <si>
    <t>플랜트전공</t>
  </si>
  <si>
    <t>단 가 산 출 목 록</t>
  </si>
  <si>
    <t>비    고</t>
  </si>
  <si>
    <t>START</t>
  </si>
  <si>
    <t>집적별도</t>
  </si>
  <si>
    <t>공통 8-2-15</t>
  </si>
  <si>
    <t>공통 8-2-8</t>
  </si>
  <si>
    <t>♪공통 8-2-3</t>
  </si>
  <si>
    <t>공통 5-3-2</t>
  </si>
  <si>
    <t>단 가 산 출 서</t>
  </si>
  <si>
    <t>산    출    내    역</t>
  </si>
  <si>
    <t>코드</t>
  </si>
  <si>
    <t>품명</t>
  </si>
  <si>
    <t>규격</t>
  </si>
  <si>
    <t>값</t>
  </si>
  <si>
    <t xml:space="preserve">PHC파일 폐기물파쇄비  보통, 대형브레이카+굴착기 0.7m3  M3  ( 산근 1 ) </t>
  </si>
  <si>
    <t xml:space="preserve"> </t>
  </si>
  <si>
    <t>C!</t>
  </si>
  <si>
    <t xml:space="preserve">Q  시간당작업량 보통암 보통(3.1+3.7)  =(3.1+3.7)/2= 3.4 </t>
  </si>
  <si>
    <t>Q '시간당작업량 보통암 보통(3.1+3.7)' =(3.1+3.7)/2=?</t>
  </si>
  <si>
    <t xml:space="preserve"> 1.대형브레커 0.7M3 M3  </t>
  </si>
  <si>
    <t>'1.대형브레커 0.7M3 M3 '</t>
  </si>
  <si>
    <t xml:space="preserve"> 재료비:  0 / 3.4 = 0 </t>
  </si>
  <si>
    <t>'재료비:' ~00000230000700000.M~ / {Q} =?MA+</t>
  </si>
  <si>
    <t xml:space="preserve"> 노무비:  0 / 3.4 = 0 </t>
  </si>
  <si>
    <t>'노무비:' ~00000230000700000.L~ / {Q} =?LA+</t>
  </si>
  <si>
    <t xml:space="preserve"> 경  비:  11412 / 3.4 = 3356.4 </t>
  </si>
  <si>
    <t>'경  비:' ~00000230000700000.E~ / {Q} =?EQ+</t>
  </si>
  <si>
    <t xml:space="preserve">  소  계    </t>
  </si>
  <si>
    <t>&gt;'소  계'</t>
  </si>
  <si>
    <t xml:space="preserve"> 2.굴삭기 (무한궤도), 0.7㎥  </t>
  </si>
  <si>
    <t>'2.굴삭기 (무한궤도), 0.7㎥ '</t>
  </si>
  <si>
    <t>'재료비:' ~00000201007000001.M~ / {Q} =?MA+</t>
  </si>
  <si>
    <t xml:space="preserve"> 노무비:  59020 / 3.4 = 17358.8 </t>
  </si>
  <si>
    <t>'노무비:' ~00000201007000001.L~ / {Q} =?LA+</t>
  </si>
  <si>
    <t xml:space="preserve"> 경  비:  28322 / 3.4 = 8330 </t>
  </si>
  <si>
    <t>'경  비:' ~00000201007000001.E~ / {Q} =?EQ+</t>
  </si>
  <si>
    <t xml:space="preserve"> 3.대형 브레이커용 치즐 소모량 (0.7㎥용, 보통암)    </t>
  </si>
  <si>
    <t xml:space="preserve">'3.대형 브레이커용 치즐 소모량 (0.7㎥용, 보통암) '  </t>
  </si>
  <si>
    <t xml:space="preserve"> 경  비:  4320 / 3.4 = 1270.5 </t>
  </si>
  <si>
    <t>'경  비:' ~00000231000720000.E~ / {Q} =?EQ+</t>
  </si>
  <si>
    <t xml:space="preserve">  총  계</t>
  </si>
  <si>
    <t xml:space="preserve">파일하차비  트럭크레인10톤  TON  ( 산근 2 ) </t>
  </si>
  <si>
    <t>'크레인(트럭)(10톤/HR)' '[00002105001000000]'</t>
  </si>
  <si>
    <t xml:space="preserve"> A   1회적재량(본)  =1   </t>
  </si>
  <si>
    <t xml:space="preserve"> A  '1회적재량(본)' =1</t>
  </si>
  <si>
    <t xml:space="preserve"> E   작업효율  =0.6   </t>
  </si>
  <si>
    <t xml:space="preserve"> E  '작업효율' =0.6</t>
  </si>
  <si>
    <t xml:space="preserve"> CM  적재기계싸이클시간(초)  =32+16+32+14 = 94 </t>
  </si>
  <si>
    <t xml:space="preserve"> CM '적재기계싸이클시간(초)' =32+16+32+14 =?</t>
  </si>
  <si>
    <t xml:space="preserve"> F   토량환산계수  =1   </t>
  </si>
  <si>
    <t xml:space="preserve"> F  '토량환산계수' =1</t>
  </si>
  <si>
    <t xml:space="preserve"> Q   시간당작업량(TON/HR)  =3600*A*F*E/CM = 22.979 </t>
  </si>
  <si>
    <t xml:space="preserve"> Q  '시간당작업량(TON/HR)' =3600*A*F*E/CM =?</t>
  </si>
  <si>
    <t>'재료비:' ~00002105001000000.M~ / {Q} =?EQ+</t>
  </si>
  <si>
    <t xml:space="preserve"> 노무비:  49778 / 22.979 = 2166.2 </t>
  </si>
  <si>
    <t>'노무비:' ~00002105001000000.L~ / {Q} =?EQ+</t>
  </si>
  <si>
    <t xml:space="preserve"> 경  비:  23795 / 22.979 = 1035.5 </t>
  </si>
  <si>
    <t>'경  비:' ~00002105001000000.E~ / {Q} =?EQ+</t>
  </si>
  <si>
    <t xml:space="preserve">파일장비운반(트레일러20톤)  파일장비 L:50km, 왕복  회  ( 산근 3 ) </t>
  </si>
  <si>
    <t xml:space="preserve"> 트럭 트랙터 및 평판트레일러(60TON/회) </t>
  </si>
  <si>
    <t>'트럭 트랙터 및 평판트레일러(60ton/회)'</t>
  </si>
  <si>
    <t xml:space="preserve"> L   운반거리(KM)  =50   </t>
  </si>
  <si>
    <t xml:space="preserve"> L  '운반거리(KM)' =50</t>
  </si>
  <si>
    <t xml:space="preserve"> V1  적재상태 운반속도(KM/HR)  =30      </t>
  </si>
  <si>
    <t xml:space="preserve"> V1 '적재상태 운반속도(KM/HR)' =30   </t>
  </si>
  <si>
    <t xml:space="preserve"> V2  공차상태 운반속도(KM/HR)  =35      </t>
  </si>
  <si>
    <t xml:space="preserve"> V2 '공차상태 운반속도(KM/HR)' =35   </t>
  </si>
  <si>
    <t xml:space="preserve"> T2  왕복시간(MIN)  = ((L/V1)+(L/V2))*60*2= 371.4286 </t>
  </si>
  <si>
    <t xml:space="preserve"> T2 '왕복시간(MIN)' = ((L/V1)+(L/V2))*60*2=? </t>
  </si>
  <si>
    <t xml:space="preserve"> T1  건설기계적재시간(MIN)  =20   </t>
  </si>
  <si>
    <t xml:space="preserve"> T1 '건설기계적재시간(MIN)' =20</t>
  </si>
  <si>
    <t xml:space="preserve"> T3  건설기계하역시간(MIN)  =20   </t>
  </si>
  <si>
    <t xml:space="preserve"> T3 '건설기계하역시간(MIN)' =20</t>
  </si>
  <si>
    <t xml:space="preserve"> T4  대기시간(MIN)  =0.42   </t>
  </si>
  <si>
    <t xml:space="preserve"> T4 '대기시간(MIN)' =0.42</t>
  </si>
  <si>
    <t xml:space="preserve"> CM  1회 싸이클 시간(MIN)  = T1+T2+T3+T4 = 411.849 </t>
  </si>
  <si>
    <t xml:space="preserve"> Cm '1회 싸이클 시간(MIN)' = T1+T2+T3+T4 =? </t>
  </si>
  <si>
    <t xml:space="preserve"> E   작업효율  =0.9   </t>
  </si>
  <si>
    <t xml:space="preserve"> E  '작업효율' =0.9</t>
  </si>
  <si>
    <t xml:space="preserve"> Q   시간당 작업횟수(회/HR)  = 60*E/CM = 0.131 </t>
  </si>
  <si>
    <t xml:space="preserve"> Q  '시간당 작업횟수(회/HR)' = 60*E/CM =? </t>
  </si>
  <si>
    <t xml:space="preserve"> Q1  1회 작업 소요시간(HR/회)  = 1/Q = 7.6336 </t>
  </si>
  <si>
    <t xml:space="preserve"> Q1 '1회 작업 소요시간(HR/회)' = 1/Q =?  </t>
  </si>
  <si>
    <t xml:space="preserve">  * 비자주식 운반장비 : 파일전용장비 100톤 1대  </t>
  </si>
  <si>
    <t xml:space="preserve">' * 비자주식 운반장비 : 파일전용장비 100톤 1대' </t>
  </si>
  <si>
    <t xml:space="preserve"> Q2   총 작업시간(HR)*2회  = Q1*2 = 15.2672 </t>
  </si>
  <si>
    <t xml:space="preserve"> Q2  '총 작업시간(HR)*2회' = Q1*2 =? </t>
  </si>
  <si>
    <t xml:space="preserve">  * 실 가동시간(적재시간T1, 하역시간T3 제외) -- 재료비에만 계상 </t>
  </si>
  <si>
    <t>' * 실 가동시간(적재시간T1, 하역시간T3 제외) -- 재료비에만 계상'</t>
  </si>
  <si>
    <t xml:space="preserve"> P   실가동시간율  = (CM-T1-T3)/CM = 0.9029 </t>
  </si>
  <si>
    <t xml:space="preserve"> P  '실가동시간율' = (Cm-T1-T3)/Cm =?</t>
  </si>
  <si>
    <t>'재료비:' ~00002702002000000.M~ * {Q2}*{P} =?EQ+</t>
  </si>
  <si>
    <t xml:space="preserve"> 노무비:  59020 * 15.2672 = 901070.1 </t>
  </si>
  <si>
    <t>'노무비:' ~00002702002000000.L~ * {Q2} =?EQ+</t>
  </si>
  <si>
    <t xml:space="preserve"> 경  비:  17314 * 15.2672 = 264336.3 </t>
  </si>
  <si>
    <t>'경  비:' ~00002702002000000.E~ * {Q2} =?EQ+</t>
  </si>
  <si>
    <t xml:space="preserve"> L3  공사장내 운반거리(KM)  =0.5   </t>
  </si>
  <si>
    <t xml:space="preserve"> L3 '공사장내 운반거리(KM)' =0.5</t>
  </si>
  <si>
    <t xml:space="preserve"> T4  적재대기시간(MIN)  =0.42   </t>
  </si>
  <si>
    <t xml:space="preserve"> t4 '적재대기시간(MIN)' =0.42</t>
  </si>
  <si>
    <t xml:space="preserve"> T6   세륜시간 (MIN)  =1.5   </t>
  </si>
  <si>
    <t xml:space="preserve"> t6  '세륜시간 (MIN)' =1.5</t>
  </si>
  <si>
    <t xml:space="preserve"> 보통인부 </t>
  </si>
  <si>
    <t>'보통인부'</t>
  </si>
  <si>
    <t xml:space="preserve">   합  계    </t>
  </si>
  <si>
    <t>&gt;&gt;'합  계'</t>
  </si>
  <si>
    <t xml:space="preserve"> 운반거리 L=20KM 덤프트럭(8톤), 포대당    </t>
  </si>
  <si>
    <t>'운반거리 L=20KM 덤프트럭(8톤), 포대당'</t>
  </si>
  <si>
    <t xml:space="preserve"> 차량속도= 25/V1,25/V2,40KM/V3,40KM/V4,25KM/V5,25KM/V6     </t>
  </si>
  <si>
    <t>'차량속도= 25/V1,25/V2,40KM/V3,40KM/V4,25KM/V5,25KM/V6 '</t>
  </si>
  <si>
    <t xml:space="preserve"> 하치장○-----------------0------------0---------○20KM  </t>
  </si>
  <si>
    <t>'하치장○-----------------0------------0---------○20KM '</t>
  </si>
  <si>
    <t xml:space="preserve"> 운반거리=하치장L1=0.0KM,시내L2=19.5KM,공사장L3=0.5KM    </t>
  </si>
  <si>
    <t>'운반거리=하치장L1=0.0KM,시내L2=19.5KM,공사장L3=0.5KM'</t>
  </si>
  <si>
    <t xml:space="preserve"> 인력운반 (품셈 1-5-1) 적재비(하치장 상차도 미계상,공장상차도 계상) </t>
  </si>
  <si>
    <t>'인력운반 (품셈 1-5-1) 적재비(하치장 상차도 미계상,공장상차도 계상)'</t>
  </si>
  <si>
    <t xml:space="preserve"> L    소운반거리(M)  =20   </t>
  </si>
  <si>
    <t xml:space="preserve"> L   '소운반거리(M)' =20</t>
  </si>
  <si>
    <t xml:space="preserve"> A    1회 운반량(BG)  =1   </t>
  </si>
  <si>
    <t xml:space="preserve"> A   '1회 운반량(BG)' =1</t>
  </si>
  <si>
    <t xml:space="preserve"> T    단위(KG)  =8000   </t>
  </si>
  <si>
    <t xml:space="preserve"> T   '단위(KG)' =8000</t>
  </si>
  <si>
    <t xml:space="preserve"> RT   단위중량(KG)  =40   </t>
  </si>
  <si>
    <t xml:space="preserve"> RT  '단위중량(KG)' =40</t>
  </si>
  <si>
    <t xml:space="preserve"> MV   운반인부의 속도2500M/HR  =2500/60= 41.6667 </t>
  </si>
  <si>
    <t xml:space="preserve"> MV  '운반인부의 속도2500M/HR' =2500/60=?</t>
  </si>
  <si>
    <t xml:space="preserve"> T1   어깨메고부리기시간(MIN)  =2.0   </t>
  </si>
  <si>
    <t xml:space="preserve"> T1  '어깨메고부리기시간(MIN)' =2.0</t>
  </si>
  <si>
    <t xml:space="preserve"> QT   차량 1대당 적재용량(BG)  =T/RT= 200 </t>
  </si>
  <si>
    <t xml:space="preserve"> QT  '차량 1대당 적재용량(BG)' =T/RT=?</t>
  </si>
  <si>
    <t xml:space="preserve"> N    차량 1대당 소요운반회수  =QT/A= 200 </t>
  </si>
  <si>
    <t xml:space="preserve"> N   '차량 1대당 소요운반회수' =QT/A=?</t>
  </si>
  <si>
    <t xml:space="preserve"> CMS  운반 1회당 소요시간(MIN)  =L*2/MV+T1= 2.96 </t>
  </si>
  <si>
    <t xml:space="preserve"> CMS '운반 1회당 소요시간(MIN)' =L*2/MV+T1=?</t>
  </si>
  <si>
    <t xml:space="preserve"> T1A  차량 1대당 적재소요시간(MIN)  =CMS*N= 592 </t>
  </si>
  <si>
    <t xml:space="preserve"> T1A '차량 1대당 적재소요시간(MIN)' =CMS*N=?</t>
  </si>
  <si>
    <t xml:space="preserve"> Q   단위당 소요인부(상,하차)  =T1A/450*1/QT= 0.007 </t>
  </si>
  <si>
    <t xml:space="preserve"> Q  '단위당 소요인부(상,하차)' =T1A/450*1/QT=?</t>
  </si>
  <si>
    <t xml:space="preserve"> 노무비: 172068*Q = 1204.4 </t>
  </si>
  <si>
    <t>'노무비:'~L001010101000002.L~*Q =?EQ+</t>
  </si>
  <si>
    <t xml:space="preserve">  소  계     </t>
  </si>
  <si>
    <t xml:space="preserve">&gt;'소  계' </t>
  </si>
  <si>
    <t xml:space="preserve"> 1.덤프트럭(8톤/HR) </t>
  </si>
  <si>
    <t>'1.덤프트럭(8톤/HR)'</t>
  </si>
  <si>
    <t xml:space="preserve"> T   적재용량(KG)  =8000   </t>
  </si>
  <si>
    <t xml:space="preserve"> T  '적재용량(KG)' =8000</t>
  </si>
  <si>
    <t xml:space="preserve"> R1  단위중량(KG)  =40   </t>
  </si>
  <si>
    <t xml:space="preserve"> r1 '단위중량(KG)' =40</t>
  </si>
  <si>
    <t xml:space="preserve"> Q1   1회 적재량(BG)  =T/R1= 200 </t>
  </si>
  <si>
    <t xml:space="preserve"> q1  '1회 적재량(BG)' =T/r1=?</t>
  </si>
  <si>
    <t xml:space="preserve"> f   토량 환산계수  =1   </t>
  </si>
  <si>
    <t xml:space="preserve"> f  '토량 환산계수' =1</t>
  </si>
  <si>
    <t xml:space="preserve"> L1  하치장내 운반거리(KM)  =0.0   </t>
  </si>
  <si>
    <t xml:space="preserve"> L1 '하치장내 운반거리(KM)' =0.0</t>
  </si>
  <si>
    <t xml:space="preserve"> L2  도로주행 운반거리(KM)  =19.5   </t>
  </si>
  <si>
    <t xml:space="preserve"> L2 '도로주행 운반거리(KM)' =19.5</t>
  </si>
  <si>
    <t xml:space="preserve"> V1  하치장내적재운반속도(KM/HR)  =25   </t>
  </si>
  <si>
    <t xml:space="preserve"> V1 '하치장내적재운반속도(KM/HR)' =25</t>
  </si>
  <si>
    <t xml:space="preserve"> V2  하치장내공차운반속도(KM/HR)  =25   </t>
  </si>
  <si>
    <t xml:space="preserve"> V2 '하치장내공차운반속도(KM/HR)' =25</t>
  </si>
  <si>
    <t xml:space="preserve"> V3  도로주행적재운반속도(KM/HR)  =40   </t>
  </si>
  <si>
    <t xml:space="preserve"> V3 '도로주행적재운반속도(KM/HR)' =40</t>
  </si>
  <si>
    <t xml:space="preserve"> V4  도로주행공차운반속도(KM/HR)  =40   </t>
  </si>
  <si>
    <t xml:space="preserve"> V4 '도로주행공차운반속도(KM/HR)' =40</t>
  </si>
  <si>
    <t xml:space="preserve"> V5  공사장내적재운반속도(KM/HR)  =25   </t>
  </si>
  <si>
    <t xml:space="preserve"> V5 '공사장내적재운반속도(KM/HR)' =25</t>
  </si>
  <si>
    <t xml:space="preserve"> V6  공사장내공차운반속도(KM/HR)  =25   </t>
  </si>
  <si>
    <t xml:space="preserve"> V6 '공사장내공차운반속도(KM/HR)' =25</t>
  </si>
  <si>
    <t xml:space="preserve"> T1  적재시간(MIN)  =CMS= 2.96 </t>
  </si>
  <si>
    <t xml:space="preserve"> t1 '적재시간(MIN)' =CMS=?</t>
  </si>
  <si>
    <t xml:space="preserve"> T2  왕복시간(MIN)  =((L1/V1)+(L1/V2)+(L2/V3)+(L2/V4)+(L3/V5)+(L3/V6))*60= 60.9 </t>
  </si>
  <si>
    <t xml:space="preserve"> t2 '왕복시간(MIN)' =((L1/V1)+(L1/V2)+(L2/V3)+(L2/V4)+(L3/V5)+(L3/V6))*60=?</t>
  </si>
  <si>
    <t xml:space="preserve"> T3  적하시간(MIN)  =CMS= 2.96 </t>
  </si>
  <si>
    <t xml:space="preserve"> t3 '적하시간(MIN)' =CMS=?</t>
  </si>
  <si>
    <t xml:space="preserve"> T5  적재함덮개 및 해체시간(MIN)  =3.77   </t>
  </si>
  <si>
    <t xml:space="preserve"> t5 '적재함덮개 및 해체시간(MIN)' =3.77</t>
  </si>
  <si>
    <t xml:space="preserve"> CM  1회 싸이클 시간(MIN)  =T1+T2+T3+T4+T5+T6= 72.51 </t>
  </si>
  <si>
    <t xml:space="preserve"> Cm '1회 싸이클 시간(MIN)' =t1+t2+t3+t4+t5+t6=?</t>
  </si>
  <si>
    <t xml:space="preserve"> Q   시간당 작업량(BG/HR)  =60*Q1*F*E/CM= 148.945 </t>
  </si>
  <si>
    <t xml:space="preserve"> Q  '시간당 작업량(BG/HR)' =60*q1*f*E/Cm=?    </t>
  </si>
  <si>
    <t xml:space="preserve"> Z   공제시간(HR)  =(CM-(T1+T3+T4+T5))/CM= 0.8606 </t>
  </si>
  <si>
    <t xml:space="preserve"> Z  '공제시간(HR)' =(Cm-(t1+t3+T4+t5))/Cm=?   </t>
  </si>
  <si>
    <t>'재료비:' ~00000602008000000.M~ / {Q}*Z =?EQ+</t>
  </si>
  <si>
    <t xml:space="preserve"> 노무비:  49778 / 148.945 = 334.2 </t>
  </si>
  <si>
    <t>'노무비:' ~00000602008000000.L~ / {Q} =?EQ+</t>
  </si>
  <si>
    <t xml:space="preserve"> 경  비:  10544 / 148.945 = 70.7 </t>
  </si>
  <si>
    <t>'경  비:' ~00000602008000000.E~ / {Q} =?EQ+</t>
  </si>
  <si>
    <t xml:space="preserve"> 2.인력운반 (품셈 1-5-1) 적하비</t>
  </si>
  <si>
    <t>'2.인력운반 (품셈 1-5-1) 적하비</t>
  </si>
  <si>
    <t xml:space="preserve"> 운반거리 L=10KN,(적재 0.7백호우) M3    </t>
  </si>
  <si>
    <t>'운반거리 L=10KN,(적재 0.7백호우) M3'</t>
  </si>
  <si>
    <t xml:space="preserve"> 차량속도= 30KM/V1,35KM/V2,35KM/V3,35KM/V4,30KM/V5,35KM/V6     </t>
  </si>
  <si>
    <t>'차량속도= 30KM/V1,35KM/V2,35KM/V3,35KM/V4,30KM/V5,35KM/V6 '</t>
  </si>
  <si>
    <t xml:space="preserve">     ○------------------0------------0----------------○10KM  </t>
  </si>
  <si>
    <t xml:space="preserve">   ' ○------------------0------------0----------------○10KM '</t>
  </si>
  <si>
    <t xml:space="preserve"> 운반거리=단지대L1=0.5KM,시내외L2=9.0KM,사토장L3=0.5KM    </t>
  </si>
  <si>
    <t>'운반거리=단지대L1=0.5KM,시내외L2=9.0KM,사토장L3=0.5KM'</t>
  </si>
  <si>
    <t xml:space="preserve"> 1.굴삭기 (무한궤도),유압식백호,0.7㎥ M3    </t>
  </si>
  <si>
    <t xml:space="preserve">'1.굴삭기 (무한궤도),유압식백호,0.7㎥ M3'   </t>
  </si>
  <si>
    <t xml:space="preserve">Q1  바켓용량(M3)  =0.70   </t>
  </si>
  <si>
    <t>q1 '바켓용량(M3)' =0.70</t>
  </si>
  <si>
    <t xml:space="preserve">K   바켓계수(양호1.1,보통0.90,불량0.70,파쇄암0.55) = 0.90   </t>
  </si>
  <si>
    <t>k  '바켓계수(양호1.1,보통0.90,불량0.70,파쇄암0.55)'= 0.90</t>
  </si>
  <si>
    <t xml:space="preserve">F   토량환산계수(1/L) = 1/1.25= 0.8 </t>
  </si>
  <si>
    <t>f  '토량환산계수(1/L)'= 1/1.25=?</t>
  </si>
  <si>
    <t xml:space="preserve">E   작업효율사질토(양호0.85,보통0.70,불량0.55) = 0.70= 0.7 </t>
  </si>
  <si>
    <t>E  '작업효율사질토(양호0.85,보통0.70,불량0.55)'= 0.70=?</t>
  </si>
  <si>
    <t xml:space="preserve">CM  1회 싸이클시간(135˚SEC) =20   </t>
  </si>
  <si>
    <t>Cm '1회 싸이클시간(135˚SEC)'=20</t>
  </si>
  <si>
    <t xml:space="preserve">Q   시간당 작업량 (M3/HR) = 3600*Q1*K*F*E/CM= 63.504 </t>
  </si>
  <si>
    <t>Q  '시간당 작업량 (M3/Hr)'= 3600*q1*k*f*E/Cm=?</t>
  </si>
  <si>
    <t>'재료비:' ~00000201007000000.M~ / {Q} =?MA+</t>
  </si>
  <si>
    <t xml:space="preserve"> 노무비:  59020 / 63.504 = 929.3 </t>
  </si>
  <si>
    <t>'노무비:' ~00000201007000000.L~ / {Q} =?LA+</t>
  </si>
  <si>
    <t xml:space="preserve"> 경  비:  24554 / 63.504 = 386.6 </t>
  </si>
  <si>
    <t>'경  비:' ~00000201007000000.E~ / {Q} =?EQ+</t>
  </si>
  <si>
    <t xml:space="preserve"> 2.덤프트럭,15톤 </t>
  </si>
  <si>
    <t>'2.덤프트럭,15톤'</t>
  </si>
  <si>
    <t xml:space="preserve">T    적재용량(톤)  =15   </t>
  </si>
  <si>
    <t>T   '적재용량(톤)' =15</t>
  </si>
  <si>
    <t xml:space="preserve">R1   토석의 단위중량(톤)  =1.6   </t>
  </si>
  <si>
    <t>r1  '토석의 단위중량(톤)' =1.6</t>
  </si>
  <si>
    <t xml:space="preserve">L    토량 변화율  =1.25   </t>
  </si>
  <si>
    <t>L   '토량 변화율' =1.25</t>
  </si>
  <si>
    <t xml:space="preserve">Q1   1회 적재량(M3)  =T/R1*L= 11.7188 </t>
  </si>
  <si>
    <t>q1  '1회 적재량(M3)' =T/r1*L=?</t>
  </si>
  <si>
    <t xml:space="preserve">F    토량 환산계수(1/L)  =1/1.25= 0.8 </t>
  </si>
  <si>
    <t>f   '토량 환산계수(1/L)' =1/1.25=?</t>
  </si>
  <si>
    <t xml:space="preserve">E    작업효율  =0.9   </t>
  </si>
  <si>
    <t>E   '작업효율' =0.9</t>
  </si>
  <si>
    <t xml:space="preserve">CMS  적재기계 1회 싸이클시간(SEC)  =21   </t>
  </si>
  <si>
    <t>Cms '적재기계 1회 싸이클시간(SEC)' =21</t>
  </si>
  <si>
    <t xml:space="preserve">V1   단지내적재운반속도(KM/HR)  =15   </t>
  </si>
  <si>
    <t>V1  '단지내적재운반속도(KM/HR)' =15</t>
  </si>
  <si>
    <t xml:space="preserve">V2   단지내공차운반속도(KM/HR)  =20   </t>
  </si>
  <si>
    <t>V2  '단지내공차운반속도(KM/HR)' =20</t>
  </si>
  <si>
    <t xml:space="preserve">V3   시내외포장적재운반속도(KM/HR)  =35   </t>
  </si>
  <si>
    <t>V3  '시내외포장적재운반속도(KM/HR)' =35</t>
  </si>
  <si>
    <t xml:space="preserve">V4   시내외포장공차운반속도(KM/HR)  =35   </t>
  </si>
  <si>
    <t>V4  '시내외포장공차운반속도(KM/HR)' =35</t>
  </si>
  <si>
    <t xml:space="preserve">V5   사토장적재운반속도(KM/HR)  =15   </t>
  </si>
  <si>
    <t>V5  '사토장적재운반속도(KM/HR)' =15</t>
  </si>
  <si>
    <t xml:space="preserve">V6   사토장공차운반속도(KM/HR)  =20   </t>
  </si>
  <si>
    <t>V6  '사토장공차운반속도(KM/HR)' =20</t>
  </si>
  <si>
    <t xml:space="preserve">L1   단지내운반거리(KM)  =0.5   </t>
  </si>
  <si>
    <t>L1  '단지내운반거리(KM)' =0.5</t>
  </si>
  <si>
    <t xml:space="preserve">L2   시내외포장(KM)  =9.0   </t>
  </si>
  <si>
    <t>L2  '시내외포장(KM)' =9.0</t>
  </si>
  <si>
    <t xml:space="preserve">L3   사토장비포장(KM)  =0.5   </t>
  </si>
  <si>
    <t>L3  '사토장비포장(KM)' =0.5</t>
  </si>
  <si>
    <t xml:space="preserve">T2   왕복시간(MIN)  =((L1/V1)+(L1/V2)+(L2/V3)+(L2/V4)+(L3/V5)+(L3/V6))*60= 37.8571 </t>
  </si>
  <si>
    <t>t2  '왕복시간(MIN)' =((L1/V1)+(L1/V2)+(L2/V3)+(L2/V4)+(L3/V5)+(L3/V6))*60=?</t>
  </si>
  <si>
    <t xml:space="preserve">T3   적하시간(MIN)양호0.15,보통0.8,불량1.1 =0.8   </t>
  </si>
  <si>
    <t>t3  '적하시간(MIN)양호0.15,보통0.8,불량1.1'=0.8</t>
  </si>
  <si>
    <t xml:space="preserve">T4   적재대기(MIN)양호0.15,보통0.42,불량0.7  =0.42   </t>
  </si>
  <si>
    <t>t4  '적재대기(MIN)양호0.15,보통0.42,불량0.7 '=0.42</t>
  </si>
  <si>
    <t xml:space="preserve">T5   적재합인력덮개설치및해체(MIN)  =0.5   </t>
  </si>
  <si>
    <t>t5  '적재합인력덮개설치및해체(MIN)' =0.5</t>
  </si>
  <si>
    <t xml:space="preserve">k    백호바켓계수  =1.1   </t>
  </si>
  <si>
    <t>k   '백호바켓계수' =1.1</t>
  </si>
  <si>
    <t xml:space="preserve">ES   작업효율(양호0.9,보통0.75,불량0.6) = 0.75   </t>
  </si>
  <si>
    <t>Es  '작업효율(양호0.9,보통0.75,불량0.6)'= 0.75</t>
  </si>
  <si>
    <t xml:space="preserve">N    덤프트럭 소요 백호 적재회수  =Q1/(0.7*K)= 15.22 </t>
  </si>
  <si>
    <t>n   '덤프트럭 소요 백호 적재회수' =q1/(0.7*k)=?</t>
  </si>
  <si>
    <t xml:space="preserve">CM   1회 싸이클 시간(MIN)  =CMS*N/(60*ES)+T2+T3+T4+T5= 46.68 </t>
  </si>
  <si>
    <t>Cm  '1회 싸이클 시간(MIN)' =Cms*n/(60*Es)+t2+t3+t4+t5=?</t>
  </si>
  <si>
    <t xml:space="preserve">Q    시간당 작업량(M3/HR)  =60*Q1*F*E/CM= 10.845 </t>
  </si>
  <si>
    <t>Q   '시간당 작업량(M3/HR)' =60*q1*f*E/Cm=?</t>
  </si>
  <si>
    <t>'재료비:' ~00000602015000000.M~ / {Q} =?MA+</t>
  </si>
  <si>
    <t xml:space="preserve"> 노무비:  59020 / 10.845 = 5442.1 </t>
  </si>
  <si>
    <t>'노무비:' ~00000602015000000.L~ / {Q} =?LA+</t>
  </si>
  <si>
    <t xml:space="preserve"> 경  비:  20659 / 10.845 = 1904.9 </t>
  </si>
  <si>
    <t>'경  비:' ~00000602015000000.E~ / {Q} =?EQ+</t>
  </si>
  <si>
    <t xml:space="preserve">  소계    </t>
  </si>
  <si>
    <t>&gt;'소계'</t>
  </si>
  <si>
    <t xml:space="preserve"> 3.자동덮개시설,덤프15톤용 M3 </t>
  </si>
  <si>
    <t>'3.자동덮개시설,덤프15톤용 M3'</t>
  </si>
  <si>
    <t xml:space="preserve"> 재료비:  0 / 10.845 = 0 </t>
  </si>
  <si>
    <t>'재료비:' ~00000610015000000.M~ / {Q} =?MA+</t>
  </si>
  <si>
    <t xml:space="preserve"> 노무비:  0 / 10.845 = 0 </t>
  </si>
  <si>
    <t>'노무비:' ~00000610015000000.L~ / {Q} =?LA+</t>
  </si>
  <si>
    <t xml:space="preserve"> 경  비:  438 / 10.845 = 40.3 </t>
  </si>
  <si>
    <t>'경  비:' ~00000610015000000.E~ / {Q} =?EQ+</t>
  </si>
  <si>
    <t xml:space="preserve">   합 계    </t>
  </si>
  <si>
    <t>&gt;&gt;'합 계'</t>
  </si>
  <si>
    <t xml:space="preserve">A1  1M당 굴착시간(Ø500~600MM 점질토0.91,사질토1.18,풍화암4.61,혼합층4.01)MIN =0.91   </t>
  </si>
  <si>
    <t>a1 '1M당 굴착시간(Ø500~600mm 점질토0.91,사질토1.18,풍화암4.61,혼합층4.01)MIN'=0.91</t>
  </si>
  <si>
    <t xml:space="preserve">A2  1M당 굴착시간(Ø500~600MM 점질토0.91,사질토1.18,풍화암4.61,혼합층4.01)MIN =4.61   </t>
  </si>
  <si>
    <t>a2 '1M당 굴착시간(Ø500~600mm 점질토0.91,사질토1.18,풍화암4.61,혼합층4.01)MIN'=4.61</t>
  </si>
  <si>
    <t xml:space="preserve">L1  굴착길이(M) =15                                              </t>
  </si>
  <si>
    <t xml:space="preserve">L1 '굴착길이(M)'=15                                           </t>
  </si>
  <si>
    <t xml:space="preserve">T1  굴착준비시간이동및위치잡기 (MIN/본)  =5   </t>
  </si>
  <si>
    <t>t1 '굴착준비시간이동및위치잡기 (MIN/본)' =5</t>
  </si>
  <si>
    <t xml:space="preserve">T2  천공시간(MIN/본)  =(A1*(L1-1)+(A2*1.0))= 17.35 </t>
  </si>
  <si>
    <t>t2 '천공시간(MIN/본)' =(a1*(L1-1)+(a2*1.0))=?</t>
  </si>
  <si>
    <t xml:space="preserve">T3  말뚝근입시간(MIN/본) 케이싱 미사용시(5MIM) 케이싱사용시(8MIM) =8   </t>
  </si>
  <si>
    <t>t3 '말뚝근입시간(MIN/본) 케이싱 미사용시(5mim) 케이싱사용시(8mim)'=8</t>
  </si>
  <si>
    <t xml:space="preserve">T4  그라우팅 직경400~600 말뚝길이10M미만(2MIM),말뚝길이10~20M미만(4MIM),말뚝길이20~30M미만(6MIM) = 4   </t>
  </si>
  <si>
    <t>t4 '그라우팅 직경400~600 말뚝길이10m미만(2mim),말뚝길이10~20m미만(4mim),말뚝길이20~30m미만(6mim)'= 4</t>
  </si>
  <si>
    <t xml:space="preserve">F   작업계수0.85 =0.85   </t>
  </si>
  <si>
    <t>F  '작업계수0.85'=0.85</t>
  </si>
  <si>
    <t xml:space="preserve">T   작업시간(MIN/M) =(T1+T2+T3+T4)/F= 40.4118 </t>
  </si>
  <si>
    <t>T  '작업시간(MIN/M)'=(t1+t2+t3+t4)/F=?</t>
  </si>
  <si>
    <t xml:space="preserve">Q   시간당 작업작업량(HR) =T/60= 0.674 </t>
  </si>
  <si>
    <t>Q  '시간당 작업작업량(HR)'=T/60=?</t>
  </si>
  <si>
    <t xml:space="preserve"> ◈인력편성  </t>
  </si>
  <si>
    <t>'◈인력편성 '</t>
  </si>
  <si>
    <t xml:space="preserve"> [1]=0, [2]=0, [3]=0, [4]=0, [5]=0   </t>
  </si>
  <si>
    <t xml:space="preserve"> [1]=0, [2]=0, [3]=0, [4]=0, [5]=0</t>
  </si>
  <si>
    <t xml:space="preserve"> 1.인력 </t>
  </si>
  <si>
    <t>'1.인력'</t>
  </si>
  <si>
    <t xml:space="preserve"> 보링공 1.0인/8HR*작업시간 </t>
  </si>
  <si>
    <t>'보링공 1.0인/8HR*작업시간'</t>
  </si>
  <si>
    <t xml:space="preserve"> 노무비: 232562*1.0/8* 0.674 = 19593.3 </t>
  </si>
  <si>
    <t>'노무비:'~L001010101000014.L~*1.0/8* {Q} =?LA+:LA1</t>
  </si>
  <si>
    <t xml:space="preserve"> 기계설비공 1.0인/8HR*작업시간 </t>
  </si>
  <si>
    <t>'기계설비공 1.0인/8HR*작업시간'</t>
  </si>
  <si>
    <t xml:space="preserve"> 노무비: 241698*1.0/8* 0.674 = 20363 </t>
  </si>
  <si>
    <t xml:space="preserve">'노무비:'~L001010101000051.L~*1.0/8* {Q} =?LA+:LA2 </t>
  </si>
  <si>
    <t xml:space="preserve"> 특별인부2.0인/8HR*작업시간 </t>
  </si>
  <si>
    <t>'특별인부2.0인/8HR*작업시간'</t>
  </si>
  <si>
    <t xml:space="preserve"> 노무비: 226122*2.0/8* 0.674 = 38101.5 </t>
  </si>
  <si>
    <t>'노무비:'~L001010101000003.L~*2.0/8* {Q} =?LA+:LA3</t>
  </si>
  <si>
    <t xml:space="preserve"> 보통인부1.0인/8HR*작업시간 </t>
  </si>
  <si>
    <t>'보통인부1.0인/8HR*작업시간'</t>
  </si>
  <si>
    <t xml:space="preserve"> 노무비: 172068*1.0/8* 0.674 = 14496.7 </t>
  </si>
  <si>
    <t>'노무비:'~L001010101000002.L~*1.0/8* {Q} =?LA+:LA4</t>
  </si>
  <si>
    <t xml:space="preserve"> 용접공0.5인/8HR*작업시간(말뚝이음 필요 1.5인 불필요 0.5인) </t>
  </si>
  <si>
    <t>'용접공0.5인/8HR*작업시간(말뚝이음 필요 1.5인 불필요 0.5인)'</t>
  </si>
  <si>
    <t xml:space="preserve"> 노무비: 282536*0.5/8* 0.674 = 11901.8 </t>
  </si>
  <si>
    <t>'노무비:'~L001010101000012.L~*0.5/8* {Q} =?LA+:LA5</t>
  </si>
  <si>
    <t xml:space="preserve"> 2.부속장비의경비(그라우팅 장비, 용접장비, 드롭해머 등): 104456.3*0.15= 15668.4 </t>
  </si>
  <si>
    <t>'2.부속장비의경비(그라우팅 장비, 용접장비, 드롭해머 등):'{LA1+LA2+LA3+LA4+LA5}*0.15=?EQ+</t>
  </si>
  <si>
    <t xml:space="preserve"> 단말뚝 15%, 이음말뚝 13% </t>
  </si>
  <si>
    <t>'단말뚝 15%, 이음말뚝 13%'</t>
  </si>
  <si>
    <t xml:space="preserve"> 3.소모자재손료(용접봉, 오거스크류, 오거헤드, 케이싱 등): 104456.3*0.21= 21935.8 </t>
  </si>
  <si>
    <t>'3.소모자재손료(용접봉, 오거스크류, 오거헤드, 케이싱 등):'{LA1+LA2+LA3+LA4+LA5}*0.21=?MA+</t>
  </si>
  <si>
    <t xml:space="preserve"> 케이시 사용시 단말뚝 21%, 이음말뚝 24% </t>
  </si>
  <si>
    <t>'케이시 사용시 단말뚝 21%, 이음말뚝 24%'</t>
  </si>
  <si>
    <t xml:space="preserve"> 케이시 미사용시 단말뚝 17%, 이음말뚝 19% </t>
  </si>
  <si>
    <t>'케이시 미사용시 단말뚝 17%, 이음말뚝 19%'</t>
  </si>
  <si>
    <t xml:space="preserve"> ◈장비편성  </t>
  </si>
  <si>
    <t>'◈장비편성 '</t>
  </si>
  <si>
    <t xml:space="preserve"> 3.파일천공전용장비, 100톤(파일직경별 및 길이별 장비적용) </t>
  </si>
  <si>
    <t>'3.파일천공전용장비, 100톤(파일직경별 및 길이별 장비적용)'</t>
  </si>
  <si>
    <t>'재료비:' ~00006802010000000.M~ * {Q} =?MA+</t>
  </si>
  <si>
    <t xml:space="preserve"> 노무비:  59020 * 0.674 = 39779.4 </t>
  </si>
  <si>
    <t>'노무비:' ~00006802010000000.L~ * {Q} =?LA+</t>
  </si>
  <si>
    <t xml:space="preserve"> 경  비:  57291 * 0.674 = 38614.1 </t>
  </si>
  <si>
    <t>'경  비:' ~00006802010000000.E~ * {Q} =?EQ+</t>
  </si>
  <si>
    <t xml:space="preserve"> 4.오거,89.52KW(스크류+케이싱) 2대(파일직경별 및 길이별 장비적용) </t>
  </si>
  <si>
    <t>'4.오거,89.52kW(스크류+케이싱) 2대(파일직경별 및 길이별 장비적용)'</t>
  </si>
  <si>
    <t xml:space="preserve"> 재료비:  0 * 2 * 0.674 = 0 </t>
  </si>
  <si>
    <t>'재료비:' ~00006410120000000.M~ * 2 * {Q} =?MA+</t>
  </si>
  <si>
    <t xml:space="preserve"> 노무비:  0 * 2 * 0.674 = 0 </t>
  </si>
  <si>
    <t>'노무비:' ~00006410120000000.L~ * 2 * {Q} =?LA+</t>
  </si>
  <si>
    <t xml:space="preserve"> 경  비:  30948 * 2 * 0.674 = 41717.9 </t>
  </si>
  <si>
    <t>'경  비:' ~00006410120000000.E~ * 2 * {Q} =?EQ+</t>
  </si>
  <si>
    <t xml:space="preserve"> 5.발전기(오거 구동용), 450KW </t>
  </si>
  <si>
    <t>'5.발전기(오거 구동용), 450KW'</t>
  </si>
  <si>
    <t>'재료비:' ~00007505045000000.M~ * {Q} =?MA+</t>
  </si>
  <si>
    <t xml:space="preserve"> 노무비:  36248 * 0.674 = 24431.1 </t>
  </si>
  <si>
    <t>'노무비:' ~00007505045000000.L~ * {Q} =?LA+</t>
  </si>
  <si>
    <t xml:space="preserve"> 경  비:  22006 * 0.674 = 14832 </t>
  </si>
  <si>
    <t>'경  비:' ~00007505045000000.E~ * {Q} =?EQ+</t>
  </si>
  <si>
    <t xml:space="preserve"> 6.발전기(믹서플랜트 구동용), 100KW </t>
  </si>
  <si>
    <t>'6.발전기(믹서플랜트 구동용), 100KW'</t>
  </si>
  <si>
    <t>'재료비:' ~00007505010000000.M~ * {Q} =?MA+</t>
  </si>
  <si>
    <t>'노무비:' ~00007505010000000.L~ * {Q} =?LA+</t>
  </si>
  <si>
    <t xml:space="preserve"> 경  비:  5698 * 0.674 = 3840.4 </t>
  </si>
  <si>
    <t>'경  비:' ~00007505010000000.E~ * {Q} =?EQ+</t>
  </si>
  <si>
    <t xml:space="preserve"> 7.공기압축기(이동식),25.5M3/MIN(비트별 장비적용) </t>
  </si>
  <si>
    <t>'7.공기압축기(이동식),25.5M3/MIN(비트별 장비적용)'</t>
  </si>
  <si>
    <t>'재료비:' ~00005205025500000.M~ * {Q} =?MA+</t>
  </si>
  <si>
    <t>'노무비:' ~00005205025500000.L~ * {Q} =?LA+</t>
  </si>
  <si>
    <t xml:space="preserve"> 경  비:  12714 * 0.674 = 8569.2 </t>
  </si>
  <si>
    <t>'경  비:' ~00005205025500000.E~ * {Q} =?EQ+</t>
  </si>
  <si>
    <t xml:space="preserve"> 8.지게차,5.0ton/MIN </t>
  </si>
  <si>
    <t>'8.지게차,5.0ton/MIN'</t>
  </si>
  <si>
    <t>'재료비:' ~00002502005000000.M~ * {Q}*0.2 =?MA+</t>
  </si>
  <si>
    <t xml:space="preserve"> 노무비:  59020 * 0.674*0.2 = 7955.8 </t>
  </si>
  <si>
    <t>'노무비:' ~00002502005000000.L~ * {Q}*0.2 =?LA+</t>
  </si>
  <si>
    <t xml:space="preserve"> 경  비:  7157 * 0.674*0.2 = 964.7 </t>
  </si>
  <si>
    <t>'경  비:' ~00002502005000000.E~ * {Q}*0.2 =?EQ+</t>
  </si>
  <si>
    <t xml:space="preserve"> 9.굴삭기(무한궤도), 0.2M3 (배토처리) </t>
  </si>
  <si>
    <t>'9.굴삭기(무한궤도), 0.2M3 (배토처리)'</t>
  </si>
  <si>
    <t>'재료비:' ~00000201002000000.M~ * {Q}*0.4 =?MA+</t>
  </si>
  <si>
    <t xml:space="preserve"> 노무비:  59020 * 0.674*0.4 = 15911.7 </t>
  </si>
  <si>
    <t>'노무비:' ~00000201002000000.L~ * {Q}*0.4 =?LA+</t>
  </si>
  <si>
    <t xml:space="preserve"> 경  비:  13873 * 0.674*0.4 = 3740.1 </t>
  </si>
  <si>
    <t>'경  비:' ~00000201002000000.E~ * {Q}*0.4 =?EQ+</t>
  </si>
  <si>
    <t xml:space="preserve"> 10.크레인(무한궤도), 50톤 (파일근입/이동) </t>
  </si>
  <si>
    <t>'10.크레인(무한궤도), 50톤 (파일근입/이동)'</t>
  </si>
  <si>
    <t>'재료비:' ~00002101005000000.M~ * {Q}*0.3 =?MA+</t>
  </si>
  <si>
    <t xml:space="preserve"> 노무비:  59020 * 0.674*0.3 = 11933.8 </t>
  </si>
  <si>
    <t>'노무비:' ~00002101005000000.L~ * {Q}*0.3 =?LA+</t>
  </si>
  <si>
    <t xml:space="preserve"> 경  비:  73019 * 0.674*0.3 = 14764.4 </t>
  </si>
  <si>
    <t>'경  비:' ~00002101005000000.E~ * {Q}*0.3 =?EQ+</t>
  </si>
  <si>
    <t xml:space="preserve"> 재료비:  7687.5 * 0.674 = 5181.3 </t>
  </si>
  <si>
    <t>'재료비:' ~9JC0131104000111.M~ * {Q} =?MA+</t>
  </si>
  <si>
    <t xml:space="preserve">L1  굴착길이(M) =19   </t>
  </si>
  <si>
    <t>L1 '굴착길이(M)'=19</t>
  </si>
  <si>
    <t xml:space="preserve">T2  천공시간(MIN/본)  =(A1*(L1-1)+(A2*1.0))= 20.99 </t>
  </si>
  <si>
    <t xml:space="preserve">T5  용접(2회기준) ※병행작업 시 계상하지 않는다 직경400(15MIN),450(16MIN),500(18MIN)  = 18   </t>
  </si>
  <si>
    <t>t5 '용접(2회기준) ※병행작업 시 계상하지 않는다 직경400(15min),450(16min),500(18min)' = 18</t>
  </si>
  <si>
    <t xml:space="preserve">T   작업시간(MIN/M) =(T1+T2+T3+T4+T5)/F= 65.8706 </t>
  </si>
  <si>
    <t>T  '작업시간(MIN/M)'=(t1+t2+t3+t4+t5)/F=?</t>
  </si>
  <si>
    <t xml:space="preserve">Q   시간당 작업작업량(HR) =T/60= 1.098 </t>
  </si>
  <si>
    <t xml:space="preserve"> 노무비: 232562*1.0/8* 1.098 = 31919.1 </t>
  </si>
  <si>
    <t xml:space="preserve"> 노무비: 241698*1.0/8* 1.098 = 33173 </t>
  </si>
  <si>
    <t xml:space="preserve"> 노무비: 226122*2.0/8* 1.098 = 62070.4 </t>
  </si>
  <si>
    <t xml:space="preserve"> 노무비: 172068*1.0/8* 1.098 = 23616.3 </t>
  </si>
  <si>
    <t xml:space="preserve"> 노무비: 282536*1.5/8* 1.098 = 58167 </t>
  </si>
  <si>
    <t>'노무비:'~L001010101000012.L~*1.5/8* {Q} =?LA+:LA5</t>
  </si>
  <si>
    <t xml:space="preserve"> 2.부속장비의경비(그라우팅 장비, 용접장비, 드롭해머 등): 208945.8*0.13= 27162.9 </t>
  </si>
  <si>
    <t>'2.부속장비의경비(그라우팅 장비, 용접장비, 드롭해머 등):'{LA1+LA2+LA3+LA4+LA5}*0.13=?EQ+</t>
  </si>
  <si>
    <t xml:space="preserve"> 3.소모자재손료(용접봉, 오거스크류, 오거헤드, 케이싱 등): 208945.8*0.24= 50146.9 </t>
  </si>
  <si>
    <t>'3.소모자재손료(용접봉, 오거스크류, 오거헤드, 케이싱 등):'{LA1+LA2+LA3+LA4+LA5}*0.24=?MA+</t>
  </si>
  <si>
    <t xml:space="preserve"> 노무비:  59020 * 1.098 = 64803.9 </t>
  </si>
  <si>
    <t xml:space="preserve"> 경  비:  57291 * 1.098 = 62905.5 </t>
  </si>
  <si>
    <t xml:space="preserve"> 재료비:  0 * 2 * 1.098 = 0 </t>
  </si>
  <si>
    <t xml:space="preserve"> 노무비:  0 * 2 * 1.098 = 0 </t>
  </si>
  <si>
    <t xml:space="preserve"> 경  비:  30948 * 2 * 1.098 = 67961.8 </t>
  </si>
  <si>
    <t xml:space="preserve"> 노무비:  36248 * 1.098 = 39800.3 </t>
  </si>
  <si>
    <t xml:space="preserve"> 경  비:  22006 * 1.098 = 24162.5 </t>
  </si>
  <si>
    <t xml:space="preserve"> 경  비:  5698 * 1.098 = 6256.4 </t>
  </si>
  <si>
    <t xml:space="preserve"> 7.발전기(용접), 50KW </t>
  </si>
  <si>
    <t>'7.발전기(용접), 50KW'</t>
  </si>
  <si>
    <t>'재료비:' ~00007505005000000.M~ * {Q} =?MA+</t>
  </si>
  <si>
    <t>'노무비:' ~00007505005000000.L~ * {Q} =?LA+</t>
  </si>
  <si>
    <t xml:space="preserve"> 경  비:  4689 * 1.098 = 5148.5 </t>
  </si>
  <si>
    <t>'경  비:' ~00007505005000000.E~ * {Q} =?EQ+</t>
  </si>
  <si>
    <t xml:space="preserve"> 8.공기압축기(이동식),25.5M3/MIN(비트별 장비적용) </t>
  </si>
  <si>
    <t>'8.공기압축기(이동식),25.5M3/MIN(비트별 장비적용)'</t>
  </si>
  <si>
    <t xml:space="preserve"> 경  비:  12714 * 1.098 = 13959.9 </t>
  </si>
  <si>
    <t xml:space="preserve"> 9.지게차,5.0ton/MIN </t>
  </si>
  <si>
    <t>'9.지게차,5.0ton/MIN'</t>
  </si>
  <si>
    <t xml:space="preserve"> 노무비:  59020 * 1.098*0.2 = 12960.7 </t>
  </si>
  <si>
    <t xml:space="preserve"> 경  비:  7157 * 1.098*0.2 = 1571.6 </t>
  </si>
  <si>
    <t xml:space="preserve"> 10.굴삭기(무한궤도), 0.2M3 (배토처리) </t>
  </si>
  <si>
    <t>'10.굴삭기(무한궤도), 0.2M3 (배토처리)'</t>
  </si>
  <si>
    <t xml:space="preserve"> 노무비:  59020 * 1.098*0.4 = 25921.5 </t>
  </si>
  <si>
    <t xml:space="preserve"> 경  비:  13873 * 1.098*0.4 = 6093 </t>
  </si>
  <si>
    <t xml:space="preserve"> 11.크레인(무한궤도), 50톤 (파일근입/이동) </t>
  </si>
  <si>
    <t>'11.크레인(무한궤도), 50톤 (파일근입/이동)'</t>
  </si>
  <si>
    <t>'재료비:' ~00002101005000000.M~ * {Q} =?MA+</t>
  </si>
  <si>
    <t>'노무비:' ~00002101005000000.L~ * {Q} =?LA+</t>
  </si>
  <si>
    <t xml:space="preserve"> 경  비:  73019 * 1.098 = 80174.8 </t>
  </si>
  <si>
    <t>'경  비:' ~00002101005000000.E~ * {Q} =?EQ+</t>
  </si>
  <si>
    <t xml:space="preserve"> 재료비:  7687.5 * 1.098 = 8440.8 </t>
  </si>
  <si>
    <t>단 가 대 비 표</t>
  </si>
  <si>
    <t>품목구분</t>
  </si>
  <si>
    <t>노임구분</t>
  </si>
  <si>
    <t>소수점처리</t>
  </si>
  <si>
    <t>조달청가격</t>
  </si>
  <si>
    <t>PAGE</t>
  </si>
  <si>
    <t>거래가격</t>
  </si>
  <si>
    <t>유통물가</t>
  </si>
  <si>
    <t>물가자료</t>
  </si>
  <si>
    <t>조사가격</t>
  </si>
  <si>
    <t>적용단가</t>
  </si>
  <si>
    <t>자재 1</t>
  </si>
  <si>
    <t>자재 2</t>
  </si>
  <si>
    <t>자재 3</t>
  </si>
  <si>
    <t>자재 4</t>
  </si>
  <si>
    <t>자재 5</t>
  </si>
  <si>
    <t>자재 6</t>
  </si>
  <si>
    <t>자재 7</t>
  </si>
  <si>
    <t>자재 8</t>
  </si>
  <si>
    <t>자재 9</t>
  </si>
  <si>
    <t>자재 10</t>
  </si>
  <si>
    <t>자재 11</t>
  </si>
  <si>
    <t>자재 12</t>
  </si>
  <si>
    <t>자재 13</t>
  </si>
  <si>
    <t>자재 14</t>
  </si>
  <si>
    <t>자재 15</t>
  </si>
  <si>
    <t>자재 16</t>
  </si>
  <si>
    <t>자재 17</t>
  </si>
  <si>
    <t>자재 18</t>
  </si>
  <si>
    <t>자재 19</t>
  </si>
  <si>
    <t>자재 20</t>
  </si>
  <si>
    <t>자재 21</t>
  </si>
  <si>
    <t>자재 22</t>
  </si>
  <si>
    <t>자재 23</t>
  </si>
  <si>
    <t>자재 24</t>
  </si>
  <si>
    <t>자재 25</t>
  </si>
  <si>
    <t>자재 26</t>
  </si>
  <si>
    <t>자재 27</t>
  </si>
  <si>
    <t>자재 28</t>
  </si>
  <si>
    <t>자재 29</t>
  </si>
  <si>
    <t>자재 30</t>
  </si>
  <si>
    <t>자재 31</t>
  </si>
  <si>
    <t>자재 32</t>
  </si>
  <si>
    <t>자재 33</t>
  </si>
  <si>
    <t>자재 34</t>
  </si>
  <si>
    <t>자재 35</t>
  </si>
  <si>
    <t>자재 36</t>
  </si>
  <si>
    <t>자재 37</t>
  </si>
  <si>
    <t>자재 38</t>
  </si>
  <si>
    <t>자재 39</t>
  </si>
  <si>
    <t>자재 40</t>
  </si>
  <si>
    <t>자재 41</t>
  </si>
  <si>
    <t>자재 42</t>
  </si>
  <si>
    <t>자재 43</t>
  </si>
  <si>
    <t>자재 44</t>
  </si>
  <si>
    <t>자재 45</t>
  </si>
  <si>
    <t>자재 46</t>
  </si>
  <si>
    <t>자재 47</t>
  </si>
  <si>
    <t>자재 48</t>
  </si>
  <si>
    <t>자재 49</t>
  </si>
  <si>
    <t>자재 50</t>
  </si>
  <si>
    <t>자재 51</t>
  </si>
  <si>
    <t>자재 52</t>
  </si>
  <si>
    <t>자재 53</t>
  </si>
  <si>
    <t>자재 54</t>
  </si>
  <si>
    <t>자재 55</t>
  </si>
  <si>
    <t>자재 56</t>
  </si>
  <si>
    <t>자재 57</t>
  </si>
  <si>
    <t>자재 58</t>
  </si>
  <si>
    <t>자재 59</t>
  </si>
  <si>
    <t>자재 60</t>
  </si>
  <si>
    <t>자재 61</t>
  </si>
  <si>
    <t>자재 62</t>
  </si>
  <si>
    <t>자재 63</t>
  </si>
  <si>
    <t>자재 64</t>
  </si>
  <si>
    <t>자재 65</t>
  </si>
  <si>
    <t>자재 66</t>
  </si>
  <si>
    <t>자재 67</t>
  </si>
  <si>
    <t>자재 68</t>
  </si>
  <si>
    <t>자재 69</t>
  </si>
  <si>
    <t>자재 70</t>
  </si>
  <si>
    <t>자재 71</t>
  </si>
  <si>
    <t>자재 72</t>
  </si>
  <si>
    <t>자재 73</t>
  </si>
  <si>
    <t>자재 74</t>
  </si>
  <si>
    <t>자재 75</t>
  </si>
  <si>
    <t>자재 76</t>
  </si>
  <si>
    <t>자재 77</t>
  </si>
  <si>
    <t>자재 78</t>
  </si>
  <si>
    <t>자재 79</t>
  </si>
  <si>
    <t>자재 80</t>
  </si>
  <si>
    <t>현장도착도</t>
  </si>
  <si>
    <t>한국지반조사협회</t>
  </si>
  <si>
    <t>PHC 500</t>
  </si>
  <si>
    <t>https://blog.naver.com/w85000/221974505618</t>
  </si>
  <si>
    <t>1</t>
  </si>
  <si>
    <t>노임 1</t>
  </si>
  <si>
    <t>노임 2</t>
  </si>
  <si>
    <t>노임 3</t>
  </si>
  <si>
    <t>노임 4</t>
  </si>
  <si>
    <t>노임 5</t>
  </si>
  <si>
    <t>노임 6</t>
  </si>
  <si>
    <t>노임 7</t>
  </si>
  <si>
    <t>보링공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</si>
  <si>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</si>
  <si>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</si>
  <si>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</si>
  <si>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</si>
  <si>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</si>
  <si>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</si>
  <si>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</si>
  <si>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</si>
  <si>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노임 16</t>
  </si>
  <si>
    <t>노임 17</t>
  </si>
  <si>
    <t>노임 18</t>
  </si>
  <si>
    <t>3)</t>
    <phoneticPr fontId="3" type="noConversion"/>
  </si>
  <si>
    <t>H=4.0, 26개월[해체비제외]</t>
  </si>
  <si>
    <t>RPP가설방음벽 설치</t>
  </si>
  <si>
    <t>6m(h), 간격(2m), 26개월[해체비제외]</t>
  </si>
  <si>
    <t>조립식가설통용문 설치</t>
  </si>
  <si>
    <t>자동세륜기 설치</t>
  </si>
  <si>
    <t>사용기간 12개월[해체비제외]</t>
  </si>
  <si>
    <t>500mm*80mm*13m*3570kg, A종</t>
  </si>
  <si>
    <t>500mm*80mm*15m*4110kg, A종</t>
  </si>
  <si>
    <t>파일그라우팅(부자재계산용)</t>
  </si>
  <si>
    <t>500mm*80mm*11m*3020kg, A종</t>
  </si>
  <si>
    <t>건설폐기물-중간처리</t>
  </si>
  <si>
    <t>건설폐재류</t>
  </si>
  <si>
    <t>건설폐기물운반비-중간처리(건설폐재류)</t>
  </si>
  <si>
    <t>24톤덤프,30km</t>
  </si>
  <si>
    <t>지주높이 4.0m 이하, 시공량 100m/일당</t>
  </si>
  <si>
    <t>자동세륜기 설치  사용기간 12개월[해체비제외]  개소     ( 호표 10 )</t>
  </si>
  <si>
    <t>콘크리트말뚝 두부정리</t>
  </si>
  <si>
    <t>D500mm</t>
  </si>
  <si>
    <t>가설방음판</t>
  </si>
  <si>
    <t>가설방음판, 플라스틱, 1980-2000*500*30mm</t>
  </si>
  <si>
    <t xml:space="preserve">시멘트운반(상차비포함)  L:20km, 덤프 8ton  포  ( 산근 4 ) </t>
  </si>
  <si>
    <t xml:space="preserve"> 기타공사분(제요율적용제외공종)</t>
    <phoneticPr fontId="4" type="noConversion"/>
  </si>
  <si>
    <t xml:space="preserve"> 임시전력인입비</t>
    <phoneticPr fontId="3" type="noConversion"/>
  </si>
  <si>
    <t>임시전력인입비</t>
    <phoneticPr fontId="3" type="noConversion"/>
  </si>
  <si>
    <t>공사명 : (가칭)둔촌동 중학교 도시형캠퍼스 신축공사(1차분/전체동)</t>
    <phoneticPr fontId="3" type="noConversion"/>
  </si>
  <si>
    <t>01  (가칭)둔촌동 중학교 도시형캠퍼스 신축공사(1차분전체)</t>
  </si>
  <si>
    <t>조립식가설울타리 설치/E.G.I철판</t>
  </si>
  <si>
    <t>H=6.0m W=8.0m. 26개월[해체비제외]</t>
  </si>
  <si>
    <t>콘테이너형 가설사무소 설치/도급자용</t>
  </si>
  <si>
    <t>3.0*9.0m, 26개월[해체비제외]</t>
  </si>
  <si>
    <t>콘테이너형 가설사무소 설치/감리,감독자용</t>
  </si>
  <si>
    <t>콘테이너형 가설창고 설치</t>
  </si>
  <si>
    <t>콘테이너형 가설시험실 설치</t>
  </si>
  <si>
    <t>콘테이너형 가설건축물 이전</t>
  </si>
  <si>
    <t>3.0*9.0m, [해체및설치]</t>
  </si>
  <si>
    <t>이동식화장실(남,여)설치</t>
  </si>
  <si>
    <t>3.0*6.0m, 26개월[해체비제외]</t>
  </si>
  <si>
    <t>콘테이너형 가설건축물 인계비용</t>
  </si>
  <si>
    <t>3.0*9.0m</t>
  </si>
  <si>
    <t>23754316</t>
  </si>
  <si>
    <t>콘테이너형 가설건축물 설치</t>
  </si>
  <si>
    <t>조립식가설울타리 설치/E.G.I철판  H=4.0, 26개월[해체비제외]  M     ( 호표 1 )</t>
  </si>
  <si>
    <t>RPP가설방음벽 설치  6m(h), 간격(2m), 26개월[해체비제외]  M     ( 호표 2 )</t>
  </si>
  <si>
    <t>조립식가설통용문 설치  H=6.0m W=8.0m. 26개월[해체비제외]  개소     ( 호표 3 )</t>
  </si>
  <si>
    <t>콘테이너형 가설사무소 설치/도급자용  3.0*9.0m, 26개월[해체비제외]  개소     ( 호표 4 )</t>
  </si>
  <si>
    <t>컨테이너하우스</t>
  </si>
  <si>
    <t>컨테이너하우스, 사무실용, 3.0*9.0*2.6m</t>
  </si>
  <si>
    <t>콘테이너형 가설사무소 설치/감리,감독자용  3.0*9.0m, 26개월[해체비제외]  개소     ( 호표 5 )</t>
  </si>
  <si>
    <t>콘테이너형 가설창고 설치  3.0*9.0m, 26개월[해체비제외]  개소     ( 호표 6 )</t>
  </si>
  <si>
    <t>컨테이너하우스, 창고용, 3.0*9.0*2.6m</t>
  </si>
  <si>
    <t>콘테이너형 가설시험실 설치  3.0*9.0m, 26개월[해체비제외]  개소     ( 호표 7 )</t>
  </si>
  <si>
    <t>콘테이너형 가설건축물 이전  3.0*9.0m, [해체및설치]  개소     ( 호표 8 )</t>
  </si>
  <si>
    <t>이동식화장실(남,여)설치  3.0*6.0m, 26개월[해체비제외]  대     ( 호표 9 )</t>
  </si>
  <si>
    <t>콘테이너형 가설건축물 인계비용  3.0*9.0m  개소     ( 호표 11 )</t>
  </si>
  <si>
    <t>잔토처리(기계)-파일  토사10km 백호0.7M3＋덤프15톤  M3     ( 호표 12 )</t>
  </si>
  <si>
    <t>파일이음  Ø500, 이음밴드 포함, 2개1조  개소     ( 호표 13 )</t>
  </si>
  <si>
    <t>강관항타보조파일  Ø500  M     ( 호표 14 )</t>
  </si>
  <si>
    <t>말뚝두부정리(콘크리트)  Ø500  본     ( 호표 15 )</t>
  </si>
  <si>
    <t>콘크리트말뚝 머리보강  Ø500, (캡+보강철근포함)  본     ( 호표 16 )</t>
  </si>
  <si>
    <t>말뚝속콘크리트채움  Ø500  본     ( 호표 17 )</t>
  </si>
  <si>
    <t>케이싱병행 선굴착 매입말뚝공법(SDA+T4)  Ø500mm 단관말뚝, 그라우트주입  M     ( 호표 18 )</t>
  </si>
  <si>
    <t>케이싱병행 선굴착 매입말뚝공법(SDA+T4)  Ø500mm 이음말뚝, 그라우트주입  M     ( 호표 19 )</t>
  </si>
  <si>
    <t>되메우기 및 다짐  소형장비  M3     ( 호표 20 )</t>
  </si>
  <si>
    <t>기성말뚝 장비조립  외부 반출 및 반입 / 리더부 30M 이하  회     ( 호표 21 )</t>
  </si>
  <si>
    <t>기성말뚝 장비해체  외부 반출 및 반입 / 리더부 30M 이하  회     ( 호표 22 )</t>
  </si>
  <si>
    <t>기성말뚝 장비조립  작업구간내 이동 / 리더부 30M 이하  회     ( 호표 23 )</t>
  </si>
  <si>
    <t>기성말뚝 장비해체  작업구간내 이동 / 리더부 30M 이하  회     ( 호표 24 )</t>
  </si>
  <si>
    <t>파일그라우팅(부자재계산용)  Ø500  M     ( 호표 25 )</t>
  </si>
  <si>
    <t>말뚝재하시험  동재하  회     ( 호표 26 )</t>
  </si>
  <si>
    <t>말뚝재하시험  정재하(압축재하)  회     ( 호표 27 )</t>
  </si>
  <si>
    <t>비파괴검사(자분탐상 MT)  Ø500,PHC파일이음  회     ( 호표 28 )</t>
  </si>
  <si>
    <t>강관 지주 설치  지주높이 4.0m 이하, 시공량 100m/일당  M     ( 호표 30 )</t>
  </si>
  <si>
    <t>가설울타리판 설치  설치높이 6m 이하, 시공량 95m/일당  M     ( 호표 31 )</t>
  </si>
  <si>
    <t>CONC인력비빔타설 / 가설  무근울타리기초  M3     ( 호표 32 )</t>
  </si>
  <si>
    <t>굴착기(무한궤도)  0.2㎥  HR     ( 호표 33 )</t>
  </si>
  <si>
    <t>콘크리트 인력비빔 타설  소형구조물  M3     ( 호표 34 )</t>
  </si>
  <si>
    <t>세로형 가설방음판 설치  설치높이 6m 이하, 시공량 100m/일당  M     ( 호표 36 )</t>
  </si>
  <si>
    <t>강관 지주 설치  지주높이 7.0m 이하, 시공량 70m/일당  M     ( 호표 37 )</t>
  </si>
  <si>
    <t>콘테이너형 가설건축물 설치  3.0*9.0m  개소     ( 호표 38 )</t>
  </si>
  <si>
    <t>크레인(타이어)  10ton  HR     ( 호표 39 )</t>
  </si>
  <si>
    <t>콘테이너형 가설건축물 설치 및 해체  3.0*9.0m  개소     ( 호표 40 )</t>
  </si>
  <si>
    <t>콘테이너형 가설건축물 설치  3.0*6.0m  개소     ( 호표 41 )</t>
  </si>
  <si>
    <t>자동세륜기 설치    회     ( 호표 42 )</t>
  </si>
  <si>
    <t>굴착기(무한궤도)  0.7㎥  HR     ( 호표 43 )</t>
  </si>
  <si>
    <t>덤프트럭  15ton  HR     ( 호표 44 )</t>
  </si>
  <si>
    <t>덤프트럭 자동덮개시설  15ton  HR     ( 호표 45 )</t>
  </si>
  <si>
    <t>레디믹스트콘크리트 인력운반 소량(12㎥ 이하) 타설  철근구조물  M3     ( 호표 46 )</t>
  </si>
  <si>
    <t>파일천공전용장비  100ton  HR     ( 호표 48 )</t>
  </si>
  <si>
    <t>오거  89.52kw  HR     ( 호표 49 )</t>
  </si>
  <si>
    <t>발전기  450kw  HR     ( 호표 50 )</t>
  </si>
  <si>
    <t>발전기  100kw  HR     ( 호표 51 )</t>
  </si>
  <si>
    <t>공기압축기(이동식)  25.5㎥/min  HR     ( 호표 52 )</t>
  </si>
  <si>
    <t>지게차  5.0ton  HR     ( 호표 53 )</t>
  </si>
  <si>
    <t>크레인(무한궤도)  50ton(1.91㎥)  HR     ( 호표 54 )</t>
  </si>
  <si>
    <t>발전기  50kw  HR     ( 호표 56 )</t>
  </si>
  <si>
    <t>대형 브레이커  0.7㎥용  HR     ( 호표 57 )</t>
  </si>
  <si>
    <t>굴착기(무한궤도)  0.7㎥(암석)  HR     ( 호표 58 )</t>
  </si>
  <si>
    <t>대형 브레이커용 치즐 소모량  0.7㎥용, 보통암  HR     ( 호표 59 )</t>
  </si>
  <si>
    <t>물탱크(살수차)  5500L  HR     ( 호표 60 )</t>
  </si>
  <si>
    <t>진동롤러(핸드가이드식)  0.7ton  HR     ( 호표 61 )</t>
  </si>
  <si>
    <t>크레인(무한궤도)  25ton(0.76㎥)  HR     ( 호표 62 )</t>
  </si>
  <si>
    <t>트럭탑재형 크레인  10ton  HR     ( 호표 63 )</t>
  </si>
  <si>
    <t>트럭 트랙터 및 평판트레일러  20ton  HR     ( 호표 64 )</t>
  </si>
  <si>
    <t>덤프트럭  8ton  HR     ( 호표 65 )</t>
  </si>
  <si>
    <t>비파괴검사(자분탐상 MT)    M     ( 호표 66 )</t>
  </si>
  <si>
    <t xml:space="preserve"> 재료비:  22501 / 3.4 = 6617.9 </t>
  </si>
  <si>
    <t xml:space="preserve"> 크레인(트럭)(10톤/HR)   [호표 63] </t>
  </si>
  <si>
    <t xml:space="preserve"> 재료비:  19652 / 22.979 = 855.2 </t>
  </si>
  <si>
    <t xml:space="preserve"> 재료비:  36466 * 15.2672*0.9029 = 502674.8 </t>
  </si>
  <si>
    <t xml:space="preserve"> 재료비:  20406 / 148.945*Z = 117.9 </t>
  </si>
  <si>
    <t xml:space="preserve">토사 운반/단지외 10km  보통, 덤프 15톤(적재백호0.7m3)  M3  ( 산근 5 ) </t>
  </si>
  <si>
    <t xml:space="preserve"> 재료비:  22501 / 63.504 = 354.3 </t>
  </si>
  <si>
    <t xml:space="preserve"> 재료비:  34887 / 10.845 = 3216.8 </t>
  </si>
  <si>
    <t xml:space="preserve"> 재료비:  35660 * 0.674 = 24034.8 </t>
  </si>
  <si>
    <t xml:space="preserve"> 재료비:  135843 * 0.674 = 91558.1 </t>
  </si>
  <si>
    <t xml:space="preserve"> 재료비:  34305 * 0.674 = 23121.5 </t>
  </si>
  <si>
    <t xml:space="preserve"> 재료비:  59574 * 0.674 = 40152.8 </t>
  </si>
  <si>
    <t xml:space="preserve"> 재료비:  12416 * 0.674*0.2 = 1673.6 </t>
  </si>
  <si>
    <t xml:space="preserve"> 재료비:  9619 * 0.674*0.4 = 2593.2 </t>
  </si>
  <si>
    <t xml:space="preserve"> 재료비:  22896 * 0.674*0.3 = 4629.5 </t>
  </si>
  <si>
    <t xml:space="preserve"> 재료비:  35660 * 1.098 = 39154.6 </t>
  </si>
  <si>
    <t xml:space="preserve"> 재료비:  135843 * 1.098 = 149155.6 </t>
  </si>
  <si>
    <t xml:space="preserve"> 재료비:  34305 * 1.098 = 37666.8 </t>
  </si>
  <si>
    <t xml:space="preserve"> 재료비:  17152 * 1.098 = 18832.8 </t>
  </si>
  <si>
    <t xml:space="preserve"> 재료비:  59574 * 1.098 = 65412.2 </t>
  </si>
  <si>
    <t xml:space="preserve"> 재료비:  12416 * 1.098*0.2 = 2726.5 </t>
  </si>
  <si>
    <t xml:space="preserve"> 재료비:  9619 * 1.098*0.4 = 4224.6 </t>
  </si>
  <si>
    <t xml:space="preserve"> 재료비:  22896 * 1.098 = 25139.8 </t>
  </si>
  <si>
    <t>□ 산출내역서</t>
  </si>
  <si>
    <t>순 번</t>
  </si>
  <si>
    <t>구 분</t>
  </si>
  <si>
    <r>
      <t>금 액</t>
    </r>
    <r>
      <rPr>
        <b/>
        <sz val="10"/>
        <color rgb="FF000000"/>
        <rFont val="맑은 고딕"/>
        <family val="3"/>
        <charset val="129"/>
      </rPr>
      <t>(단위:원)</t>
    </r>
  </si>
  <si>
    <t>비 고</t>
  </si>
  <si>
    <t>용역비</t>
  </si>
  <si>
    <t>용역비 산출서 참고</t>
  </si>
  <si>
    <t>손해배상보험 수수료</t>
  </si>
  <si>
    <t>부가가치세 (10%)</t>
  </si>
  <si>
    <t>합 계</t>
  </si>
  <si>
    <t>단수조정</t>
  </si>
  <si>
    <t>&lt;산출근거&gt;</t>
  </si>
  <si>
    <t>「산업안전보건법 시행령」 별표18</t>
  </si>
  <si>
    <t xml:space="preserve">산출내역 : </t>
  </si>
  <si>
    <t xml:space="preserve">■ 용 역 명     : </t>
  </si>
  <si>
    <t>노랑색 배경만 입력</t>
  </si>
  <si>
    <t>■ 산 출 근 거 (엔지니어링사업대가기준 실비정액가산방식)</t>
  </si>
  <si>
    <t>○  총공사비</t>
  </si>
  <si>
    <t>○  총공사기간(일)</t>
  </si>
  <si>
    <t>*총공사비=재료비+노무비+경비+부가가치세+관급자재비</t>
    <phoneticPr fontId="3" type="noConversion"/>
  </si>
  <si>
    <t>1. 인일수 판단</t>
  </si>
  <si>
    <t>공사준비기간(일)</t>
  </si>
  <si>
    <t>○  공사기간(준비기간 제외)</t>
  </si>
  <si>
    <t>일</t>
  </si>
  <si>
    <t>○  기술지도 횟수</t>
  </si>
  <si>
    <r>
      <t>○  공사금액에 따른 1회당 직접인건비</t>
    </r>
    <r>
      <rPr>
        <sz val="11"/>
        <color rgb="FF000000"/>
        <rFont val="돋움"/>
        <family val="3"/>
        <charset val="129"/>
      </rPr>
      <t>(엔지니어링 사업대가 기준 산출)</t>
    </r>
  </si>
  <si>
    <t>구  분</t>
  </si>
  <si>
    <t>임   금(원)</t>
  </si>
  <si>
    <t>공사금액</t>
  </si>
  <si>
    <t>1회당 직접인건비(원)</t>
  </si>
  <si>
    <t>특급기술자</t>
  </si>
  <si>
    <t>40억이상</t>
  </si>
  <si>
    <t>공공 건설공사의 공사기간 산정기준(국토교통부 훈령 제1140호, 2019.1.1)</t>
  </si>
  <si>
    <t>고급기술자</t>
  </si>
  <si>
    <t>20억이상 40억미만</t>
  </si>
  <si>
    <t>3억이상 20억미만</t>
  </si>
  <si>
    <t>초급기술자</t>
    <phoneticPr fontId="3" type="noConversion"/>
  </si>
  <si>
    <t>3억미만</t>
  </si>
  <si>
    <t>2. 산출내역(엔지니어링 사업대가의 기준 적용)</t>
  </si>
  <si>
    <t>비목</t>
  </si>
  <si>
    <t>산출근거</t>
  </si>
  <si>
    <t>금액</t>
  </si>
  <si>
    <t>비고</t>
  </si>
  <si>
    <t>공사기간(일)</t>
  </si>
  <si>
    <t>=</t>
  </si>
  <si>
    <t>준비기간</t>
  </si>
  <si>
    <t>+</t>
  </si>
  <si>
    <t>비작업일수</t>
  </si>
  <si>
    <t>작업일수</t>
  </si>
  <si>
    <t>정리기간</t>
  </si>
  <si>
    <t>1. 직접비</t>
  </si>
  <si>
    <t xml:space="preserve">  가. 직접인건비(A)</t>
  </si>
  <si>
    <t xml:space="preserve">    </t>
  </si>
  <si>
    <r>
      <rPr>
        <sz val="11"/>
        <color rgb="FF000000"/>
        <rFont val="MS Gothic"/>
        <family val="3"/>
        <charset val="128"/>
      </rPr>
      <t>｢</t>
    </r>
    <r>
      <rPr>
        <sz val="11"/>
        <color rgb="FF000000"/>
        <rFont val="맑은 고딕"/>
        <family val="3"/>
        <charset val="129"/>
      </rPr>
      <t>건설공사 산업재해 예방 지도</t>
    </r>
    <r>
      <rPr>
        <sz val="11"/>
        <color rgb="FF000000"/>
        <rFont val="MS Gothic"/>
        <family val="3"/>
        <charset val="128"/>
      </rPr>
      <t>｣</t>
    </r>
    <r>
      <rPr>
        <sz val="11"/>
        <color rgb="FF000000"/>
        <rFont val="맑은 고딕"/>
        <family val="3"/>
        <charset val="129"/>
      </rPr>
      <t>에 관한 지침(고용노동부, 2022.8)</t>
    </r>
  </si>
  <si>
    <t>2. 직접경비</t>
  </si>
  <si>
    <t>3. 제경비(C)</t>
  </si>
  <si>
    <t xml:space="preserve">사무실,사무용소모품비,비품비,기계기구수선,상각비
통신운반비,회의비,공과금,운영활동비 포함 </t>
  </si>
  <si>
    <t>4. 기술료(D)</t>
  </si>
  <si>
    <t>조사연구비,기술개발비,기술훈련비,이윤 포함</t>
  </si>
  <si>
    <t>(1+2+3+4) =</t>
  </si>
  <si>
    <t>엔지니어링 대가 기준 제15조(요율조정) 10% 범위 증감</t>
  </si>
  <si>
    <t>5. 손해배상보험 수수료</t>
  </si>
  <si>
    <t>6. 부가세</t>
  </si>
  <si>
    <t>공급가액의 10% =</t>
  </si>
  <si>
    <t>최종금액</t>
  </si>
  <si>
    <t>대상공사(산업안전기본법 시행령)</t>
  </si>
  <si>
    <t>(가칭)둔촌동 중학교 도시형캠퍼스 신축공사</t>
  </si>
  <si>
    <t>○  임금기준(2026년 적용 엔지니어링 노임단가 기준(한국엔지니어링협회))</t>
  </si>
  <si>
    <t>손해배상보험(공제) 세부 산출서</t>
  </si>
  <si>
    <t>손해배상보험요율표(엔지니어링공제조합/2025년)</t>
    <phoneticPr fontId="3" type="noConversion"/>
  </si>
  <si>
    <t>용역금액</t>
  </si>
  <si>
    <t>산업별</t>
  </si>
  <si>
    <t>공제가입금액(보상한도액)</t>
  </si>
  <si>
    <t>표준담보   기간(년)</t>
  </si>
  <si>
    <t>5억원이하</t>
  </si>
  <si>
    <t>5억원초과 10억원이하</t>
  </si>
  <si>
    <t>10억원초과 20억원이하</t>
  </si>
  <si>
    <t>20억원초과 30억원이하</t>
  </si>
  <si>
    <t>30억원초과 50억원이하</t>
  </si>
  <si>
    <t>기본요율</t>
  </si>
  <si>
    <t>가산요율</t>
  </si>
  <si>
    <t>교량</t>
  </si>
  <si>
    <t>계</t>
  </si>
  <si>
    <t>공항</t>
  </si>
  <si>
    <t>(1단계 공제료)</t>
  </si>
  <si>
    <t>공용청사</t>
  </si>
  <si>
    <t>☜클릭</t>
  </si>
  <si>
    <t>댐</t>
  </si>
  <si>
    <t>분류</t>
  </si>
  <si>
    <t>도로</t>
  </si>
  <si>
    <t>에너지저장시설</t>
  </si>
  <si>
    <t>간척</t>
  </si>
  <si>
    <t>항만·하천</t>
  </si>
  <si>
    <t>철도</t>
  </si>
  <si>
    <t>지하철</t>
  </si>
  <si>
    <t>천원미만 절사</t>
  </si>
  <si>
    <t>터널</t>
  </si>
  <si>
    <t>(2단계 공제료)</t>
  </si>
  <si>
    <t>발전소</t>
  </si>
  <si>
    <t>용역금액*0.16%</t>
  </si>
  <si>
    <t>쓰레기소각로</t>
  </si>
  <si>
    <t>(합계)</t>
  </si>
  <si>
    <t>폐수처리장</t>
  </si>
  <si>
    <t>1단계+2단계</t>
  </si>
  <si>
    <t>하수종말처리장</t>
  </si>
  <si>
    <t>상수도(정수장 포함)</t>
  </si>
  <si>
    <t>가입기간 산정</t>
  </si>
  <si>
    <t>하수도</t>
  </si>
  <si>
    <t>+ 1단계 이후 1년</t>
  </si>
  <si>
    <t>관람집회시설</t>
  </si>
  <si>
    <t>전시시설</t>
  </si>
  <si>
    <t>공용청사건설공사</t>
  </si>
  <si>
    <t>표준공사기간</t>
  </si>
  <si>
    <t>예정공사기간</t>
  </si>
  <si>
    <t>초과일수</t>
  </si>
  <si>
    <t>송전</t>
  </si>
  <si>
    <t>변전</t>
  </si>
  <si>
    <t>공동주택</t>
  </si>
  <si>
    <t>비고 : 엔지니어링산업진흥법 시행령 제42조(엔지니어링사업자의 손해배상보험, 공제가입)에 의거 산출함.</t>
  </si>
  <si>
    <t>[ (가칭)둔촌동 중학교 도시형캠퍼스 신축공사(1차분전체) ]</t>
  </si>
  <si>
    <t>0101  ■ 건축공사</t>
  </si>
  <si>
    <t>010101  □ 중학교</t>
  </si>
  <si>
    <t>01010101  공통가설공사</t>
  </si>
  <si>
    <t>01010101</t>
  </si>
  <si>
    <t>01010102  파일공사</t>
  </si>
  <si>
    <t>01010102</t>
  </si>
  <si>
    <t>01010103  골재비</t>
  </si>
  <si>
    <t>01010103</t>
  </si>
  <si>
    <t>01010104  운반비</t>
  </si>
  <si>
    <t>01010104</t>
  </si>
  <si>
    <t>010102  □ 품질관리비</t>
  </si>
  <si>
    <t>010103  □ 안전관리비</t>
  </si>
  <si>
    <t>7</t>
  </si>
  <si>
    <t>010104  □ 도급자설치관급</t>
  </si>
  <si>
    <t>010105  □ 유치원</t>
  </si>
  <si>
    <t>010105</t>
  </si>
  <si>
    <t>01010501  파일공사</t>
  </si>
  <si>
    <t>01010501</t>
  </si>
  <si>
    <t>01010502  운반비</t>
  </si>
  <si>
    <t>01010502</t>
  </si>
  <si>
    <t>010106  □ 품질관리비</t>
  </si>
  <si>
    <t>010106</t>
  </si>
  <si>
    <t>010107  □ 도급자설치관급</t>
  </si>
  <si>
    <t>010107</t>
  </si>
  <si>
    <t>010108</t>
  </si>
  <si>
    <t>5</t>
  </si>
  <si>
    <t>010109</t>
  </si>
  <si>
    <t>안전관리계획서 작성비</t>
  </si>
  <si>
    <t>안전관리계획서 검토비</t>
  </si>
  <si>
    <t>안전점검비용</t>
  </si>
  <si>
    <t>건설기계(항타항발기)사용하는 건설공사</t>
  </si>
  <si>
    <t>인접건물 사전조사비용</t>
  </si>
  <si>
    <t>통행및교통을위한 안전시설</t>
  </si>
  <si>
    <t>기계장비 전담유도원 배치</t>
  </si>
  <si>
    <t>케이싱병행 선굴착 매입말뚝공법(SDA+T4)  Ø500mm L=15m,그라우트주입  본     ( 호표 47 )</t>
  </si>
  <si>
    <t>케이싱병행 선굴착 매입말뚝공법(SDA+T4)  Ø500mm L=19m,그라우트주입  본     ( 호표 55 )</t>
  </si>
  <si>
    <t xml:space="preserve">케이싱병행 선굴착 매입말뚝공법(SDA+T4)  Ø500mm L=15m,그라우트주입  본  ( 산근 6 ) </t>
  </si>
  <si>
    <t xml:space="preserve">케이싱병행 선굴착 매입말뚝공법(SDA+T4)  Ø500mm L=19m,그라우트주입  본  ( 산근 7 ) </t>
  </si>
  <si>
    <t>자재 81</t>
  </si>
  <si>
    <t>자재 82</t>
  </si>
  <si>
    <t>자재 83</t>
  </si>
  <si>
    <t>자재 84</t>
  </si>
  <si>
    <t>자재 85</t>
  </si>
  <si>
    <t>자재 86</t>
  </si>
  <si>
    <t>(다)</t>
    <phoneticPr fontId="3" type="noConversion"/>
  </si>
  <si>
    <t>(라)</t>
    <phoneticPr fontId="3" type="noConversion"/>
  </si>
  <si>
    <t>(마)</t>
    <phoneticPr fontId="3" type="noConversion"/>
  </si>
  <si>
    <t>합계제외</t>
    <phoneticPr fontId="3" type="noConversion"/>
  </si>
  <si>
    <t>■ 건축공사 □ 중학교</t>
    <phoneticPr fontId="3" type="noConversion"/>
  </si>
  <si>
    <t>510F123091F3CD6788887AE05549D1</t>
  </si>
  <si>
    <t>01010101510F123091F3CD6788887AE05549D1</t>
  </si>
  <si>
    <t>510F123094470F41A80ADE4E35F735</t>
  </si>
  <si>
    <t>01010101510F123094470F41A80ADE4E35F735</t>
  </si>
  <si>
    <t>510F123091F3CD61683FE9C1E5BB10</t>
  </si>
  <si>
    <t>01010101510F123091F3CD61683FE9C1E5BB10</t>
  </si>
  <si>
    <t>510F1230929AB404F885DB511556EB</t>
  </si>
  <si>
    <t>01010101510F1230929AB404F885DB511556EB</t>
  </si>
  <si>
    <t>510F1230929AB404F885DB511556E8</t>
  </si>
  <si>
    <t>01010101510F1230929AB404F885DB511556E8</t>
  </si>
  <si>
    <t>510F1230929AB7D4B88E343E650C6C</t>
  </si>
  <si>
    <t>01010101510F1230929AB7D4B88E343E650C6C</t>
  </si>
  <si>
    <t>510F1230929AB7D4B88E343E650C6F</t>
  </si>
  <si>
    <t>01010101510F1230929AB7D4B88E343E650C6F</t>
  </si>
  <si>
    <t>510F1230929AB7D4B88E343E650C6E</t>
  </si>
  <si>
    <t>01010101510F1230929AB7D4B88E343E650C6E</t>
  </si>
  <si>
    <t>510F1230929ABD7EA8773F42A5950B</t>
  </si>
  <si>
    <t>01010101510F1230929ABD7EA8773F42A5950B</t>
  </si>
  <si>
    <t>510F12309447093A8833844BD567D7</t>
  </si>
  <si>
    <t>01010101510F12309447093A8833844BD567D7</t>
  </si>
  <si>
    <t>510F1230929AB7D4B88E343E650C69</t>
  </si>
  <si>
    <t>01010101510F1230929AB7D4B88E343E650C69</t>
  </si>
  <si>
    <t>5684B2E09DBC073D58324CE75595666625A0AD</t>
  </si>
  <si>
    <t>010101015684B2E09DBC073D58324CE75595666625A0AD</t>
  </si>
  <si>
    <t>562A92E096BEFE1AE8E5D9B1258F5D32987F99</t>
  </si>
  <si>
    <t>01010102562A92E096BEFE1AE8E5D9B1258F5D32987F99</t>
  </si>
  <si>
    <t>562A92E096BEFE1AE8E5D9B1258F5D32987EF2</t>
  </si>
  <si>
    <t>01010102562A92E096BEFE1AE8E5D9B1258F5D32987EF2</t>
  </si>
  <si>
    <t>562A92E096BEFE1AE8E5D9B1258F5D32991D27</t>
  </si>
  <si>
    <t>01010102562A92E096BEFE1AE8E5D9B1258F5D32991D27</t>
  </si>
  <si>
    <t>562A92E096BEFE1AE8E5D9B1258F5D32991B79</t>
  </si>
  <si>
    <t>01010102562A92E096BEFE1AE8E5D9B1258F5D32991B79</t>
  </si>
  <si>
    <t>510F221092A240C15840F29CB531F3</t>
  </si>
  <si>
    <t>01010102510F221092A240C15840F29CB531F3</t>
  </si>
  <si>
    <t>510F3270991E89C558A1EB89F57BA7</t>
  </si>
  <si>
    <t>01010102510F3270991E89C558A1EB89F57BA7</t>
  </si>
  <si>
    <t>510F3270991E89C558976299650D22</t>
  </si>
  <si>
    <t>01010102510F3270991E89C558976299650D22</t>
  </si>
  <si>
    <t>510F3270991E8E4688A392623518A7</t>
  </si>
  <si>
    <t>01010102510F3270991E8E4688A392623518A7</t>
  </si>
  <si>
    <t>510F32709874489D9847A96E35C716</t>
  </si>
  <si>
    <t>01010102510F32709874489D9847A96E35C716</t>
  </si>
  <si>
    <t>510F32709874489D9847A96E253C2A</t>
  </si>
  <si>
    <t>01010102510F32709874489D9847A96E253C2A</t>
  </si>
  <si>
    <t>510F3270980546BE38578FC3A5EE28</t>
  </si>
  <si>
    <t>01010102510F3270980546BE38578FC3A5EE28</t>
  </si>
  <si>
    <t>510F3270980546BE38578FC3A5E2D9</t>
  </si>
  <si>
    <t>01010102510F3270980546BE38578FC3A5E2D9</t>
  </si>
  <si>
    <t>512392509EBC26DEA881E0194587DF</t>
  </si>
  <si>
    <t>01010102512392509EBC26DEA881E0194587DF</t>
  </si>
  <si>
    <t>512392509392EE2CC89C44D4F5B079</t>
  </si>
  <si>
    <t>01010102512392509392EE2CC89C44D4F5B079</t>
  </si>
  <si>
    <t>5123720098B55158482E6158253BAE</t>
  </si>
  <si>
    <t>010101025123720098B55158482E6158253BAE</t>
  </si>
  <si>
    <t>5123720098B55158482E61582538D9</t>
  </si>
  <si>
    <t>010101025123720098B55158482E61582538D9</t>
  </si>
  <si>
    <t>5123720098B55158482E615835C071</t>
  </si>
  <si>
    <t>010101025123720098B55158482E615835C071</t>
  </si>
  <si>
    <t>5123720098B55158482E615835C3C6</t>
  </si>
  <si>
    <t>010101025123720098B55158482E615835C3C6</t>
  </si>
  <si>
    <t>510F327098744B5158A6129FD5A9C1</t>
  </si>
  <si>
    <t>01010102510F327098744B5158A6129FD5A9C1</t>
  </si>
  <si>
    <t>560FA26094D556AE684169B95593AAB1EAF774</t>
  </si>
  <si>
    <t>01010103560FA26094D556AE684169B95593AAB1EAF774</t>
  </si>
  <si>
    <t>560FA26094D556AF08CA6AE4C5EA175AFE5164</t>
  </si>
  <si>
    <t>01010103560FA26094D556AF08CA6AE4C5EA175AFE5164</t>
  </si>
  <si>
    <t>5684B2F0996D106628B2D32C85DBCE3DCAF97B</t>
  </si>
  <si>
    <t>010101045684B2F0996D106628B2D32C85DBCE3DCAF97B</t>
  </si>
  <si>
    <t>510F32709874489C88C6132F956BB6</t>
  </si>
  <si>
    <t>01010104510F32709874489C88C6132F956BB6</t>
  </si>
  <si>
    <t>510F32709874489C88C6132F956A51</t>
  </si>
  <si>
    <t>01010104510F32709874489C88C6132F956A51</t>
  </si>
  <si>
    <t>510E42F09915AFDFE8BF5BE915389B</t>
  </si>
  <si>
    <t>01010104510E42F09915AFDFE8BF5BE915389B</t>
  </si>
  <si>
    <t>510F1230929ABD7EA8771C73650F75</t>
  </si>
  <si>
    <t>010102510F1230929ABD7EA8771C73650F75</t>
  </si>
  <si>
    <t>510F1230929ABD7EA8771C73650F74</t>
  </si>
  <si>
    <t>010102510F1230929ABD7EA8771C73650F74</t>
  </si>
  <si>
    <t>510F1230929ABD7EA8771C731588BA</t>
  </si>
  <si>
    <t>010102510F1230929ABD7EA8771C731588BA</t>
  </si>
  <si>
    <t>5684B2F09699B1E6089AB4A3B5E51B328A8250</t>
  </si>
  <si>
    <t>0101035684B2F09699B1E6089AB4A3B5E51B328A8250</t>
  </si>
  <si>
    <t>5684B2F09699B1E6089AB4A3B5E51B328A8253</t>
  </si>
  <si>
    <t>0101035684B2F09699B1E6089AB4A3B5E51B328A8253</t>
  </si>
  <si>
    <t>5684B2F09699B1E6089AB4A3B5E51B328A8252</t>
  </si>
  <si>
    <t>0101035684B2F09699B1E6089AB4A3B5E51B328A8252</t>
  </si>
  <si>
    <t>5684B2F09699B1E6089AB4A3B5E51B328A8255</t>
  </si>
  <si>
    <t>0101035684B2F09699B1E6089AB4A3B5E51B328A8255</t>
  </si>
  <si>
    <t>5684B2F09699B1E6089AB4A3B5E51B328A8254</t>
  </si>
  <si>
    <t>0101035684B2F09699B1E6089AB4A3B5E51B328A8254</t>
  </si>
  <si>
    <t>5684B2F09699B1E6089AB4A3B5E51B328A8257</t>
  </si>
  <si>
    <t>0101035684B2F09699B1E6089AB4A3B5E51B328A8257</t>
  </si>
  <si>
    <t>562A92E096BFBBB748D732E82565930721C889</t>
  </si>
  <si>
    <t>010104562A92E096BFBBB748D732E82565930721C889</t>
  </si>
  <si>
    <t>562A92E096BFBBB4F893689DA54EDF36E88170</t>
  </si>
  <si>
    <t>010104562A92E096BFBBB4F893689DA54EDF36E88170</t>
  </si>
  <si>
    <t>5684B2E09F69A61CD8DDC6E0453DD707804E54</t>
  </si>
  <si>
    <t>0101045684B2E09F69A61CD8DDC6E0453DD707804E54</t>
  </si>
  <si>
    <t>5684B2E09F69A61CD8DDC6E0453DD707804D4D</t>
  </si>
  <si>
    <t>0101045684B2E09F69A61CD8DDC6E0453DD707804D4D</t>
  </si>
  <si>
    <t>5684B2E09F69A61CD8DDC6E0453DD707804CAD</t>
  </si>
  <si>
    <t>0101045684B2E09F69A61CD8DDC6E0453DD707804CAD</t>
  </si>
  <si>
    <t>5684B2E09F69A61CD8DDC6E0453DD707804B81</t>
  </si>
  <si>
    <t>0101045684B2E09F69A61CD8DDC6E0453DD707804B81</t>
  </si>
  <si>
    <t>5017B2F09D8B8C23F8F1DD0455CF001</t>
  </si>
  <si>
    <t>0101045017B2F09D8B8C23F8F1DD0455CF001</t>
  </si>
  <si>
    <t>■ 건축공사 □ 유치원</t>
    <phoneticPr fontId="3" type="noConversion"/>
  </si>
  <si>
    <t>01010501562A92E096BEFE1AE8E5D9B1258F5D32987F99</t>
  </si>
  <si>
    <t>01010501562A92E096BEFE1AE8E5D9B1258F5D32987EF2</t>
  </si>
  <si>
    <t>562A92E096BEFE1AE8E5D9B1258F5D32991ECD</t>
  </si>
  <si>
    <t>01010501562A92E096BEFE1AE8E5D9B1258F5D32991ECD</t>
  </si>
  <si>
    <t>562A92E096BEFE1AE8E5D9B1258F5D32991FD4</t>
  </si>
  <si>
    <t>01010501562A92E096BEFE1AE8E5D9B1258F5D32991FD4</t>
  </si>
  <si>
    <t>01010501562A92E096BEFE1AE8E5D9B1258F5D32991B79</t>
  </si>
  <si>
    <t>01010501510F221092A240C15840F29CB531F3</t>
  </si>
  <si>
    <t>01010501510F3270991E89C558A1EB89F57BA7</t>
  </si>
  <si>
    <t>01010501510F3270991E89C558976299650D22</t>
  </si>
  <si>
    <t>01010501510F3270991E8E4688A392623518A7</t>
  </si>
  <si>
    <t>01010501510F32709874489D9847A96E35C716</t>
  </si>
  <si>
    <t>01010501510F32709874489D9847A96E253C2A</t>
  </si>
  <si>
    <t>01010501510F3270980546BE38578FC3A5EE28</t>
  </si>
  <si>
    <t>01010501510F3270980546BE38578FC3A5E2D9</t>
  </si>
  <si>
    <t>01010501512392509EBC26DEA881E0194587DF</t>
  </si>
  <si>
    <t>01010501512392509392EE2CC89C44D4F5B079</t>
  </si>
  <si>
    <t>010105015123720098B55158482E615835C071</t>
  </si>
  <si>
    <t>010105015123720098B55158482E615835C3C6</t>
  </si>
  <si>
    <t>01010501510F327098744B5158A6129FD5A9C1</t>
  </si>
  <si>
    <t>010105025684B2F0996D106628B2D32C85DBCE3DCAF97B</t>
  </si>
  <si>
    <t>01010502510F32709874489C88C6132F956BB6</t>
  </si>
  <si>
    <t>01010502510E42F09915AFDFE8BF5BE915389B</t>
  </si>
  <si>
    <t>010106510F1230929ABD7EA8771C73650F75</t>
  </si>
  <si>
    <t>010106510F1230929ABD7EA8771C73650F74</t>
  </si>
  <si>
    <t>010106510F1230929ABD7EA8771C731588BA</t>
  </si>
  <si>
    <t>010107562A92E096BFBBB748D732E82565930721C889</t>
  </si>
  <si>
    <t>010107562A92E096BFBBB4F893689DA54EDF36E88170</t>
  </si>
  <si>
    <t>0101075684B2E09F69A61CD8DDC6E0453DD707804E54</t>
  </si>
  <si>
    <t>0101075684B2E09F69A61CD8DDC6E0453DD707804D4D</t>
  </si>
  <si>
    <t>5684B2E09F69A61CD8DDC6E0453DD707804CAA</t>
  </si>
  <si>
    <t>0101075684B2E09F69A61CD8DDC6E0453DD707804CAA</t>
  </si>
  <si>
    <t>5684B2E09F69A61CD8DDC6E0453DD707804CAB</t>
  </si>
  <si>
    <t>0101075684B2E09F69A61CD8DDC6E0453DD707804CAB</t>
  </si>
  <si>
    <t>0101075684B2E09F69A61CD8DDC6E0453DD707804B81</t>
  </si>
  <si>
    <t>0101075017B2F09D8B8C23F8F1DD0455CF001</t>
  </si>
  <si>
    <t>510F123091F3CD67880B0B1B1563A6</t>
  </si>
  <si>
    <t>H=4.0, 6개월</t>
  </si>
  <si>
    <t>510F123091F3CD6438DEC91735D97A</t>
  </si>
  <si>
    <t>510F123091F3CD66E811D9EC75394E</t>
  </si>
  <si>
    <t>510F1230929ABC5EC8D1E887A57AC6</t>
  </si>
  <si>
    <t>561822D09E83C786E8E4AE55A5AE1BFBF43290E1</t>
  </si>
  <si>
    <t>510F42609204E656F8D3FF0EF56536</t>
  </si>
  <si>
    <t>510F123094470F41A8366BCED5B4A2</t>
  </si>
  <si>
    <t>6m(h), 간격(2m), 6개월</t>
  </si>
  <si>
    <t>510F123091F3CD66E811D9C185F898</t>
  </si>
  <si>
    <t>510F123091F3CD6438DEC917253231</t>
  </si>
  <si>
    <t>510F1230929AB404F8007DFB25E1DC</t>
  </si>
  <si>
    <t>561822D09E83C5D6485D2FD505B46C63711CBB93</t>
  </si>
  <si>
    <t>510F1230929AB404F8007DFB25E1DD</t>
  </si>
  <si>
    <t>510F1230929AB404F8007DFB25E037</t>
  </si>
  <si>
    <t>510F123094470939F84158F9A5733F</t>
  </si>
  <si>
    <t>561822D09E83C786E8E4AE55A5AB471C15CF08DC</t>
  </si>
  <si>
    <t>561822D09E83C782783A18B7658F5067BF6ABE92</t>
  </si>
  <si>
    <t>561822D09E83C7827829C471A57C4EFF632E8FE0</t>
  </si>
  <si>
    <t>510F42609204E65798D75B0545D6CB</t>
  </si>
  <si>
    <t>510F327098744B5538531FA1951189</t>
  </si>
  <si>
    <t>561822D09E83C1742865D260A58D08CE4FBE0D46</t>
  </si>
  <si>
    <t>561822D09E83C178880A812F05D237C854EC4339</t>
  </si>
  <si>
    <t>561822D09E83C050D810710645BC98FE343F6EA2</t>
  </si>
  <si>
    <t>561822D09E83C050D810710615E565C0F16E2F98</t>
  </si>
  <si>
    <t>561822D09E83C2010818FD85D5F0478D02420DA1</t>
  </si>
  <si>
    <t>561822D09E83C5D2E8AA493BA503A5817605A8A0</t>
  </si>
  <si>
    <t>561822D09E83C5D6485D77FAA5CB0A58BF69A92F</t>
  </si>
  <si>
    <t>510F327098744B5538531FA1951DBA</t>
  </si>
  <si>
    <t>561822D09E83C050D810710605DBBF418AC3F941</t>
  </si>
  <si>
    <t>561822D09E83C786E8DA4021C5CADE43FB1BDB6B</t>
  </si>
  <si>
    <t>561822D09E83C786E8E4AE55A5AB471C15CF08DD</t>
  </si>
  <si>
    <t>561822D09E83C786E8DA5292558D189FAE34B026</t>
  </si>
  <si>
    <t>561822D09E83C05708016C84A548EC11EE3FF359</t>
  </si>
  <si>
    <t>561822D09E83C6FD68F5D9C945DA7950F3D7AFAE</t>
  </si>
  <si>
    <t>561822D09E83C5D6485D77FAA5CC141ED53C6E65</t>
  </si>
  <si>
    <t>561822D09E83C5D6485D38422515EBCE4C715405</t>
  </si>
  <si>
    <t>561822D09E83C5D038D1347465AE2FDA2323DB24</t>
  </si>
  <si>
    <t>561822D09E83C782783A18B77599169D29FB55EF</t>
  </si>
  <si>
    <t>510F1230929ABD7EA8771C73158FEB</t>
  </si>
  <si>
    <t>510F123091F3CD6788887AE05549D1510F123091F3CD67880B0B1B1563A6</t>
  </si>
  <si>
    <t>510F123091F3CD6788887AE05549D1510F123091F3CD6438DEC91735D97A</t>
  </si>
  <si>
    <t>510F123091F3CD6788887AE05549D1510F123091F3CD66E811D9EC75394E</t>
  </si>
  <si>
    <t>510F123094470F41A80ADE4E35F735510F123094470F41A8366BCED5B4A2</t>
  </si>
  <si>
    <t>510F123094470F41A80ADE4E35F735510F123091F3CD66E811D9C185F898</t>
  </si>
  <si>
    <t>510F123094470F41A80ADE4E35F735510F123091F3CD6438DEC917253231</t>
  </si>
  <si>
    <t>510F123094470F41A80ADE4E35F735510F1230929ABC5EC8D1E887A57AC6</t>
  </si>
  <si>
    <t>5684B2E09DBC073D58324CE7559566662CD01D</t>
  </si>
  <si>
    <t>510F123091F3CD61683FE9C1E5BB105684B2E09DBC073D58324CE7559566662CD01D</t>
  </si>
  <si>
    <t>경비의 36.0%</t>
  </si>
  <si>
    <t>510F123091F3CD61683FE9C1E5BB105017B2F09D8B8C23F8F1DD0455CF001</t>
  </si>
  <si>
    <t>510F123091F3CD61683FE9C1E5BB10510F123091F3CD6438DEC917253231</t>
  </si>
  <si>
    <t>510F123091F3CD61683FE9C1E5BB10510F123091F3CD66E811D9EC75394E</t>
  </si>
  <si>
    <t>562A92E0959B64816806DB6065FE97E01EFBCB</t>
  </si>
  <si>
    <t>510F1230929AB404F885DB511556EB562A92E0959B64816806DB6065FE97E01EFBCB</t>
  </si>
  <si>
    <t>510F1230929AB404F885DB511556EB510F1230929AB404F8007DFB25E1DC</t>
  </si>
  <si>
    <t>510F1230929AB404F885DB511556EB5017B2F09D8B8C23F8F1DD0455CF001</t>
  </si>
  <si>
    <t>510F1230929AB404F885DB511556E8562A92E0959B64816806DB6065FE97E01EFBCB</t>
  </si>
  <si>
    <t>510F1230929AB404F885DB511556E8510F1230929AB404F8007DFB25E1DC</t>
  </si>
  <si>
    <t>510F1230929AB404F885DB511556E85017B2F09D8B8C23F8F1DD0455CF001</t>
  </si>
  <si>
    <t>562A92E0959B64816806DB6065FE97E01EFDF0</t>
  </si>
  <si>
    <t>510F1230929AB7D4B88E343E650C6C562A92E0959B64816806DB6065FE97E01EFDF0</t>
  </si>
  <si>
    <t>510F1230929AB7D4B88E343E650C6C510F1230929AB404F8007DFB25E1DC</t>
  </si>
  <si>
    <t>510F1230929AB7D4B88E343E650C6C5017B2F09D8B8C23F8F1DD0455CF001</t>
  </si>
  <si>
    <t>510F1230929AB7D4B88E343E650C6F562A92E0959B64816806DB6065FE97E01EFDF0</t>
  </si>
  <si>
    <t>510F1230929AB7D4B88E343E650C6F510F1230929AB404F8007DFB25E1DC</t>
  </si>
  <si>
    <t>510F1230929AB7D4B88E343E650C6F5017B2F09D8B8C23F8F1DD0455CF001</t>
  </si>
  <si>
    <t>510F1230929AB7D4B88E343E650C6E510F1230929AB404F8007DFB25E1DD</t>
  </si>
  <si>
    <t>510F1230929AB7D4B88E343E650C6E5017B2F09D8B8C23F8F1DD0455CF001</t>
  </si>
  <si>
    <t>5684B2E09DBC061FA862CCF9951E5AB2B9721B</t>
  </si>
  <si>
    <t>510F1230929ABD7EA8773F42A5950B5684B2E09DBC061FA862CCF9951E5AB2B9721B</t>
  </si>
  <si>
    <t>510F1230929ABD7EA8773F42A5950B510F1230929AB404F8007DFB25E037</t>
  </si>
  <si>
    <t>510F1230929ABD7EA8773F42A5950B5017B2F09D8B8C23F8F1DD0455CD003</t>
  </si>
  <si>
    <t>562A92E0959B648048A84B6BD5653F4C5B0AB0</t>
  </si>
  <si>
    <t>510F12309447093A8833844BD567D7562A92E0959B648048A84B6BD5653F4C5B0AB0</t>
  </si>
  <si>
    <t>5684B2E09DBC073D58324CE755956667CBC251</t>
  </si>
  <si>
    <t>510F12309447093A8833844BD567D75684B2E09DBC073D58324CE755956667CBC251</t>
  </si>
  <si>
    <t>562A92E0959B648048A84B6BD5653F4C5B0AB3</t>
  </si>
  <si>
    <t>510F12309447093A8833844BD567D7562A92E0959B648048A84B6BD5653F4C5B0AB3</t>
  </si>
  <si>
    <t>5147B2209E46D4EEA8B82027F5841C37F0E2F1</t>
  </si>
  <si>
    <t>510F12309447093A8833844BD567D75147B2209E46D4EEA8B82027F5841C37F0E2F1</t>
  </si>
  <si>
    <t>510F12309447093A8833844BD567D7510F123094470939F84158F9A5733F</t>
  </si>
  <si>
    <t>562A92E0959B648048A84B6BD5653F4C5B0AB5</t>
  </si>
  <si>
    <t>510F12309447093A8833844BD567D7562A92E0959B648048A84B6BD5653F4C5B0AB5</t>
  </si>
  <si>
    <t>5657D24097E877B3E8DED4ED2531DE9375BC0E</t>
  </si>
  <si>
    <t>510F12309447093A8833844BD567D75657D24097E877B3E8DED4ED2531DE9375BC0E</t>
  </si>
  <si>
    <t>51D572B09166A8DFB8471AE90532E31A0E2C5D</t>
  </si>
  <si>
    <t>510F12309447093A8833844BD567D751D572B09166A8DFB8471AE90532E31A0E2C5D</t>
  </si>
  <si>
    <t>51D572B09166A8DFB8471AE90532E31A0E2F2A</t>
  </si>
  <si>
    <t>510F12309447093A8833844BD567D751D572B09166A8DFB8471AE90532E31A0E2F2A</t>
  </si>
  <si>
    <t>51D572B09166A8DFB8471AE90532E31A0E28F1</t>
  </si>
  <si>
    <t>510F12309447093A8833844BD567D751D572B09166A8DFB8471AE90532E31A0E28F1</t>
  </si>
  <si>
    <t>510F12309447093A8833844BD567D75017B2F09D8B8C23F8F1DD0455CF001</t>
  </si>
  <si>
    <t>510F1230929AB7D4B88E343E650C69562A92E0959B64816806DB6065FE97E01EFDF0</t>
  </si>
  <si>
    <t>510F1230929AB7D4B88E343E650C695017B2F09D8B8C23F8F1DD0455CF001</t>
  </si>
  <si>
    <t>512392509D951C75C87772C755C65A</t>
  </si>
  <si>
    <t>510F221092A240C15840F29CB531F3512392509D951C75C87772C755C65A</t>
  </si>
  <si>
    <t>562A92E096BE965C68E4215FB516F428CFA3AF</t>
  </si>
  <si>
    <t>510F3270991E89C558A1EB89F57BA7562A92E096BE965C68E4215FB516F428CFA3AF</t>
  </si>
  <si>
    <t>562A92E096BE965C6871F7B3652F0B074E8EEE</t>
  </si>
  <si>
    <t>510F3270991E89C558976299650D22562A92E096BE965C6871F7B3652F0B074E8EEE</t>
  </si>
  <si>
    <t>510F3270991E89C558976299650D225017B2F09D8B8C23F8F1DD0455CC002</t>
  </si>
  <si>
    <t>512372009B0990BE8841806715AC16</t>
  </si>
  <si>
    <t>510F3270991E8E4688A392623518A7512372009B0990BE8841806715AC16</t>
  </si>
  <si>
    <t>5684B2E09F69A61CD8DDC6E0453DD7078049D7</t>
  </si>
  <si>
    <t>510F32709874489D9847A96E35C7165684B2E09F69A61CD8DDC6E0453DD7078049D7</t>
  </si>
  <si>
    <t>510F32709874489D9847A96E35C71651D572B09166A8DFB8471AE90532E31A0E2F2A</t>
  </si>
  <si>
    <t>562A92E096BFBBB4F8936F19853420B7B0D3D5</t>
  </si>
  <si>
    <t>510F32709874489D9847A96E253C2A562A92E096BFBBB4F8936F19853420B7B0D3D5</t>
  </si>
  <si>
    <t>510F32709874489D9847A96E253C2A510F42609204E65798D75B0545D6CB</t>
  </si>
  <si>
    <t>510F3270980546BE38578FC3A5EE28510F327098744B5538531FA1951189</t>
  </si>
  <si>
    <t>510F3270980546BE38578FC3A5E2D9510F327098744B5538531FA1951DBA</t>
  </si>
  <si>
    <t>51D572B09166A8DFB8471AE90532E31A0E2F2B</t>
  </si>
  <si>
    <t>512392509392EE2CC89C44D4F5B07951D572B09166A8DFB8471AE90532E31A0E2F2B</t>
  </si>
  <si>
    <t>512392509392EE2CC89C44D4F5B07951D572B09166A8DFB8471AE90532E31A0E2F2A</t>
  </si>
  <si>
    <t>512392509392EE2CC89C44D4F5B079561822D09E83C786E8E4AE55A5AE1BFBF43290E1</t>
  </si>
  <si>
    <t>512392509392EE2CC89C44D4F5B079561822D09E83C05708016C84A548EC11EE3FF359</t>
  </si>
  <si>
    <t>512392509392EE2CC89C44D4F5B079561822D09E83C6FD68F5D9C945DA7950F3D7AFAE</t>
  </si>
  <si>
    <t>512392509392EE2CC89C44D4F5B0795017B2F09D8B8C23F8F1DD0455CF001</t>
  </si>
  <si>
    <t>51D572B09166A8DFB8471AE90532E31A0E2AA7</t>
  </si>
  <si>
    <t>5123720098B55158482E6158253BAE51D572B09166A8DFB8471AE90532E31A0E2AA7</t>
  </si>
  <si>
    <t>51D572B09166A8DFB8471AE90532E31A0E2F21</t>
  </si>
  <si>
    <t>5123720098B55158482E6158253BAE51D572B09166A8DFB8471AE90532E31A0E2F21</t>
  </si>
  <si>
    <t>5123720098B55158482E6158253BAE51D572B09166A8DFB8471AE90532E31A0E2F2B</t>
  </si>
  <si>
    <t>5123720098B55158482E6158253BAE5017B2F09D8B8C23F8F1DD0455CF001</t>
  </si>
  <si>
    <t>5123720098B55158482E6158253BAE561822D09E83C5D6485D77FAA5CC141ED53C6E65</t>
  </si>
  <si>
    <t>5123720098B55158482E61582538D951D572B09166A8DFB8471AE90532E31A0E2AA7</t>
  </si>
  <si>
    <t>5123720098B55158482E61582538D951D572B09166A8DFB8471AE90532E31A0E2F21</t>
  </si>
  <si>
    <t>5123720098B55158482E61582538D951D572B09166A8DFB8471AE90532E31A0E2F2B</t>
  </si>
  <si>
    <t>5123720098B55158482E61582538D95017B2F09D8B8C23F8F1DD0455CF001</t>
  </si>
  <si>
    <t>5123720098B55158482E61582538D9561822D09E83C5D6485D77FAA5CC141ED53C6E65</t>
  </si>
  <si>
    <t>5123720098B55158482E615835C07151D572B09166A8DFB8471AE90532E31A0E2AA7</t>
  </si>
  <si>
    <t>5123720098B55158482E615835C07151D572B09166A8DFB8471AE90532E31A0E2F21</t>
  </si>
  <si>
    <t>5123720098B55158482E615835C07151D572B09166A8DFB8471AE90532E31A0E2F2B</t>
  </si>
  <si>
    <t>5123720098B55158482E615835C0715017B2F09D8B8C23F8F1DD0455CF001</t>
  </si>
  <si>
    <t>5123720098B55158482E615835C071561822D09E83C5D6485D77FAA5CC141ED53C6E65</t>
  </si>
  <si>
    <t>5123720098B55158482E615835C3C651D572B09166A8DFB8471AE90532E31A0E2AA7</t>
  </si>
  <si>
    <t>5123720098B55158482E615835C3C651D572B09166A8DFB8471AE90532E31A0E2F21</t>
  </si>
  <si>
    <t>5123720098B55158482E615835C3C651D572B09166A8DFB8471AE90532E31A0E2F2B</t>
  </si>
  <si>
    <t>5123720098B55158482E615835C3C65017B2F09D8B8C23F8F1DD0455CF001</t>
  </si>
  <si>
    <t>5123720098B55158482E615835C3C6561822D09E83C5D6485D77FAA5CC141ED53C6E65</t>
  </si>
  <si>
    <t>562A92E096BFBBB748D732E82565930722E75D</t>
  </si>
  <si>
    <t>510F327098744B5158A6129FD5A9C1562A92E096BFBBB748D732E82565930722E75D</t>
  </si>
  <si>
    <t>51D572B09166A8DCF8FA55C1B51EACDA36EF5B</t>
  </si>
  <si>
    <t>510F1230929ABD7EA8771C73650F7551D572B09166A8DCF8FA55C1B51EACDA36EF5B</t>
  </si>
  <si>
    <t>51D572B09166A8DCF8FA55C1B51EACDA36EF5A</t>
  </si>
  <si>
    <t>510F1230929ABD7EA8771C73650F7551D572B09166A8DCF8FA55C1B51EACDA36EF5A</t>
  </si>
  <si>
    <t>510F1230929ABD7EA8771C73650F7551D572B09166A8DFB8471AE90532E31A0E2F2A</t>
  </si>
  <si>
    <t>510F1230929ABD7EA8771C73650F755017B2F09D8B8C23F8F1DD0455CC002</t>
  </si>
  <si>
    <t>5684B2F09FF574D7F8F9A72295A7868B34D1A2</t>
  </si>
  <si>
    <t>510F1230929ABD7EA8771C73650F755684B2F09FF574D7F8F9A72295A7868B34D1A2</t>
  </si>
  <si>
    <t>5684B2F09FF574D7F8F9A72295A7868B34D09B</t>
  </si>
  <si>
    <t>510F1230929ABD7EA8771C73650F755684B2F09FF574D7F8F9A72295A7868B34D09B</t>
  </si>
  <si>
    <t>5684B2F09FF574D7F8F9A72295A7868B34D36F</t>
  </si>
  <si>
    <t>510F1230929ABD7EA8771C73650F755684B2F09FF574D7F8F9A72295A7868B34D36F</t>
  </si>
  <si>
    <t>5017B2F09D8B8C23F8F1DD0455CC002</t>
  </si>
  <si>
    <t>510F1230929ABD7EA8771C73650F755017B2F09D8B8C23F8F1DD0455CF001</t>
  </si>
  <si>
    <t>510F1230929ABD7EA8771C73650F7451D572B09166A8DCF8FA55C1B51EACDA36EF5B</t>
  </si>
  <si>
    <t>510F1230929ABD7EA8771C73650F7451D572B09166A8DCF8FA55C1B51EACDA36EF5A</t>
  </si>
  <si>
    <t>510F1230929ABD7EA8771C73650F7451D572B09166A8DFB8471AE90532E31A0E2F2A</t>
  </si>
  <si>
    <t>5684B2E09F69DDDA986037E7E5B71265C4378F</t>
  </si>
  <si>
    <t>510F1230929ABD7EA8771C73650F745684B2E09F69DDDA986037E7E5B71265C4378F</t>
  </si>
  <si>
    <t>5684B2F09FF574D7F8F9A72295A7868B34D248</t>
  </si>
  <si>
    <t>510F1230929ABD7EA8771C73650F745684B2F09FF574D7F8F9A72295A7868B34D248</t>
  </si>
  <si>
    <t>5684B2F09FF574D7F8F9A72295A7868B34D51D</t>
  </si>
  <si>
    <t>510F1230929ABD7EA8771C73650F745684B2F09FF574D7F8F9A72295A7868B34D51D</t>
  </si>
  <si>
    <t>510F1230929ABD7EA8771C73650F74561822D09E83C5D6485D38422515EBCE4C715405</t>
  </si>
  <si>
    <t>510F1230929ABD7EA8771C73650F745017B2F09D8B8C23F8F1DD0455CF001</t>
  </si>
  <si>
    <t>510F1230929ABD7EA8771C731588BA510F1230929ABD7EA8771C73158FEB</t>
  </si>
  <si>
    <t>조립식가설울타리/E.G.I철판-재료비  H=4.0, 6개월  M     ( 호표 29 )</t>
  </si>
  <si>
    <t>562A92E096B765DE18B08244F556EACE8FDA56</t>
  </si>
  <si>
    <t>510F123091F3CD67880B0B1B1563A6562A92E096B765DE18B08244F556EACE8FDA56</t>
  </si>
  <si>
    <t>주재료비의 33.0%</t>
  </si>
  <si>
    <t>510F123091F3CD67880B0B1B1563A65017B2F09D8B8C23F8F1DD0455CC002</t>
  </si>
  <si>
    <t>562A92E096B765DD78481F38859A4C7D431BF6</t>
  </si>
  <si>
    <t>510F123091F3CD67880B0B1B1563A6562A92E096B765DD78481F38859A4C7D431BF6</t>
  </si>
  <si>
    <t>주재료비의 10%</t>
  </si>
  <si>
    <t>510F123091F3CD67880B0B1B1563A65017B2F09D8B8C23F8F1DD0455CF001</t>
  </si>
  <si>
    <t>562A92E096B765DD78481F38859A4C7D427517</t>
  </si>
  <si>
    <t>510F123091F3CD67880B0B1B1563A6562A92E096B765DD78481F38859A4C7D427517</t>
  </si>
  <si>
    <t>562A92E096B765DD78481F38859A4C7D427510</t>
  </si>
  <si>
    <t>510F123091F3CD67880B0B1B1563A6562A92E096B765DD78481F38859A4C7D427510</t>
  </si>
  <si>
    <t>주재료비의 82%</t>
  </si>
  <si>
    <t>5017B2F09D8B8C23F8F1DD0455CD003</t>
  </si>
  <si>
    <t>510F123091F3CD67880B0B1B1563A65017B2F09D8B8C23F8F1DD0455CD003</t>
  </si>
  <si>
    <t>562A92E096B765DE18B08244F556EACE8FDE33</t>
  </si>
  <si>
    <t>510F123091F3CD67880B0B1B1563A6562A92E096B765DE18B08244F556EACE8FDE33</t>
  </si>
  <si>
    <t>5017B2F09D8B8C23F8F1DD0455CA004</t>
  </si>
  <si>
    <t>510F123091F3CD67880B0B1B1563A65017B2F09D8B8C23F8F1DD0455CA004</t>
  </si>
  <si>
    <t>510F123091F3CD67880B0B1B1563A6510F1230929ABC5EC8D1E887A57AC6</t>
  </si>
  <si>
    <t>51D572B09166A8DFB8471AE90532E31A0E2F2E</t>
  </si>
  <si>
    <t>510F123091F3CD6438DEC91735D97A51D572B09166A8DFB8471AE90532E31A0E2F2E</t>
  </si>
  <si>
    <t>510F123091F3CD6438DEC91735D97A51D572B09166A8DFB8471AE90532E31A0E2F2A</t>
  </si>
  <si>
    <t>510F123091F3CD6438DEC91735D97A561822D09E83C786E8E4AE55A5AE1BFBF43290E1</t>
  </si>
  <si>
    <t>510F123091F3CD6438DEC91735D97A5017B2F09D8B8C23F8F1DD0455CF001</t>
  </si>
  <si>
    <t>510F123091F3CD6438DEC91735D97A5017B2F09D8B8C23F8F1DD0455CC002</t>
  </si>
  <si>
    <t>510F123091F3CD66E811D9EC75394E51D572B09166A8DFB8471AE90532E31A0E2F2E</t>
  </si>
  <si>
    <t>510F123091F3CD66E811D9EC75394E51D572B09166A8DFB8471AE90532E31A0E2F2A</t>
  </si>
  <si>
    <t>510F123091F3CD66E811D9EC75394E5017B2F09D8B8C23F8F1DD0455CF001</t>
  </si>
  <si>
    <t>510F123091F3CD66E811D9EC75394E5017B2F09D8B8C23F8F1DD0455CC002</t>
  </si>
  <si>
    <t>510F1230929ABC5EC8D1E887A57AC6562A92E096BFBBB748D732E82565930722E75D</t>
  </si>
  <si>
    <t>560FA26094D556AF08CA6AE4D58941A81E825C</t>
  </si>
  <si>
    <t>510F1230929ABC5EC8D1E887A57AC6560FA26094D556AF08CA6AE4D58941A81E825C</t>
  </si>
  <si>
    <t>560FA26094D556AE684169B95593AAB1EAF770</t>
  </si>
  <si>
    <t>510F1230929ABC5EC8D1E887A57AC6560FA26094D556AE684169B95593AAB1EAF770</t>
  </si>
  <si>
    <t>510F1230929ABC5EC8D1E887A57AC6510F42609204E656F8D3FF0EF56536</t>
  </si>
  <si>
    <t>510F1230929ABC5EC8D1E887A57AC65017B2F09D8B8C23F8F1DD0455CC002</t>
  </si>
  <si>
    <t>561822D09E83C786E8E4AE55A5AE1BFBF43290</t>
  </si>
  <si>
    <t>561822D09E83C786E8E4AE55A5AE1BFBF43290E1561822D09E83C786E8E4AE55A5AE1BFBF43290</t>
  </si>
  <si>
    <t>560FE2C091F16F3338559C0875E43DC2DC1E57</t>
  </si>
  <si>
    <t>561822D09E83C786E8E4AE55A5AE1BFBF43290E1560FE2C091F16F3338559C0875E43DC2DC1E57</t>
  </si>
  <si>
    <t>561822D09E83C786E8E4AE55A5AE1BFBF43290E15017B2F09D8B8C23F8F1DD0455CF001</t>
  </si>
  <si>
    <t>51D572B09166A8DFB8471AE90532E31A0E2B45</t>
  </si>
  <si>
    <t>561822D09E83C786E8E4AE55A5AE1BFBF43290E151D572B09166A8DFB8471AE90532E31A0E2B45</t>
  </si>
  <si>
    <t>51D572B09166A8DFB8471AE90532E31A0E2E02</t>
  </si>
  <si>
    <t>510F42609204E656F8D3FF0EF5653651D572B09166A8DFB8471AE90532E31A0E2E02</t>
  </si>
  <si>
    <t>510F42609204E656F8D3FF0EF5653651D572B09166A8DFB8471AE90532E31A0E2F2A</t>
  </si>
  <si>
    <t>RPP가설방음벽(자재)  6m(h), 간격(2m), 6개월  M     ( 호표 35 )</t>
  </si>
  <si>
    <t>562A92E096BCE7D5D8143EBA053053FE5304CE</t>
  </si>
  <si>
    <t>510F123094470F41A8366BCED5B4A2562A92E096BCE7D5D8143EBA053053FE5304CE</t>
  </si>
  <si>
    <t>5684B2E09DBC073D58324CE7559566662DF2A4</t>
  </si>
  <si>
    <t>510F123094470F41A8366BCED5B4A25684B2E09DBC073D58324CE7559566662DF2A4</t>
  </si>
  <si>
    <t>주재료비의 36.0%</t>
  </si>
  <si>
    <t>510F123094470F41A8366BCED5B4A25017B2F09D8B8C23F8F1DD0455CF001</t>
  </si>
  <si>
    <t>510F123094470F41A8366BCED5B4A2562A92E096B765DD78481F38859A4C7D431BF6</t>
  </si>
  <si>
    <t>510F123094470F41A8366BCED5B4A25017B2F09D8B8C23F8F1DD0455CC002</t>
  </si>
  <si>
    <t>510F123094470F41A8366BCED5B4A2562A92E096B765DD78481F38859A4C7D427517</t>
  </si>
  <si>
    <t>510F123094470F41A8366BCED5B4A2562A92E096B765DD78481F38859A4C7D427510</t>
  </si>
  <si>
    <t>510F123094470F41A8366BCED5B4A25017B2F09D8B8C23F8F1DD0455CD003</t>
  </si>
  <si>
    <t>510F123091F3CD66E811D9C185F89851D572B09166A8DFB8471AE90532E31A0E2F2E</t>
  </si>
  <si>
    <t>510F123091F3CD66E811D9C185F89851D572B09166A8DFB8471AE90532E31A0E2F2A</t>
  </si>
  <si>
    <t>510F123091F3CD66E811D9C185F8985017B2F09D8B8C23F8F1DD0455CF001</t>
  </si>
  <si>
    <t>510F123091F3CD66E811D9C185F8985017B2F09D8B8C23F8F1DD0455CC002</t>
  </si>
  <si>
    <t>510F123091F3CD6438DEC91725323151D572B09166A8DFB8471AE90532E31A0E2F2E</t>
  </si>
  <si>
    <t>510F123091F3CD6438DEC91725323151D572B09166A8DFB8471AE90532E31A0E2F2A</t>
  </si>
  <si>
    <t>510F123091F3CD6438DEC917253231561822D09E83C786E8E4AE55A5AE1BFBF43290E1</t>
  </si>
  <si>
    <t>510F123091F3CD6438DEC9172532315017B2F09D8B8C23F8F1DD0455CF001</t>
  </si>
  <si>
    <t>510F123091F3CD6438DEC9172532315017B2F09D8B8C23F8F1DD0455CC002</t>
  </si>
  <si>
    <t>510F1230929AB404F8007DFB25E1DC51D572B09166A8DFB8471AE90532E31A0E2F2E</t>
  </si>
  <si>
    <t>510F1230929AB404F8007DFB25E1DC51D572B09166A8DFB8471AE90532E31A0E2F2B</t>
  </si>
  <si>
    <t>510F1230929AB404F8007DFB25E1DC561822D09E83C5D6485D2FD505B46C63711CBB93</t>
  </si>
  <si>
    <t>510F1230929AB404F8007DFB25E1DC5017B2F09D8B8C23F8F1DD0455CF001</t>
  </si>
  <si>
    <t>561822D09E83C5D6485D2FD505B46C63711CBB</t>
  </si>
  <si>
    <t>561822D09E83C5D6485D2FD505B46C63711CBB93561822D09E83C5D6485D2FD505B46C63711CBB</t>
  </si>
  <si>
    <t>561822D09E83C5D6485D2FD505B46C63711CBB93560FE2C091F16F3338559C0875E43DC2DC1E57</t>
  </si>
  <si>
    <t>561822D09E83C5D6485D2FD505B46C63711CBB935017B2F09D8B8C23F8F1DD0455CF001</t>
  </si>
  <si>
    <t>561822D09E83C5D6485D2FD505B46C63711CBB9351D572B09166A8DFB8471AE90532E31A0E2B45</t>
  </si>
  <si>
    <t>510F1230929AB404F8007DFB25E1DD51D572B09166A8DFB8471AE90532E31A0E2F2E</t>
  </si>
  <si>
    <t>510F1230929AB404F8007DFB25E1DD51D572B09166A8DFB8471AE90532E31A0E2F2B</t>
  </si>
  <si>
    <t>510F1230929AB404F8007DFB25E1DD561822D09E83C5D6485D2FD505B46C63711CBB93</t>
  </si>
  <si>
    <t>510F1230929AB404F8007DFB25E1DD5017B2F09D8B8C23F8F1DD0455CF001</t>
  </si>
  <si>
    <t>510F1230929AB404F8007DFB25E03751D572B09166A8DFB8471AE90532E31A0E2F2E</t>
  </si>
  <si>
    <t>510F1230929AB404F8007DFB25E03751D572B09166A8DFB8471AE90532E31A0E2F2B</t>
  </si>
  <si>
    <t>510F1230929AB404F8007DFB25E037561822D09E83C5D6485D2FD505B46C63711CBB93</t>
  </si>
  <si>
    <t>510F1230929AB404F8007DFB25E0375017B2F09D8B8C23F8F1DD0455CF001</t>
  </si>
  <si>
    <t>510F123094470939F84158F9A5733F51D572B09166A8DFB8471AE90532E31A0E2F2B</t>
  </si>
  <si>
    <t>510F123094470939F84158F9A5733F561822D09E83C5D6485D2FD505B46C63711CBB93</t>
  </si>
  <si>
    <t>510F123094470939F84158F9A5733F5017B2F09D8B8C23F8F1DD0455CC002</t>
  </si>
  <si>
    <t>510F123094470939F84158F9A5733F5017B2F09D8B8C23F8F1DD0455CF001</t>
  </si>
  <si>
    <t>561822D09E83C786E8E4AE55A5AB471C15CF08</t>
  </si>
  <si>
    <t>561822D09E83C786E8E4AE55A5AB471C15CF08DC561822D09E83C786E8E4AE55A5AB471C15CF08</t>
  </si>
  <si>
    <t>561822D09E83C786E8E4AE55A5AB471C15CF08DC560FE2C091F16F3338559C0875E43DC2DC1E57</t>
  </si>
  <si>
    <t>561822D09E83C786E8E4AE55A5AB471C15CF08DC5017B2F09D8B8C23F8F1DD0455CF001</t>
  </si>
  <si>
    <t>561822D09E83C786E8E4AE55A5AB471C15CF08DC51D572B09166A8DFB8471AE90532E31A0E2B45</t>
  </si>
  <si>
    <t>561822D09E83C782783A18B7658F5067BF6ABE</t>
  </si>
  <si>
    <t>561822D09E83C782783A18B7658F5067BF6ABE92561822D09E83C782783A18B7658F5067BF6ABE</t>
  </si>
  <si>
    <t>561822D09E83C782783A18B7658F5067BF6ABE92560FE2C091F16F3338559C0875E43DC2DC1E57</t>
  </si>
  <si>
    <t>561822D09E83C782783A18B7658F5067BF6ABE925017B2F09D8B8C23F8F1DD0455CF001</t>
  </si>
  <si>
    <t>561822D09E83C782783A18B7658F5067BF6ABE9251D572B09166A8DFB8471AE90532E31A0E2B45</t>
  </si>
  <si>
    <t>561822D09E83C7827829C471A57C4EFF632E8F</t>
  </si>
  <si>
    <t>561822D09E83C7827829C471A57C4EFF632E8FE0561822D09E83C7827829C471A57C4EFF632E8F</t>
  </si>
  <si>
    <t>510F42609204E65798D75B0545D6CB51D572B09166A8DFB8471AE90532E31A0E2E02</t>
  </si>
  <si>
    <t>510F42609204E65798D75B0545D6CB51D572B09166A8DFB8471AE90532E31A0E2F2A</t>
  </si>
  <si>
    <t>510F42609204E65798D75B0545D6CB5017B2F09D8B8C23F8F1DD0455CF001</t>
  </si>
  <si>
    <t>5123720098CEDAD2D8BC40EB45CB02</t>
  </si>
  <si>
    <t>510F327098744B5538531FA19511895123720098CEDAD2D8BC40EB45CB02</t>
  </si>
  <si>
    <t>561822D09E83C1742865D260A58D08CE4FBE0D</t>
  </si>
  <si>
    <t>561822D09E83C1742865D260A58D08CE4FBE0D46561822D09E83C1742865D260A58D08CE4FBE0D</t>
  </si>
  <si>
    <t>561822D09E83C1742865D260A58D08CE4FBE0D46560FE2C091F16F3338559C0875E43DC2DC1E57</t>
  </si>
  <si>
    <t>561822D09E83C1742865D260A58D08CE4FBE0D465017B2F09D8B8C23F8F1DD0455CF001</t>
  </si>
  <si>
    <t>561822D09E83C1742865D260A58D08CE4FBE0D4651D572B09166A8DFB8471AE90532E31A0E2B45</t>
  </si>
  <si>
    <t>561822D09E83C178880A8139856165D3BB7AFE</t>
  </si>
  <si>
    <t>561822D09E83C178880A812F05D237C854EC4339561822D09E83C178880A8139856165D3BB7AFE</t>
  </si>
  <si>
    <t>561822D09E83C050D810710645BC98FE343F6E</t>
  </si>
  <si>
    <t>561822D09E83C050D810710645BC98FE343F6EA2561822D09E83C050D810710645BC98FE343F6E</t>
  </si>
  <si>
    <t>561822D09E83C050D810710645BC98FE343F6EA2560FE2C091F16F3338559C0875E43DC2DC1E57</t>
  </si>
  <si>
    <t>561822D09E83C050D810710645BC98FE343F6EA25017B2F09D8B8C23F8F1DD0455CF001</t>
  </si>
  <si>
    <t>51D572B09166A8DFB8471AE90532E31A0E2AA6</t>
  </si>
  <si>
    <t>561822D09E83C050D810710645BC98FE343F6EA251D572B09166A8DFB8471AE90532E31A0E2AA6</t>
  </si>
  <si>
    <t>561822D09E83C050D810710615E565C0F16E2F</t>
  </si>
  <si>
    <t>561822D09E83C050D810710615E565C0F16E2F98561822D09E83C050D810710615E565C0F16E2F</t>
  </si>
  <si>
    <t>561822D09E83C050D810710615E565C0F16E2F98560FE2C091F16F3338559C0875E43DC2DC1E57</t>
  </si>
  <si>
    <t>561822D09E83C050D810710615E565C0F16E2F985017B2F09D8B8C23F8F1DD0455CF001</t>
  </si>
  <si>
    <t>561822D09E83C050D810710615E565C0F16E2F9851D572B09166A8DFB8471AE90532E31A0E2AA6</t>
  </si>
  <si>
    <t>561822D09E83C2010818FD85D5F0478D02420D</t>
  </si>
  <si>
    <t>561822D09E83C2010818FD85D5F0478D02420DA1561822D09E83C2010818FD85D5F0478D02420D</t>
  </si>
  <si>
    <t>561822D09E83C2010818FD85D5F0478D02420DA1560FE2C091F16F3338559C0875E43DC2DC1E57</t>
  </si>
  <si>
    <t>561822D09E83C2010818FD85D5F0478D02420DA15017B2F09D8B8C23F8F1DD0455CF001</t>
  </si>
  <si>
    <t>561822D09E83C2010818FD85D5F0478D02420DA151D572B09166A8DFB8471AE90532E31A0E2B45</t>
  </si>
  <si>
    <t>561822D09E83C5D2E8AA493BA503A5817605A8</t>
  </si>
  <si>
    <t>561822D09E83C5D2E8AA493BA503A5817605A8A0561822D09E83C5D2E8AA493BA503A5817605A8</t>
  </si>
  <si>
    <t>561822D09E83C5D2E8AA493BA503A5817605A8A0560FE2C091F16F3338559C0875E43DC2DC1E57</t>
  </si>
  <si>
    <t>561822D09E83C5D2E8AA493BA503A5817605A8A05017B2F09D8B8C23F8F1DD0455CF001</t>
  </si>
  <si>
    <t>561822D09E83C5D2E8AA493BA503A5817605A8A051D572B09166A8DFB8471AE90532E31A0E2B45</t>
  </si>
  <si>
    <t>561822D09E83C5D6485D77FAA5CB0A58BF69A9</t>
  </si>
  <si>
    <t>561822D09E83C5D6485D77FAA5CB0A58BF69A92F561822D09E83C5D6485D77FAA5CB0A58BF69A9</t>
  </si>
  <si>
    <t>561822D09E83C5D6485D77FAA5CB0A58BF69A92F560FE2C091F16F3338559C0875E43DC2DC1E57</t>
  </si>
  <si>
    <t>561822D09E83C5D6485D77FAA5CB0A58BF69A92F5017B2F09D8B8C23F8F1DD0455CF001</t>
  </si>
  <si>
    <t>561822D09E83C5D6485D77FAA5CB0A58BF69A92F51D572B09166A8DFB8471AE90532E31A0E2B45</t>
  </si>
  <si>
    <t>5123720098CEDAD2D8BC40EB45C7A7</t>
  </si>
  <si>
    <t>510F327098744B5538531FA1951DBA5123720098CEDAD2D8BC40EB45C7A7</t>
  </si>
  <si>
    <t>561822D09E83C050D810710605DBBF418AC3F9</t>
  </si>
  <si>
    <t>561822D09E83C050D810710605DBBF418AC3F941561822D09E83C050D810710605DBBF418AC3F9</t>
  </si>
  <si>
    <t>561822D09E83C050D810710605DBBF418AC3F941560FE2C091F16F3338559C0875E43DC2DC1E57</t>
  </si>
  <si>
    <t>561822D09E83C050D810710605DBBF418AC3F9415017B2F09D8B8C23F8F1DD0455CF001</t>
  </si>
  <si>
    <t>561822D09E83C050D810710605DBBF418AC3F94151D572B09166A8DFB8471AE90532E31A0E2AA6</t>
  </si>
  <si>
    <t>561822D09E83C786E8DA4021C5CADE43FB1BDB</t>
  </si>
  <si>
    <t>561822D09E83C786E8DA4021C5CADE43FB1BDB6B561822D09E83C786E8DA4021C5CADE43FB1BDB</t>
  </si>
  <si>
    <t>561822D09E83C786E8E4AE55A5AB471C15CF08DD561822D09E83C786E8E4AE55A5AB471C15CF08</t>
  </si>
  <si>
    <t>561822D09E83C786E8E4AE55A5AB471C15CF08DD560FE2C091F16F3338559C0875E43DC2DC1E57</t>
  </si>
  <si>
    <t>561822D09E83C786E8E4AE55A5AB471C15CF08DD5017B2F09D8B8C23F8F1DD0455CF001</t>
  </si>
  <si>
    <t>561822D09E83C786E8E4AE55A5AB471C15CF08DD51D572B09166A8DFB8471AE90532E31A0E2B45</t>
  </si>
  <si>
    <t>561822D09E83C786E8DA5292558D189DE0A0FE</t>
  </si>
  <si>
    <t>561822D09E83C786E8DA5292558D189FAE34B026561822D09E83C786E8DA5292558D189DE0A0FE</t>
  </si>
  <si>
    <t>561822D09E83C05708016C84A548EC11EE3FF3</t>
  </si>
  <si>
    <t>561822D09E83C05708016C84A548EC11EE3FF359561822D09E83C05708016C84A548EC11EE3FF3</t>
  </si>
  <si>
    <t>561822D09E83C05708016C84A548EC11EE3FF359560FE2C091F16F3338559C0875E43DC2DC1E57</t>
  </si>
  <si>
    <t>561822D09E83C05708016C84A548EC11EE3FF3595017B2F09D8B8C23F8F1DD0455CF001</t>
  </si>
  <si>
    <t>51D572B09166A8DFB8471AE90532E31A0E2B44</t>
  </si>
  <si>
    <t>561822D09E83C05708016C84A548EC11EE3FF35951D572B09166A8DFB8471AE90532E31A0E2B44</t>
  </si>
  <si>
    <t>561822D09E83C6FD68F5D9C945DA7950F3D7AF</t>
  </si>
  <si>
    <t>561822D09E83C6FD68F5D9C945DA7950F3D7AFAE561822D09E83C6FD68F5D9C945DA7950F3D7AF</t>
  </si>
  <si>
    <t>561822D09E83C6FD68F5D9C945DA7950F3D7AFAE560FE2C091F16F3338559C0875E43DC2DC1E57</t>
  </si>
  <si>
    <t>561822D09E83C6FD68F5D9C945DA7950F3D7AFAE5017B2F09D8B8C23F8F1DD0455CF001</t>
  </si>
  <si>
    <t>561822D09E83C6FD68F5D9C945DA7950F3D7AFAE51D572B09166A8DFB8471AE90532E31A0E2AA6</t>
  </si>
  <si>
    <t>561822D09E83C5D6485D77FAA5CC141ED53C6E</t>
  </si>
  <si>
    <t>561822D09E83C5D6485D77FAA5CC141ED53C6E65561822D09E83C5D6485D77FAA5CC141ED53C6E</t>
  </si>
  <si>
    <t>561822D09E83C5D6485D77FAA5CC141ED53C6E65560FE2C091F16F3338559C0875E43DC2DC1E57</t>
  </si>
  <si>
    <t>561822D09E83C5D6485D77FAA5CC141ED53C6E655017B2F09D8B8C23F8F1DD0455CF001</t>
  </si>
  <si>
    <t>561822D09E83C5D6485D77FAA5CC141ED53C6E6551D572B09166A8DFB8471AE90532E31A0E2B45</t>
  </si>
  <si>
    <t>561822D09E83C5D6485D38422515EBCE4C7154</t>
  </si>
  <si>
    <t>561822D09E83C5D6485D38422515EBCE4C715405561822D09E83C5D6485D38422515EBCE4C7154</t>
  </si>
  <si>
    <t>561822D09E83C5D6485D38422515EBCE4C715405560FE2C091F16F3338559C0875E43DC2DC1E57</t>
  </si>
  <si>
    <t>561822D09E83C5D6485D38422515EBCE4C7154055017B2F09D8B8C23F8F1DD0455CF001</t>
  </si>
  <si>
    <t>561822D09E83C5D6485D38422515EBCE4C71540551D572B09166A8DFB8471AE90532E31A0E2B44</t>
  </si>
  <si>
    <t>561822D09E83C5D038D1347465AE2FDA2323DB</t>
  </si>
  <si>
    <t>561822D09E83C5D038D1347465AE2FDA2323DB24561822D09E83C5D038D1347465AE2FDA2323DB</t>
  </si>
  <si>
    <t>561822D09E83C5D038D1347465AE2FDA2323DB24560FE2C091F16F3338559C0875E43DC2DC1E57</t>
  </si>
  <si>
    <t>561822D09E83C5D038D1347465AE2FDA2323DB245017B2F09D8B8C23F8F1DD0455CF001</t>
  </si>
  <si>
    <t>561822D09E83C5D038D1347465AE2FDA2323DB2451D572B09166A8DFB8471AE90532E31A0E2B45</t>
  </si>
  <si>
    <t>561822D09E83C782783A18B77599169D29FB55</t>
  </si>
  <si>
    <t>561822D09E83C782783A18B77599169D29FB55EF561822D09E83C782783A18B77599169D29FB55</t>
  </si>
  <si>
    <t>561822D09E83C782783A18B77599169D29FB55EF560FE2C091F16F3338559C0875E43DC2DC1E57</t>
  </si>
  <si>
    <t>561822D09E83C782783A18B77599169D29FB55EF5017B2F09D8B8C23F8F1DD0455CF001</t>
  </si>
  <si>
    <t>561822D09E83C782783A18B77599169D29FB55EF51D572B09166A8DFB8471AE90532E31A0E2B44</t>
  </si>
  <si>
    <t>5684B2F09B1AE57CD8EA8355A57D8D36CAD1CE</t>
  </si>
  <si>
    <t>510F1230929ABD7EA8771C73158FEB5684B2F09B1AE57CD8EA8355A57D8D36CAD1CE</t>
  </si>
  <si>
    <t>5684B2F09B1AE57CD8EA8355A57D8D36CAD2D5</t>
  </si>
  <si>
    <t>510F1230929ABD7EA8771C73158FEB5684B2F09B1AE57CD8EA8355A57D8D36CAD2D5</t>
  </si>
  <si>
    <t>5684B2F09B1AE57CD8EA8355A57D8D36CAD3FC</t>
  </si>
  <si>
    <t>510F1230929ABD7EA8771C73158FEB5684B2F09B1AE57CD8EA8355A57D8D36CAD3FC</t>
  </si>
  <si>
    <t>5684B2F09B1AE57CD8EA8355A57D8D36CAD482</t>
  </si>
  <si>
    <t>510F1230929ABD7EA8771C73158FEB5684B2F09B1AE57CD8EA8355A57D8D36CAD482</t>
  </si>
  <si>
    <t>5684B2F09B1AE57CD8EA8355A57D8D36CAD5A9</t>
  </si>
  <si>
    <t>510F1230929ABD7EA8771C73158FEB5684B2F09B1AE57CD8EA8355A57D8D36CAD5A9</t>
  </si>
  <si>
    <t>5684B2F09B1AE57CD8EA8355A57D8D36CAD6B0</t>
  </si>
  <si>
    <t>510F1230929ABD7EA8771C73158FEB5684B2F09B1AE57CD8EA8355A57D8D36CAD6B0</t>
  </si>
  <si>
    <t>51D572B09166A8DFB8471AE90532E31A0E28F9</t>
  </si>
  <si>
    <t>510F1230929ABD7EA8771C73158FEB51D572B09166A8DFB8471AE90532E31A0E28F9</t>
  </si>
  <si>
    <t>51D572B09166A8DFB8471AE90532E31A0E2987</t>
  </si>
  <si>
    <t>510F1230929ABD7EA8771C73158FEB51D572B09166A8DFB8471AE90532E31A0E2987</t>
  </si>
  <si>
    <t>51D572B09166A8DFB8471AE90532E31A0E27D1</t>
  </si>
  <si>
    <t>510F1230929ABD7EA8771C73158FEB51D572B09166A8DFB8471AE90532E31A0E27D1</t>
  </si>
  <si>
    <t>510F1230929ABD7EA8771C73158FEB51D572B09166A8DFB8471AE90532E31A0E2F2B</t>
  </si>
  <si>
    <t>510F1230929ABD7EA8771C73158FEB5017B2F09D8B8C23F8F1DD0455CF001</t>
  </si>
  <si>
    <t>510F1230929ABD7EA8771C73158FEB5017B2F09D8B8C23F8F1DD0455CC002</t>
  </si>
  <si>
    <t xml:space="preserve"> 11.개량형해머비트= 일사용시간/8시간    </t>
  </si>
  <si>
    <t>'11.개량형해머비트= 일사용시간/8시간'</t>
  </si>
  <si>
    <t xml:space="preserve"> 12.개량형해머비트= 일사용시간/8시간    </t>
  </si>
  <si>
    <t>'12.개량형해머비트= 일사용시간/8시간'</t>
  </si>
  <si>
    <t>5684B2E09F69DDDA986037E7E5B71265C5DB62</t>
  </si>
  <si>
    <t>해머비트</t>
  </si>
  <si>
    <t>5684B2F0996D106628B2D32C85DBCE3DCAFCCF</t>
  </si>
  <si>
    <t>5684B2F0996D106628B2D32C85DBCE3DCAFEFB</t>
  </si>
  <si>
    <t>51D572B09166A8DFB8471AE90532E31A0E2E03</t>
  </si>
  <si>
    <t>51D572B09166A8DFB8471AE90532E31A0E2E05</t>
  </si>
  <si>
    <t>H=4.0, 26개월[해체비제외, 6개월 임대료]</t>
  </si>
  <si>
    <t>6m(h), 간격(2m), 26개월[해체비제외, 6개월 임대료]</t>
  </si>
  <si>
    <t>H=6.0m W=8.0m. 26개월[해체비제외, 6개월 임대료]</t>
  </si>
  <si>
    <t>3.0*9.0m, 26개월[해체비제외, 6개월 임대료]</t>
  </si>
  <si>
    <t>3.0*6.0m, 26개월[해체비제외, 6개월 임대료]</t>
  </si>
  <si>
    <t>사용기간 12개월[해체비제외, 6개월 임대료]</t>
  </si>
  <si>
    <t>직접노무비 * 17.5%</t>
  </si>
  <si>
    <t>노무비 * 3.56%</t>
  </si>
  <si>
    <t>노무비 * 1.01%</t>
  </si>
  <si>
    <t>직접노무비 * 3.595%</t>
  </si>
  <si>
    <t>직접노무비 * 4.75%</t>
  </si>
  <si>
    <t>건강보험료 * 13.14%</t>
  </si>
  <si>
    <t>직접노무비 * 2.3%</t>
  </si>
  <si>
    <t>[(재료비+직노) * 2.28%]*1.2</t>
  </si>
  <si>
    <t>(재료비+직노+산출경비) * 0.5%</t>
  </si>
  <si>
    <t>(재료비+노무비) * 5%</t>
  </si>
  <si>
    <t>(재료비+직노+산출경비) * 0.081%</t>
  </si>
  <si>
    <t>(재료비+직노+산출경비) * 0.07%</t>
  </si>
  <si>
    <t>노무비 * 0.006%</t>
  </si>
  <si>
    <t>노무비 * 0.09%</t>
  </si>
  <si>
    <t>공사원가계 * 8%</t>
  </si>
  <si>
    <t>(노무비+경비+일반관리비) * 15%</t>
  </si>
  <si>
    <t>공급가액 * 10%</t>
  </si>
  <si>
    <t>공 사 원 가 계 산 서</t>
    <phoneticPr fontId="3" type="noConversion"/>
  </si>
  <si>
    <t>기계경비,가설비,운반비,환경보전비(직접비),안전관리비(직접비)</t>
  </si>
  <si>
    <t>7등급이하</t>
  </si>
  <si>
    <t>산출경비</t>
  </si>
  <si>
    <t>건축일괄적용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</si>
</sst>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176" formatCode="_ * #,##0_ ;_ * \-#,##0_ ;_ * &quot;-&quot;_ ;_ @_ "/>
    <numFmt numFmtId="177" formatCode="0.0000_ "/>
    <numFmt numFmtId="178" formatCode="_ * #,##0.000_ ;_ * \-#,##0.000_ ;_ * &quot;-&quot;_ ;_ @_ "/>
    <numFmt numFmtId="179" formatCode="_ * #,##0.0_ ;_ * \-#,##0.0_ ;_ * &quot;-&quot;_ ;_ @_ "/>
    <numFmt numFmtId="180" formatCode="#,###"/>
    <numFmt numFmtId="181" formatCode="0.0%"/>
    <numFmt numFmtId="182" formatCode="&quot;기본금: &quot;#,##0"/>
    <numFmt numFmtId="183" formatCode="&quot;△&quot;#,##0_-"/>
    <numFmt numFmtId="184" formatCode="0.000%"/>
    <numFmt numFmtId="185" formatCode="_-* #,##0.0000_-;\-* #,##0.0000_-;_-* &quot;-&quot;_-;_-@_-"/>
    <numFmt numFmtId="186" formatCode="_-* #,##0.0_-;\-* #,##0.0_-;_-* &quot;-&quot;_-;_-@_-"/>
    <numFmt numFmtId="187" formatCode="General&quot;)&quot;"/>
    <numFmt numFmtId="188" formatCode="#,##0.0"/>
    <numFmt numFmtId="189" formatCode="#,##0.00#"/>
    <numFmt numFmtId="190" formatCode="#,##0;\-#,##0;#"/>
    <numFmt numFmtId="191" formatCode="#,##0.0;\-#,##0.0;#"/>
    <numFmt numFmtId="192" formatCode="#,##0.00#;\-#,##0.00#;#"/>
    <numFmt numFmtId="193" formatCode="&quot;₩&quot;#,##0"/>
    <numFmt numFmtId="194" formatCode="#,##0_ "/>
    <numFmt numFmtId="195" formatCode="#,##0_ &quot; 억원&quot;"/>
    <numFmt numFmtId="196" formatCode="#,##0.0_ "/>
    <numFmt numFmtId="197" formatCode="#,##0_ &quot; 회&quot;"/>
    <numFmt numFmtId="198" formatCode="#,##0_ &quot;원&quot;"/>
    <numFmt numFmtId="199" formatCode="_-* #,##0_-;\-* #,##0_-;_-* &quot;-&quot;??_-;_-@_-"/>
    <numFmt numFmtId="200" formatCode="#,##0_);[Red]\(#,##0\)"/>
    <numFmt numFmtId="201" formatCode="0_ &quot;%&quot;"/>
    <numFmt numFmtId="202" formatCode="0.000"/>
    <numFmt numFmtId="203" formatCode="0.000_ "/>
    <numFmt numFmtId="204" formatCode="#,###&quot;개월&quot;"/>
    <numFmt numFmtId="205" formatCode="##,##0&quot;년&quot;"/>
    <numFmt numFmtId="206" formatCode="#,###.0&quot;년&quot;"/>
  </numFmts>
  <fonts count="97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b/>
      <sz val="12"/>
      <name val="바탕체"/>
      <family val="1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12"/>
      <color indexed="12"/>
      <name val="바탕체"/>
      <family val="1"/>
      <charset val="129"/>
    </font>
    <font>
      <sz val="11"/>
      <name val="(한)매직체"/>
      <family val="1"/>
      <charset val="129"/>
    </font>
    <font>
      <b/>
      <sz val="25"/>
      <name val="휴먼옛체"/>
      <family val="1"/>
      <charset val="129"/>
    </font>
    <font>
      <sz val="11"/>
      <name val="옛체"/>
      <family val="1"/>
      <charset val="129"/>
    </font>
    <font>
      <b/>
      <sz val="25"/>
      <name val="휴먼옛체"/>
      <family val="3"/>
      <charset val="129"/>
    </font>
    <font>
      <sz val="36"/>
      <name val="(한)매직체"/>
      <family val="1"/>
      <charset val="129"/>
    </font>
    <font>
      <sz val="11"/>
      <name val="휴먼옛체"/>
      <family val="3"/>
      <charset val="129"/>
    </font>
    <font>
      <b/>
      <sz val="15"/>
      <name val="휴먼옛체"/>
      <family val="3"/>
      <charset val="129"/>
    </font>
    <font>
      <sz val="26"/>
      <name val="(한)매직체"/>
      <family val="1"/>
      <charset val="129"/>
    </font>
    <font>
      <sz val="22"/>
      <name val="(한)매직체"/>
      <family val="1"/>
      <charset val="129"/>
    </font>
    <font>
      <b/>
      <sz val="14"/>
      <name val="(한)매직체"/>
      <family val="1"/>
      <charset val="129"/>
    </font>
    <font>
      <b/>
      <u/>
      <sz val="15"/>
      <name val="(한)매직체"/>
      <family val="1"/>
      <charset val="129"/>
    </font>
    <font>
      <sz val="5"/>
      <name val="(한)매직체"/>
      <family val="1"/>
      <charset val="129"/>
    </font>
    <font>
      <b/>
      <sz val="15"/>
      <name val="(한)매직체"/>
      <family val="1"/>
      <charset val="129"/>
    </font>
    <font>
      <sz val="15"/>
      <name val="(한)매직체"/>
      <family val="1"/>
      <charset val="129"/>
    </font>
    <font>
      <b/>
      <sz val="13"/>
      <name val="(한)매직체"/>
      <family val="1"/>
      <charset val="129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u/>
      <sz val="16"/>
      <color theme="1"/>
      <name val="휴먼모음T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name val="휴먼모음T"/>
      <family val="1"/>
      <charset val="129"/>
    </font>
    <font>
      <b/>
      <sz val="11"/>
      <name val="휴먼모음T"/>
      <family val="1"/>
      <charset val="129"/>
    </font>
    <font>
      <sz val="11"/>
      <color rgb="FFFF0000"/>
      <name val="휴먼모음T"/>
      <family val="1"/>
      <charset val="129"/>
    </font>
    <font>
      <sz val="11"/>
      <color rgb="FF0000FF"/>
      <name val="휴먼모음T"/>
      <family val="1"/>
      <charset val="129"/>
    </font>
    <font>
      <sz val="11"/>
      <color rgb="FFCCFFCC"/>
      <name val="휴먼모음T"/>
      <family val="1"/>
      <charset val="129"/>
    </font>
    <font>
      <b/>
      <u/>
      <sz val="16"/>
      <name val="휴먼모음T"/>
      <family val="1"/>
      <charset val="129"/>
    </font>
    <font>
      <sz val="11"/>
      <color theme="6" tint="0.79998168889431442"/>
      <name val="휴먼모음T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99FF99"/>
      <name val="휴먼모음T"/>
      <family val="1"/>
      <charset val="129"/>
    </font>
    <font>
      <u/>
      <sz val="11"/>
      <color theme="1"/>
      <name val="휴먼모음T"/>
      <family val="1"/>
      <charset val="129"/>
    </font>
    <font>
      <sz val="11"/>
      <color theme="9" tint="-0.249977111117893"/>
      <name val="휴먼모음T"/>
      <family val="1"/>
      <charset val="129"/>
    </font>
    <font>
      <sz val="12"/>
      <name val="Asia희망M-NC"/>
      <family val="3"/>
      <charset val="129"/>
    </font>
    <font>
      <b/>
      <sz val="12"/>
      <name val="Asia희망M-NC"/>
      <family val="3"/>
      <charset val="129"/>
    </font>
    <font>
      <sz val="11"/>
      <color theme="1"/>
      <name val="Asia희망M-NC"/>
      <family val="3"/>
      <charset val="129"/>
    </font>
    <font>
      <b/>
      <sz val="12"/>
      <color indexed="10"/>
      <name val="Asia희망M-NC"/>
      <family val="3"/>
      <charset val="129"/>
    </font>
    <font>
      <sz val="12"/>
      <color indexed="10"/>
      <name val="Asia희망M-NC"/>
      <family val="3"/>
      <charset val="129"/>
    </font>
    <font>
      <sz val="12"/>
      <color rgb="FFFF0000"/>
      <name val="Asia희망M-NC"/>
      <family val="3"/>
      <charset val="129"/>
    </font>
    <font>
      <sz val="12"/>
      <color indexed="12"/>
      <name val="Asia희망M-NC"/>
      <family val="3"/>
      <charset val="129"/>
    </font>
    <font>
      <sz val="10"/>
      <name val="Asia희망M-NC"/>
      <family val="3"/>
      <charset val="129"/>
    </font>
    <font>
      <sz val="12"/>
      <color rgb="FF0000FF"/>
      <name val="Asia희망M-NC"/>
      <family val="3"/>
      <charset val="129"/>
    </font>
    <font>
      <sz val="11"/>
      <color rgb="FFFFFF00"/>
      <name val="휴먼모음T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0"/>
      <color rgb="FF0000FF"/>
      <name val="Asia희망M-NC"/>
      <family val="3"/>
      <charset val="129"/>
    </font>
    <font>
      <b/>
      <sz val="10"/>
      <color rgb="FF0000FF"/>
      <name val="Asia희망M-NC"/>
      <family val="3"/>
      <charset val="129"/>
    </font>
    <font>
      <b/>
      <u/>
      <sz val="16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3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sz val="11"/>
      <color rgb="FF000000"/>
      <name val="바탕"/>
      <family val="1"/>
      <charset val="129"/>
    </font>
    <font>
      <u/>
      <sz val="11"/>
      <color rgb="FF000000"/>
      <name val="바탕"/>
      <family val="1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u/>
      <sz val="10"/>
      <color rgb="FF000000"/>
      <name val="바탕"/>
      <family val="1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8"/>
      <color rgb="FF000000"/>
      <name val="맑은 고딕"/>
      <family val="3"/>
      <charset val="129"/>
    </font>
    <font>
      <sz val="10"/>
      <color rgb="FFFF40FF"/>
      <name val="맑은 고딕"/>
      <family val="3"/>
      <charset val="129"/>
    </font>
    <font>
      <sz val="10"/>
      <color rgb="FFFF40FF"/>
      <name val="돋움"/>
      <family val="3"/>
      <charset val="129"/>
    </font>
    <font>
      <sz val="8"/>
      <color rgb="FF000000"/>
      <name val="맑은 고딕"/>
      <family val="3"/>
      <charset val="129"/>
    </font>
    <font>
      <sz val="11"/>
      <color rgb="FF000000"/>
      <name val="MS Gothic"/>
      <family val="3"/>
      <charset val="128"/>
    </font>
    <font>
      <sz val="9"/>
      <color rgb="FF000000"/>
      <name val="굴림"/>
      <family val="3"/>
      <charset val="129"/>
    </font>
    <font>
      <b/>
      <sz val="12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1"/>
      <color rgb="FF7030A0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B3FFB3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theme="3" tint="0.89999084444715716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0000FF"/>
      </right>
      <top style="thin">
        <color indexed="64"/>
      </top>
      <bottom/>
      <diagonal/>
    </border>
    <border>
      <left style="thick">
        <color rgb="FF0000FF"/>
      </left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rgb="FF0000FF"/>
      </left>
      <right style="thick">
        <color rgb="FF0000FF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rgb="FF0000FF"/>
      </left>
      <right style="thick">
        <color rgb="FF0000FF"/>
      </right>
      <top style="hair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5" fillId="0" borderId="0"/>
  </cellStyleXfs>
  <cellXfs count="606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locked="0"/>
    </xf>
    <xf numFmtId="41" fontId="5" fillId="2" borderId="0" xfId="0" applyNumberFormat="1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41" fontId="6" fillId="2" borderId="0" xfId="0" applyNumberFormat="1" applyFont="1" applyFill="1" applyProtection="1">
      <alignment vertical="center"/>
      <protection locked="0"/>
    </xf>
    <xf numFmtId="41" fontId="5" fillId="2" borderId="0" xfId="0" applyNumberFormat="1" applyFont="1" applyFill="1">
      <alignment vertical="center"/>
    </xf>
    <xf numFmtId="10" fontId="6" fillId="2" borderId="0" xfId="0" applyNumberFormat="1" applyFont="1" applyFill="1" applyProtection="1">
      <alignment vertical="center"/>
      <protection locked="0"/>
    </xf>
    <xf numFmtId="0" fontId="8" fillId="0" borderId="0" xfId="0" applyFont="1">
      <alignment vertical="center"/>
    </xf>
    <xf numFmtId="0" fontId="10" fillId="0" borderId="0" xfId="0" applyFont="1" applyAlignment="1"/>
    <xf numFmtId="176" fontId="10" fillId="0" borderId="0" xfId="0" applyNumberFormat="1" applyFont="1" applyAlignment="1"/>
    <xf numFmtId="0" fontId="11" fillId="0" borderId="0" xfId="0" applyFont="1" applyAlignment="1"/>
    <xf numFmtId="0" fontId="14" fillId="0" borderId="0" xfId="0" applyFont="1" applyAlignment="1"/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41" fontId="15" fillId="0" borderId="0" xfId="0" applyNumberFormat="1" applyFo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 vertical="center" wrapText="1" indent="1"/>
    </xf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indent="4"/>
    </xf>
    <xf numFmtId="0" fontId="28" fillId="0" borderId="0" xfId="0" applyFont="1">
      <alignment vertical="center"/>
    </xf>
    <xf numFmtId="0" fontId="8" fillId="0" borderId="13" xfId="0" applyFont="1" applyBorder="1">
      <alignment vertical="center"/>
    </xf>
    <xf numFmtId="0" fontId="33" fillId="0" borderId="0" xfId="0" applyFont="1" applyAlignment="1">
      <alignment horizontal="right" vertical="center"/>
    </xf>
    <xf numFmtId="0" fontId="33" fillId="0" borderId="13" xfId="0" applyFont="1" applyBorder="1" applyAlignment="1">
      <alignment horizontal="right" vertical="center"/>
    </xf>
    <xf numFmtId="4" fontId="8" fillId="0" borderId="0" xfId="0" applyNumberFormat="1" applyFont="1">
      <alignment vertical="center"/>
    </xf>
    <xf numFmtId="0" fontId="34" fillId="8" borderId="20" xfId="0" applyFont="1" applyFill="1" applyBorder="1" applyAlignment="1">
      <alignment horizontal="center" vertical="center" wrapText="1"/>
    </xf>
    <xf numFmtId="0" fontId="34" fillId="8" borderId="27" xfId="0" applyFont="1" applyFill="1" applyBorder="1" applyAlignment="1">
      <alignment horizontal="center" vertical="center" wrapText="1"/>
    </xf>
    <xf numFmtId="0" fontId="8" fillId="0" borderId="0" xfId="0" quotePrefix="1" applyFont="1">
      <alignment vertical="center"/>
    </xf>
    <xf numFmtId="180" fontId="36" fillId="0" borderId="5" xfId="0" applyNumberFormat="1" applyFont="1" applyBorder="1" applyAlignment="1">
      <alignment vertical="center" shrinkToFit="1"/>
    </xf>
    <xf numFmtId="180" fontId="36" fillId="0" borderId="33" xfId="0" applyNumberFormat="1" applyFont="1" applyBorder="1" applyAlignment="1">
      <alignment vertical="center" shrinkToFit="1"/>
    </xf>
    <xf numFmtId="180" fontId="34" fillId="4" borderId="34" xfId="0" applyNumberFormat="1" applyFont="1" applyFill="1" applyBorder="1" applyAlignment="1">
      <alignment vertical="center" shrinkToFit="1"/>
    </xf>
    <xf numFmtId="180" fontId="36" fillId="0" borderId="35" xfId="0" applyNumberFormat="1" applyFont="1" applyBorder="1" applyAlignment="1">
      <alignment vertical="center" shrinkToFit="1"/>
    </xf>
    <xf numFmtId="180" fontId="36" fillId="0" borderId="34" xfId="0" applyNumberFormat="1" applyFont="1" applyBorder="1" applyAlignment="1">
      <alignment vertical="center" shrinkToFit="1"/>
    </xf>
    <xf numFmtId="180" fontId="34" fillId="0" borderId="36" xfId="0" applyNumberFormat="1" applyFont="1" applyBorder="1" applyAlignment="1">
      <alignment vertical="center" shrinkToFit="1"/>
    </xf>
    <xf numFmtId="180" fontId="35" fillId="3" borderId="37" xfId="0" applyNumberFormat="1" applyFont="1" applyFill="1" applyBorder="1" applyAlignment="1">
      <alignment vertical="center" shrinkToFit="1"/>
    </xf>
    <xf numFmtId="0" fontId="8" fillId="0" borderId="36" xfId="0" quotePrefix="1" applyFont="1" applyBorder="1" applyAlignment="1">
      <alignment horizontal="center" vertical="center" wrapText="1"/>
    </xf>
    <xf numFmtId="0" fontId="8" fillId="0" borderId="5" xfId="0" quotePrefix="1" applyFont="1" applyBorder="1" applyAlignment="1">
      <alignment vertical="center" wrapText="1"/>
    </xf>
    <xf numFmtId="180" fontId="8" fillId="0" borderId="6" xfId="0" applyNumberFormat="1" applyFont="1" applyBorder="1" applyAlignment="1">
      <alignment vertical="center" shrinkToFit="1"/>
    </xf>
    <xf numFmtId="180" fontId="8" fillId="0" borderId="41" xfId="0" applyNumberFormat="1" applyFont="1" applyBorder="1" applyAlignment="1">
      <alignment vertical="center" shrinkToFit="1"/>
    </xf>
    <xf numFmtId="180" fontId="34" fillId="4" borderId="42" xfId="0" applyNumberFormat="1" applyFont="1" applyFill="1" applyBorder="1" applyAlignment="1">
      <alignment vertical="center" shrinkToFit="1"/>
    </xf>
    <xf numFmtId="180" fontId="8" fillId="0" borderId="43" xfId="0" applyNumberFormat="1" applyFont="1" applyBorder="1" applyAlignment="1">
      <alignment vertical="center" shrinkToFit="1"/>
    </xf>
    <xf numFmtId="180" fontId="8" fillId="0" borderId="42" xfId="0" applyNumberFormat="1" applyFont="1" applyBorder="1" applyAlignment="1">
      <alignment vertical="center" shrinkToFit="1"/>
    </xf>
    <xf numFmtId="180" fontId="34" fillId="0" borderId="44" xfId="0" applyNumberFormat="1" applyFont="1" applyBorder="1" applyAlignment="1">
      <alignment vertical="center" shrinkToFit="1"/>
    </xf>
    <xf numFmtId="180" fontId="35" fillId="3" borderId="45" xfId="0" applyNumberFormat="1" applyFont="1" applyFill="1" applyBorder="1" applyAlignment="1">
      <alignment vertical="center" shrinkToFit="1"/>
    </xf>
    <xf numFmtId="0" fontId="8" fillId="0" borderId="44" xfId="0" quotePrefix="1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vertical="center" wrapText="1"/>
    </xf>
    <xf numFmtId="180" fontId="8" fillId="0" borderId="7" xfId="0" applyNumberFormat="1" applyFont="1" applyBorder="1" applyAlignment="1">
      <alignment vertical="center" shrinkToFit="1"/>
    </xf>
    <xf numFmtId="180" fontId="8" fillId="0" borderId="48" xfId="0" applyNumberFormat="1" applyFont="1" applyBorder="1" applyAlignment="1">
      <alignment vertical="center" shrinkToFit="1"/>
    </xf>
    <xf numFmtId="180" fontId="34" fillId="4" borderId="49" xfId="0" applyNumberFormat="1" applyFont="1" applyFill="1" applyBorder="1" applyAlignment="1">
      <alignment vertical="center" shrinkToFit="1"/>
    </xf>
    <xf numFmtId="180" fontId="8" fillId="0" borderId="50" xfId="0" applyNumberFormat="1" applyFont="1" applyBorder="1" applyAlignment="1">
      <alignment vertical="center" shrinkToFit="1"/>
    </xf>
    <xf numFmtId="180" fontId="8" fillId="0" borderId="49" xfId="0" applyNumberFormat="1" applyFont="1" applyBorder="1" applyAlignment="1">
      <alignment vertical="center" shrinkToFit="1"/>
    </xf>
    <xf numFmtId="180" fontId="34" fillId="0" borderId="47" xfId="0" applyNumberFormat="1" applyFont="1" applyBorder="1" applyAlignment="1">
      <alignment vertical="center" shrinkToFit="1"/>
    </xf>
    <xf numFmtId="180" fontId="35" fillId="3" borderId="51" xfId="0" applyNumberFormat="1" applyFont="1" applyFill="1" applyBorder="1" applyAlignment="1">
      <alignment vertical="center" shrinkToFit="1"/>
    </xf>
    <xf numFmtId="0" fontId="8" fillId="0" borderId="47" xfId="0" quotePrefix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vertical="center" wrapText="1"/>
    </xf>
    <xf numFmtId="181" fontId="36" fillId="0" borderId="0" xfId="0" applyNumberFormat="1" applyFont="1">
      <alignment vertical="center"/>
    </xf>
    <xf numFmtId="0" fontId="36" fillId="0" borderId="0" xfId="0" applyFo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10" fontId="36" fillId="0" borderId="0" xfId="0" applyNumberFormat="1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4" xfId="0" quotePrefix="1" applyFont="1" applyBorder="1" applyAlignment="1">
      <alignment horizontal="center" vertical="center" shrinkToFit="1"/>
    </xf>
    <xf numFmtId="180" fontId="36" fillId="0" borderId="6" xfId="0" applyNumberFormat="1" applyFont="1" applyBorder="1" applyAlignment="1">
      <alignment vertical="center" shrinkToFit="1"/>
    </xf>
    <xf numFmtId="182" fontId="8" fillId="0" borderId="6" xfId="0" applyNumberFormat="1" applyFont="1" applyBorder="1" applyAlignment="1">
      <alignment horizontal="center" vertical="center" wrapText="1"/>
    </xf>
    <xf numFmtId="41" fontId="36" fillId="0" borderId="0" xfId="0" applyNumberFormat="1" applyFont="1">
      <alignment vertical="center"/>
    </xf>
    <xf numFmtId="41" fontId="8" fillId="0" borderId="0" xfId="0" applyNumberFormat="1" applyFont="1">
      <alignment vertical="center"/>
    </xf>
    <xf numFmtId="180" fontId="8" fillId="0" borderId="1" xfId="0" applyNumberFormat="1" applyFont="1" applyBorder="1" applyAlignment="1">
      <alignment vertical="center" shrinkToFit="1"/>
    </xf>
    <xf numFmtId="180" fontId="8" fillId="0" borderId="24" xfId="0" applyNumberFormat="1" applyFont="1" applyBorder="1" applyAlignment="1">
      <alignment vertical="center" shrinkToFit="1"/>
    </xf>
    <xf numFmtId="180" fontId="34" fillId="4" borderId="26" xfId="0" applyNumberFormat="1" applyFont="1" applyFill="1" applyBorder="1" applyAlignment="1">
      <alignment vertical="center" shrinkToFit="1"/>
    </xf>
    <xf numFmtId="180" fontId="8" fillId="0" borderId="18" xfId="0" applyNumberFormat="1" applyFont="1" applyBorder="1" applyAlignment="1">
      <alignment vertical="center" shrinkToFit="1"/>
    </xf>
    <xf numFmtId="180" fontId="8" fillId="0" borderId="26" xfId="0" applyNumberFormat="1" applyFont="1" applyBorder="1" applyAlignment="1">
      <alignment vertical="center" shrinkToFit="1"/>
    </xf>
    <xf numFmtId="180" fontId="34" fillId="0" borderId="3" xfId="0" applyNumberFormat="1" applyFont="1" applyBorder="1" applyAlignment="1">
      <alignment vertical="center" shrinkToFit="1"/>
    </xf>
    <xf numFmtId="180" fontId="35" fillId="3" borderId="57" xfId="0" applyNumberFormat="1" applyFont="1" applyFill="1" applyBorder="1" applyAlignment="1">
      <alignment vertical="center" shrinkToFi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shrinkToFit="1"/>
    </xf>
    <xf numFmtId="180" fontId="8" fillId="0" borderId="4" xfId="0" applyNumberFormat="1" applyFont="1" applyBorder="1" applyAlignment="1">
      <alignment vertical="center" shrinkToFit="1"/>
    </xf>
    <xf numFmtId="183" fontId="8" fillId="0" borderId="1" xfId="0" quotePrefix="1" applyNumberFormat="1" applyFont="1" applyBorder="1" applyAlignment="1">
      <alignment horizontal="center" vertical="center" wrapText="1"/>
    </xf>
    <xf numFmtId="9" fontId="36" fillId="0" borderId="0" xfId="0" applyNumberFormat="1" applyFont="1">
      <alignment vertical="center"/>
    </xf>
    <xf numFmtId="180" fontId="36" fillId="0" borderId="1" xfId="0" applyNumberFormat="1" applyFont="1" applyBorder="1" applyAlignment="1">
      <alignment vertical="center" shrinkToFit="1"/>
    </xf>
    <xf numFmtId="180" fontId="36" fillId="0" borderId="2" xfId="0" applyNumberFormat="1" applyFont="1" applyBorder="1" applyAlignment="1">
      <alignment vertical="center" shrinkToFit="1"/>
    </xf>
    <xf numFmtId="180" fontId="36" fillId="0" borderId="4" xfId="0" applyNumberFormat="1" applyFont="1" applyBorder="1" applyAlignment="1">
      <alignment vertical="center" shrinkToFit="1"/>
    </xf>
    <xf numFmtId="180" fontId="36" fillId="0" borderId="26" xfId="0" applyNumberFormat="1" applyFont="1" applyBorder="1" applyAlignment="1">
      <alignment vertical="center" shrinkToFit="1"/>
    </xf>
    <xf numFmtId="0" fontId="8" fillId="0" borderId="4" xfId="0" quotePrefix="1" applyFont="1" applyBorder="1" applyAlignment="1">
      <alignment horizontal="center" vertical="center" wrapText="1"/>
    </xf>
    <xf numFmtId="180" fontId="8" fillId="0" borderId="2" xfId="0" applyNumberFormat="1" applyFont="1" applyBorder="1" applyAlignment="1">
      <alignment vertical="center" shrinkToFit="1"/>
    </xf>
    <xf numFmtId="180" fontId="34" fillId="0" borderId="9" xfId="0" applyNumberFormat="1" applyFont="1" applyBorder="1" applyAlignment="1">
      <alignment vertical="center" shrinkToFit="1"/>
    </xf>
    <xf numFmtId="180" fontId="34" fillId="4" borderId="58" xfId="0" applyNumberFormat="1" applyFont="1" applyFill="1" applyBorder="1" applyAlignment="1">
      <alignment vertical="center" shrinkToFit="1"/>
    </xf>
    <xf numFmtId="180" fontId="8" fillId="0" borderId="58" xfId="0" applyNumberFormat="1" applyFont="1" applyBorder="1" applyAlignment="1">
      <alignment vertical="center" shrinkToFit="1"/>
    </xf>
    <xf numFmtId="180" fontId="35" fillId="3" borderId="59" xfId="0" applyNumberFormat="1" applyFont="1" applyFill="1" applyBorder="1" applyAlignment="1">
      <alignment vertical="center" shrinkToFit="1"/>
    </xf>
    <xf numFmtId="181" fontId="8" fillId="0" borderId="0" xfId="0" applyNumberFormat="1" applyFont="1">
      <alignment vertical="center"/>
    </xf>
    <xf numFmtId="180" fontId="8" fillId="0" borderId="0" xfId="0" applyNumberFormat="1" applyFont="1">
      <alignment vertical="center"/>
    </xf>
    <xf numFmtId="180" fontId="8" fillId="0" borderId="0" xfId="0" applyNumberFormat="1" applyFont="1" applyAlignment="1">
      <alignment vertical="center" shrinkToFit="1"/>
    </xf>
    <xf numFmtId="0" fontId="8" fillId="0" borderId="0" xfId="0" applyFont="1" applyAlignment="1">
      <alignment vertical="center" shrinkToFit="1"/>
    </xf>
    <xf numFmtId="41" fontId="37" fillId="0" borderId="0" xfId="0" applyNumberFormat="1" applyFont="1">
      <alignment vertical="center"/>
    </xf>
    <xf numFmtId="180" fontId="36" fillId="0" borderId="5" xfId="0" applyNumberFormat="1" applyFont="1" applyBorder="1" applyAlignment="1">
      <alignment horizontal="right" vertical="center" wrapText="1" indent="1"/>
    </xf>
    <xf numFmtId="0" fontId="8" fillId="0" borderId="5" xfId="0" quotePrefix="1" applyFont="1" applyBorder="1" applyAlignment="1">
      <alignment horizontal="left" vertical="center" wrapText="1" indent="1"/>
    </xf>
    <xf numFmtId="180" fontId="8" fillId="0" borderId="6" xfId="0" applyNumberFormat="1" applyFont="1" applyBorder="1" applyAlignment="1">
      <alignment horizontal="right" vertical="center" wrapText="1" indent="1"/>
    </xf>
    <xf numFmtId="0" fontId="8" fillId="0" borderId="6" xfId="0" quotePrefix="1" applyFont="1" applyBorder="1" applyAlignment="1">
      <alignment horizontal="left" vertical="center" wrapText="1" indent="1"/>
    </xf>
    <xf numFmtId="180" fontId="8" fillId="0" borderId="7" xfId="0" applyNumberFormat="1" applyFont="1" applyBorder="1" applyAlignment="1">
      <alignment horizontal="right" vertical="center" wrapText="1" indent="1"/>
    </xf>
    <xf numFmtId="0" fontId="8" fillId="0" borderId="7" xfId="0" quotePrefix="1" applyFont="1" applyBorder="1" applyAlignment="1">
      <alignment horizontal="left" vertical="center" wrapText="1" indent="1"/>
    </xf>
    <xf numFmtId="0" fontId="8" fillId="0" borderId="6" xfId="0" quotePrefix="1" applyFont="1" applyBorder="1" applyAlignment="1">
      <alignment horizontal="left" vertical="center" indent="1" shrinkToFit="1"/>
    </xf>
    <xf numFmtId="0" fontId="37" fillId="0" borderId="0" xfId="0" applyFont="1">
      <alignment vertical="center"/>
    </xf>
    <xf numFmtId="180" fontId="8" fillId="0" borderId="1" xfId="0" applyNumberFormat="1" applyFont="1" applyBorder="1" applyAlignment="1">
      <alignment horizontal="right" vertical="center" wrapText="1" indent="1"/>
    </xf>
    <xf numFmtId="0" fontId="8" fillId="0" borderId="1" xfId="0" quotePrefix="1" applyFont="1" applyBorder="1" applyAlignment="1">
      <alignment horizontal="left" vertical="center" wrapText="1" indent="1"/>
    </xf>
    <xf numFmtId="180" fontId="36" fillId="0" borderId="1" xfId="0" applyNumberFormat="1" applyFont="1" applyBorder="1" applyAlignment="1">
      <alignment horizontal="right" vertical="center" wrapText="1" indent="1"/>
    </xf>
    <xf numFmtId="0" fontId="34" fillId="0" borderId="0" xfId="0" applyFont="1">
      <alignment vertical="center"/>
    </xf>
    <xf numFmtId="0" fontId="34" fillId="0" borderId="53" xfId="0" applyFont="1" applyBorder="1">
      <alignment vertical="center"/>
    </xf>
    <xf numFmtId="0" fontId="34" fillId="0" borderId="65" xfId="0" quotePrefix="1" applyFont="1" applyBorder="1" applyAlignment="1">
      <alignment vertical="center" wrapText="1"/>
    </xf>
    <xf numFmtId="0" fontId="34" fillId="0" borderId="65" xfId="0" applyFont="1" applyBorder="1" applyAlignment="1">
      <alignment vertical="center" wrapText="1"/>
    </xf>
    <xf numFmtId="180" fontId="34" fillId="0" borderId="65" xfId="0" applyNumberFormat="1" applyFont="1" applyBorder="1" applyAlignment="1">
      <alignment vertical="center" wrapText="1"/>
    </xf>
    <xf numFmtId="0" fontId="36" fillId="0" borderId="65" xfId="0" quotePrefix="1" applyFont="1" applyBorder="1" applyAlignment="1">
      <alignment vertical="center" wrapText="1"/>
    </xf>
    <xf numFmtId="0" fontId="34" fillId="0" borderId="0" xfId="0" quotePrefix="1" applyFont="1">
      <alignment vertical="center"/>
    </xf>
    <xf numFmtId="180" fontId="34" fillId="0" borderId="0" xfId="0" applyNumberFormat="1" applyFont="1">
      <alignment vertical="center"/>
    </xf>
    <xf numFmtId="0" fontId="40" fillId="0" borderId="0" xfId="0" applyFont="1">
      <alignment vertical="center"/>
    </xf>
    <xf numFmtId="0" fontId="34" fillId="0" borderId="65" xfId="0" applyFont="1" applyBorder="1" applyAlignment="1">
      <alignment horizontal="center" vertical="center" wrapText="1"/>
    </xf>
    <xf numFmtId="0" fontId="36" fillId="0" borderId="65" xfId="0" quotePrefix="1" applyFont="1" applyBorder="1" applyAlignment="1">
      <alignment horizontal="center" vertical="center" wrapText="1"/>
    </xf>
    <xf numFmtId="41" fontId="34" fillId="0" borderId="0" xfId="0" applyNumberFormat="1" applyFont="1">
      <alignment vertical="center"/>
    </xf>
    <xf numFmtId="181" fontId="34" fillId="0" borderId="0" xfId="0" applyNumberFormat="1" applyFont="1">
      <alignment vertical="center"/>
    </xf>
    <xf numFmtId="181" fontId="40" fillId="0" borderId="0" xfId="0" applyNumberFormat="1" applyFont="1">
      <alignment vertical="center"/>
    </xf>
    <xf numFmtId="0" fontId="36" fillId="0" borderId="65" xfId="0" applyFont="1" applyBorder="1" applyAlignment="1">
      <alignment horizontal="center" vertical="center" wrapText="1"/>
    </xf>
    <xf numFmtId="0" fontId="34" fillId="9" borderId="65" xfId="0" applyFont="1" applyFill="1" applyBorder="1" applyAlignment="1">
      <alignment horizontal="center" vertical="center" wrapText="1"/>
    </xf>
    <xf numFmtId="0" fontId="34" fillId="9" borderId="65" xfId="0" quotePrefix="1" applyFont="1" applyFill="1" applyBorder="1" applyAlignment="1">
      <alignment vertical="center" wrapText="1"/>
    </xf>
    <xf numFmtId="0" fontId="34" fillId="9" borderId="65" xfId="0" applyFont="1" applyFill="1" applyBorder="1" applyAlignment="1">
      <alignment vertical="center" wrapText="1"/>
    </xf>
    <xf numFmtId="180" fontId="34" fillId="9" borderId="65" xfId="0" applyNumberFormat="1" applyFont="1" applyFill="1" applyBorder="1" applyAlignment="1">
      <alignment vertical="center" wrapText="1"/>
    </xf>
    <xf numFmtId="0" fontId="36" fillId="9" borderId="65" xfId="0" quotePrefix="1" applyFont="1" applyFill="1" applyBorder="1" applyAlignment="1">
      <alignment horizontal="center" vertical="center" wrapText="1"/>
    </xf>
    <xf numFmtId="0" fontId="34" fillId="10" borderId="65" xfId="0" applyFont="1" applyFill="1" applyBorder="1" applyAlignment="1">
      <alignment horizontal="center" vertical="center" wrapText="1"/>
    </xf>
    <xf numFmtId="0" fontId="34" fillId="10" borderId="65" xfId="0" quotePrefix="1" applyFont="1" applyFill="1" applyBorder="1" applyAlignment="1">
      <alignment vertical="center" wrapText="1"/>
    </xf>
    <xf numFmtId="0" fontId="34" fillId="10" borderId="65" xfId="0" applyFont="1" applyFill="1" applyBorder="1" applyAlignment="1">
      <alignment vertical="center" wrapText="1"/>
    </xf>
    <xf numFmtId="180" fontId="34" fillId="10" borderId="65" xfId="0" applyNumberFormat="1" applyFont="1" applyFill="1" applyBorder="1" applyAlignment="1">
      <alignment vertical="center" wrapText="1"/>
    </xf>
    <xf numFmtId="0" fontId="36" fillId="10" borderId="65" xfId="0" quotePrefix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1" fillId="0" borderId="24" xfId="0" applyFont="1" applyBorder="1">
      <alignment vertical="center"/>
    </xf>
    <xf numFmtId="0" fontId="31" fillId="0" borderId="72" xfId="0" applyFont="1" applyBorder="1">
      <alignment vertical="center"/>
    </xf>
    <xf numFmtId="41" fontId="31" fillId="0" borderId="1" xfId="0" applyNumberFormat="1" applyFont="1" applyBorder="1">
      <alignment vertical="center"/>
    </xf>
    <xf numFmtId="41" fontId="31" fillId="0" borderId="71" xfId="0" applyNumberFormat="1" applyFont="1" applyBorder="1">
      <alignment vertical="center"/>
    </xf>
    <xf numFmtId="0" fontId="31" fillId="3" borderId="1" xfId="0" applyFont="1" applyFill="1" applyBorder="1" applyAlignment="1">
      <alignment horizontal="distributed" vertical="center" indent="1"/>
    </xf>
    <xf numFmtId="180" fontId="36" fillId="0" borderId="24" xfId="0" applyNumberFormat="1" applyFont="1" applyBorder="1" applyAlignment="1">
      <alignment vertical="center" shrinkToFit="1"/>
    </xf>
    <xf numFmtId="0" fontId="3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45" fillId="0" borderId="0" xfId="0" applyFont="1" applyAlignment="1">
      <alignment horizontal="right" vertical="center" indent="1"/>
    </xf>
    <xf numFmtId="0" fontId="32" fillId="0" borderId="0" xfId="0" applyFont="1">
      <alignment vertical="center"/>
    </xf>
    <xf numFmtId="0" fontId="8" fillId="0" borderId="73" xfId="0" applyFont="1" applyBorder="1" applyAlignment="1">
      <alignment horizontal="distributed" vertical="center" wrapText="1" indent="1"/>
    </xf>
    <xf numFmtId="0" fontId="35" fillId="0" borderId="66" xfId="0" applyFont="1" applyBorder="1" applyAlignment="1">
      <alignment vertical="center" wrapText="1"/>
    </xf>
    <xf numFmtId="0" fontId="34" fillId="0" borderId="40" xfId="0" applyFont="1" applyBorder="1" applyAlignment="1">
      <alignment vertical="center" wrapText="1"/>
    </xf>
    <xf numFmtId="0" fontId="34" fillId="0" borderId="66" xfId="0" applyFont="1" applyBorder="1" applyAlignment="1">
      <alignment vertical="center" wrapText="1"/>
    </xf>
    <xf numFmtId="0" fontId="7" fillId="12" borderId="65" xfId="0" quotePrefix="1" applyFont="1" applyFill="1" applyBorder="1" applyAlignment="1">
      <alignment horizontal="center" vertical="center"/>
    </xf>
    <xf numFmtId="182" fontId="8" fillId="0" borderId="6" xfId="0" applyNumberFormat="1" applyFont="1" applyBorder="1" applyAlignment="1">
      <alignment horizontal="center" vertical="center" shrinkToFit="1"/>
    </xf>
    <xf numFmtId="0" fontId="46" fillId="0" borderId="0" xfId="0" applyFont="1">
      <alignment vertical="center"/>
    </xf>
    <xf numFmtId="0" fontId="46" fillId="0" borderId="66" xfId="0" applyFont="1" applyBorder="1" applyAlignment="1">
      <alignment vertical="center" wrapText="1"/>
    </xf>
    <xf numFmtId="0" fontId="46" fillId="0" borderId="65" xfId="0" quotePrefix="1" applyFont="1" applyBorder="1" applyAlignment="1">
      <alignment vertical="center" wrapText="1"/>
    </xf>
    <xf numFmtId="0" fontId="46" fillId="0" borderId="65" xfId="0" applyFont="1" applyBorder="1" applyAlignment="1">
      <alignment horizontal="center" vertical="center" wrapText="1"/>
    </xf>
    <xf numFmtId="0" fontId="46" fillId="0" borderId="65" xfId="0" applyFont="1" applyBorder="1" applyAlignment="1">
      <alignment vertical="center" wrapText="1"/>
    </xf>
    <xf numFmtId="180" fontId="46" fillId="0" borderId="65" xfId="0" applyNumberFormat="1" applyFont="1" applyBorder="1" applyAlignment="1">
      <alignment vertical="center" wrapText="1"/>
    </xf>
    <xf numFmtId="180" fontId="44" fillId="0" borderId="0" xfId="0" applyNumberFormat="1" applyFont="1">
      <alignment vertical="center"/>
    </xf>
    <xf numFmtId="0" fontId="47" fillId="0" borderId="0" xfId="0" applyFont="1" applyAlignment="1"/>
    <xf numFmtId="176" fontId="47" fillId="0" borderId="0" xfId="0" applyNumberFormat="1" applyFont="1" applyAlignment="1"/>
    <xf numFmtId="0" fontId="48" fillId="0" borderId="0" xfId="0" applyFont="1" applyAlignment="1"/>
    <xf numFmtId="0" fontId="47" fillId="5" borderId="1" xfId="0" applyFont="1" applyFill="1" applyBorder="1" applyAlignment="1"/>
    <xf numFmtId="0" fontId="47" fillId="6" borderId="1" xfId="0" applyFont="1" applyFill="1" applyBorder="1" applyAlignment="1">
      <alignment horizontal="center"/>
    </xf>
    <xf numFmtId="176" fontId="47" fillId="6" borderId="1" xfId="0" applyNumberFormat="1" applyFont="1" applyFill="1" applyBorder="1" applyAlignment="1">
      <alignment horizontal="center"/>
    </xf>
    <xf numFmtId="0" fontId="47" fillId="6" borderId="1" xfId="0" applyFont="1" applyFill="1" applyBorder="1" applyAlignment="1"/>
    <xf numFmtId="0" fontId="50" fillId="6" borderId="1" xfId="0" applyFont="1" applyFill="1" applyBorder="1" applyAlignment="1"/>
    <xf numFmtId="0" fontId="47" fillId="5" borderId="1" xfId="0" applyFont="1" applyFill="1" applyBorder="1" applyAlignment="1">
      <alignment horizontal="center"/>
    </xf>
    <xf numFmtId="176" fontId="47" fillId="5" borderId="1" xfId="0" applyNumberFormat="1" applyFont="1" applyFill="1" applyBorder="1" applyAlignment="1">
      <alignment horizontal="center"/>
    </xf>
    <xf numFmtId="0" fontId="51" fillId="5" borderId="1" xfId="0" applyFont="1" applyFill="1" applyBorder="1" applyAlignment="1"/>
    <xf numFmtId="176" fontId="47" fillId="5" borderId="1" xfId="0" applyNumberFormat="1" applyFont="1" applyFill="1" applyBorder="1" applyAlignment="1"/>
    <xf numFmtId="0" fontId="52" fillId="5" borderId="1" xfId="0" applyFont="1" applyFill="1" applyBorder="1" applyAlignment="1">
      <alignment horizontal="center"/>
    </xf>
    <xf numFmtId="0" fontId="53" fillId="0" borderId="0" xfId="0" applyFont="1" applyAlignment="1"/>
    <xf numFmtId="176" fontId="51" fillId="5" borderId="1" xfId="0" applyNumberFormat="1" applyFont="1" applyFill="1" applyBorder="1" applyAlignment="1"/>
    <xf numFmtId="176" fontId="48" fillId="0" borderId="0" xfId="0" applyNumberFormat="1" applyFont="1" applyAlignment="1"/>
    <xf numFmtId="0" fontId="50" fillId="7" borderId="1" xfId="0" applyFont="1" applyFill="1" applyBorder="1" applyAlignment="1"/>
    <xf numFmtId="0" fontId="53" fillId="5" borderId="1" xfId="0" applyFont="1" applyFill="1" applyBorder="1" applyAlignment="1">
      <alignment horizontal="center"/>
    </xf>
    <xf numFmtId="0" fontId="47" fillId="5" borderId="1" xfId="0" applyFont="1" applyFill="1" applyBorder="1" applyAlignment="1">
      <alignment horizontal="right"/>
    </xf>
    <xf numFmtId="176" fontId="47" fillId="5" borderId="1" xfId="0" applyNumberFormat="1" applyFont="1" applyFill="1" applyBorder="1" applyAlignment="1">
      <alignment horizontal="right"/>
    </xf>
    <xf numFmtId="176" fontId="53" fillId="5" borderId="1" xfId="0" applyNumberFormat="1" applyFont="1" applyFill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176" fontId="54" fillId="5" borderId="1" xfId="0" applyNumberFormat="1" applyFont="1" applyFill="1" applyBorder="1" applyAlignment="1">
      <alignment horizontal="right"/>
    </xf>
    <xf numFmtId="0" fontId="54" fillId="5" borderId="1" xfId="0" applyFont="1" applyFill="1" applyBorder="1" applyAlignment="1">
      <alignment horizontal="right"/>
    </xf>
    <xf numFmtId="177" fontId="51" fillId="6" borderId="1" xfId="0" applyNumberFormat="1" applyFont="1" applyFill="1" applyBorder="1" applyAlignment="1"/>
    <xf numFmtId="178" fontId="47" fillId="0" borderId="0" xfId="0" applyNumberFormat="1" applyFont="1" applyAlignment="1"/>
    <xf numFmtId="178" fontId="51" fillId="5" borderId="1" xfId="0" applyNumberFormat="1" applyFont="1" applyFill="1" applyBorder="1" applyAlignment="1"/>
    <xf numFmtId="0" fontId="48" fillId="5" borderId="1" xfId="0" applyFont="1" applyFill="1" applyBorder="1" applyAlignment="1"/>
    <xf numFmtId="0" fontId="55" fillId="5" borderId="1" xfId="0" applyFont="1" applyFill="1" applyBorder="1" applyAlignment="1">
      <alignment horizontal="center"/>
    </xf>
    <xf numFmtId="0" fontId="54" fillId="0" borderId="0" xfId="0" applyFont="1" applyAlignment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185" fontId="50" fillId="6" borderId="1" xfId="0" applyNumberFormat="1" applyFont="1" applyFill="1" applyBorder="1" applyAlignment="1"/>
    <xf numFmtId="0" fontId="55" fillId="5" borderId="1" xfId="0" applyFont="1" applyFill="1" applyBorder="1" applyAlignment="1">
      <alignment horizontal="right"/>
    </xf>
    <xf numFmtId="176" fontId="53" fillId="5" borderId="1" xfId="0" applyNumberFormat="1" applyFont="1" applyFill="1" applyBorder="1" applyAlignment="1">
      <alignment horizontal="center" shrinkToFit="1"/>
    </xf>
    <xf numFmtId="176" fontId="53" fillId="5" borderId="1" xfId="0" applyNumberFormat="1" applyFont="1" applyFill="1" applyBorder="1" applyAlignment="1"/>
    <xf numFmtId="179" fontId="47" fillId="5" borderId="1" xfId="0" applyNumberFormat="1" applyFont="1" applyFill="1" applyBorder="1" applyAlignment="1"/>
    <xf numFmtId="0" fontId="47" fillId="5" borderId="0" xfId="0" applyFont="1" applyFill="1" applyAlignment="1"/>
    <xf numFmtId="179" fontId="47" fillId="5" borderId="0" xfId="0" applyNumberFormat="1" applyFont="1" applyFill="1" applyAlignment="1"/>
    <xf numFmtId="0" fontId="0" fillId="0" borderId="0" xfId="0" quotePrefix="1" applyProtection="1">
      <alignment vertical="center"/>
      <protection locked="0"/>
    </xf>
    <xf numFmtId="0" fontId="31" fillId="13" borderId="68" xfId="0" applyFont="1" applyFill="1" applyBorder="1" applyAlignment="1">
      <alignment horizontal="distributed" vertical="center" indent="1"/>
    </xf>
    <xf numFmtId="0" fontId="31" fillId="13" borderId="69" xfId="0" applyFont="1" applyFill="1" applyBorder="1" applyAlignment="1">
      <alignment horizontal="distributed" vertical="center" indent="1"/>
    </xf>
    <xf numFmtId="0" fontId="8" fillId="13" borderId="1" xfId="0" applyFont="1" applyFill="1" applyBorder="1" applyAlignment="1">
      <alignment horizontal="distributed" vertical="center" wrapText="1" indent="1"/>
    </xf>
    <xf numFmtId="0" fontId="8" fillId="13" borderId="24" xfId="0" applyFont="1" applyFill="1" applyBorder="1" applyAlignment="1">
      <alignment horizontal="distributed" vertical="center" wrapText="1" indent="1"/>
    </xf>
    <xf numFmtId="0" fontId="8" fillId="13" borderId="18" xfId="0" applyFont="1" applyFill="1" applyBorder="1" applyAlignment="1">
      <alignment horizontal="distributed" vertical="center" wrapText="1" indent="1"/>
    </xf>
    <xf numFmtId="0" fontId="8" fillId="13" borderId="1" xfId="0" quotePrefix="1" applyFont="1" applyFill="1" applyBorder="1" applyAlignment="1">
      <alignment horizontal="center" vertical="center" wrapText="1"/>
    </xf>
    <xf numFmtId="41" fontId="2" fillId="2" borderId="0" xfId="0" applyNumberFormat="1" applyFont="1" applyFill="1" applyProtection="1">
      <alignment vertical="center"/>
      <protection locked="0"/>
    </xf>
    <xf numFmtId="0" fontId="8" fillId="0" borderId="65" xfId="0" applyFont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31" fillId="0" borderId="24" xfId="0" applyFont="1" applyBorder="1" applyAlignment="1">
      <alignment horizontal="center" vertical="center" shrinkToFit="1"/>
    </xf>
    <xf numFmtId="0" fontId="35" fillId="0" borderId="40" xfId="0" applyFont="1" applyBorder="1" applyAlignment="1">
      <alignment horizontal="left" vertical="center" wrapText="1" indent="1"/>
    </xf>
    <xf numFmtId="0" fontId="34" fillId="0" borderId="40" xfId="0" applyFont="1" applyBorder="1" applyAlignment="1">
      <alignment horizontal="left" vertical="center" wrapText="1" indent="1"/>
    </xf>
    <xf numFmtId="0" fontId="46" fillId="0" borderId="40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center" vertical="center" shrinkToFit="1"/>
    </xf>
    <xf numFmtId="180" fontId="34" fillId="0" borderId="1" xfId="0" applyNumberFormat="1" applyFont="1" applyBorder="1" applyAlignment="1">
      <alignment vertical="center" shrinkToFit="1"/>
    </xf>
    <xf numFmtId="180" fontId="34" fillId="0" borderId="4" xfId="0" applyNumberFormat="1" applyFont="1" applyBorder="1" applyAlignment="1">
      <alignment vertical="center" shrinkToFit="1"/>
    </xf>
    <xf numFmtId="180" fontId="34" fillId="0" borderId="26" xfId="0" applyNumberFormat="1" applyFont="1" applyBorder="1" applyAlignment="1">
      <alignment vertical="center" shrinkToFit="1"/>
    </xf>
    <xf numFmtId="180" fontId="36" fillId="0" borderId="41" xfId="0" applyNumberFormat="1" applyFont="1" applyBorder="1" applyAlignment="1">
      <alignment vertical="center" shrinkToFit="1"/>
    </xf>
    <xf numFmtId="180" fontId="36" fillId="0" borderId="43" xfId="0" applyNumberFormat="1" applyFont="1" applyBorder="1" applyAlignment="1">
      <alignment vertical="center" shrinkToFit="1"/>
    </xf>
    <xf numFmtId="180" fontId="36" fillId="0" borderId="42" xfId="0" applyNumberFormat="1" applyFont="1" applyBorder="1" applyAlignment="1">
      <alignment vertical="center" shrinkToFit="1"/>
    </xf>
    <xf numFmtId="0" fontId="8" fillId="0" borderId="36" xfId="0" applyFont="1" applyBorder="1" applyAlignment="1">
      <alignment horizontal="center" vertical="center" shrinkToFit="1"/>
    </xf>
    <xf numFmtId="41" fontId="51" fillId="5" borderId="1" xfId="0" applyNumberFormat="1" applyFont="1" applyFill="1" applyBorder="1" applyAlignment="1"/>
    <xf numFmtId="0" fontId="34" fillId="4" borderId="66" xfId="0" applyFont="1" applyFill="1" applyBorder="1" applyAlignment="1">
      <alignment vertical="center" wrapText="1"/>
    </xf>
    <xf numFmtId="0" fontId="46" fillId="4" borderId="66" xfId="0" applyFont="1" applyFill="1" applyBorder="1" applyAlignment="1">
      <alignment vertical="center" wrapText="1"/>
    </xf>
    <xf numFmtId="0" fontId="35" fillId="4" borderId="66" xfId="0" applyFont="1" applyFill="1" applyBorder="1" applyAlignment="1">
      <alignment vertical="center" wrapText="1"/>
    </xf>
    <xf numFmtId="3" fontId="58" fillId="2" borderId="0" xfId="0" applyNumberFormat="1" applyFont="1" applyFill="1" applyProtection="1">
      <alignment vertical="center"/>
      <protection locked="0"/>
    </xf>
    <xf numFmtId="186" fontId="5" fillId="2" borderId="0" xfId="0" applyNumberFormat="1" applyFont="1" applyFill="1" applyProtection="1">
      <alignment vertical="center"/>
      <protection locked="0"/>
    </xf>
    <xf numFmtId="187" fontId="34" fillId="0" borderId="40" xfId="0" applyNumberFormat="1" applyFont="1" applyBorder="1" applyAlignment="1">
      <alignment horizontal="left" vertical="center" wrapText="1" indent="1"/>
    </xf>
    <xf numFmtId="0" fontId="59" fillId="0" borderId="0" xfId="0" applyFont="1" applyAlignment="1"/>
    <xf numFmtId="0" fontId="60" fillId="0" borderId="0" xfId="0" applyFont="1" applyAlignment="1"/>
    <xf numFmtId="180" fontId="34" fillId="0" borderId="79" xfId="0" applyNumberFormat="1" applyFont="1" applyBorder="1" applyAlignment="1">
      <alignment vertical="center" shrinkToFit="1"/>
    </xf>
    <xf numFmtId="0" fontId="34" fillId="0" borderId="40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38" fillId="0" borderId="0" xfId="0" applyFont="1" applyAlignment="1" applyProtection="1">
      <alignment horizontal="center" vertical="center"/>
      <protection locked="0"/>
    </xf>
    <xf numFmtId="180" fontId="8" fillId="0" borderId="0" xfId="0" applyNumberFormat="1" applyFont="1" applyProtection="1">
      <alignment vertical="center"/>
      <protection locked="0"/>
    </xf>
    <xf numFmtId="0" fontId="46" fillId="0" borderId="40" xfId="0" applyFont="1" applyBorder="1" applyAlignment="1">
      <alignment horizontal="center" vertical="center" wrapText="1"/>
    </xf>
    <xf numFmtId="0" fontId="46" fillId="0" borderId="65" xfId="0" quotePrefix="1" applyFont="1" applyBorder="1" applyAlignment="1">
      <alignment horizontal="center" vertical="center" wrapText="1"/>
    </xf>
    <xf numFmtId="3" fontId="34" fillId="0" borderId="0" xfId="0" applyNumberFormat="1" applyFont="1">
      <alignment vertical="center"/>
    </xf>
    <xf numFmtId="0" fontId="38" fillId="0" borderId="0" xfId="0" applyFont="1" applyAlignment="1">
      <alignment horizontal="center" vertical="center"/>
    </xf>
    <xf numFmtId="184" fontId="6" fillId="2" borderId="0" xfId="0" applyNumberFormat="1" applyFont="1" applyFill="1" applyProtection="1">
      <alignment vertical="center"/>
      <protection locked="0"/>
    </xf>
    <xf numFmtId="0" fontId="8" fillId="0" borderId="5" xfId="0" applyFont="1" applyBorder="1" applyAlignment="1">
      <alignment horizontal="center" vertical="center" wrapText="1" shrinkToFit="1"/>
    </xf>
    <xf numFmtId="0" fontId="8" fillId="0" borderId="64" xfId="0" quotePrefix="1" applyFont="1" applyBorder="1" applyAlignment="1">
      <alignment vertical="center" wrapText="1"/>
    </xf>
    <xf numFmtId="180" fontId="34" fillId="4" borderId="81" xfId="0" applyNumberFormat="1" applyFont="1" applyFill="1" applyBorder="1" applyAlignment="1">
      <alignment vertical="center" shrinkToFit="1"/>
    </xf>
    <xf numFmtId="180" fontId="8" fillId="0" borderId="81" xfId="0" applyNumberFormat="1" applyFont="1" applyBorder="1" applyAlignment="1">
      <alignment vertical="center" shrinkToFit="1"/>
    </xf>
    <xf numFmtId="180" fontId="34" fillId="0" borderId="80" xfId="0" applyNumberFormat="1" applyFont="1" applyBorder="1" applyAlignment="1">
      <alignment vertical="center" shrinkToFit="1"/>
    </xf>
    <xf numFmtId="180" fontId="35" fillId="3" borderId="82" xfId="0" applyNumberFormat="1" applyFont="1" applyFill="1" applyBorder="1" applyAlignment="1">
      <alignment vertical="center" shrinkToFit="1"/>
    </xf>
    <xf numFmtId="0" fontId="8" fillId="0" borderId="80" xfId="0" quotePrefix="1" applyFont="1" applyBorder="1" applyAlignment="1">
      <alignment horizontal="center" vertical="center" shrinkToFit="1"/>
    </xf>
    <xf numFmtId="0" fontId="61" fillId="0" borderId="0" xfId="0" quotePrefix="1" applyFont="1" applyAlignment="1">
      <alignment horizontal="centerContinuous" vertical="center"/>
    </xf>
    <xf numFmtId="0" fontId="61" fillId="0" borderId="0" xfId="0" applyFont="1" applyAlignment="1">
      <alignment horizontal="centerContinuous" vertical="center"/>
    </xf>
    <xf numFmtId="0" fontId="0" fillId="0" borderId="83" xfId="0" quotePrefix="1" applyFont="1" applyBorder="1" applyAlignment="1">
      <alignment vertical="center"/>
    </xf>
    <xf numFmtId="0" fontId="9" fillId="0" borderId="84" xfId="0" applyFont="1" applyBorder="1" applyAlignment="1">
      <alignment vertical="center"/>
    </xf>
    <xf numFmtId="0" fontId="9" fillId="0" borderId="85" xfId="0" applyFont="1" applyBorder="1" applyAlignment="1">
      <alignment vertical="center"/>
    </xf>
    <xf numFmtId="0" fontId="57" fillId="0" borderId="65" xfId="0" quotePrefix="1" applyFont="1" applyBorder="1" applyAlignment="1">
      <alignment vertical="center" wrapText="1"/>
    </xf>
    <xf numFmtId="0" fontId="57" fillId="0" borderId="65" xfId="0" applyFont="1" applyBorder="1" applyAlignment="1">
      <alignment vertical="center" wrapText="1"/>
    </xf>
    <xf numFmtId="180" fontId="57" fillId="0" borderId="65" xfId="0" applyNumberFormat="1" applyFont="1" applyBorder="1" applyAlignment="1">
      <alignment vertical="center" wrapText="1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180" fontId="0" fillId="0" borderId="0" xfId="0" applyNumberFormat="1" applyAlignment="1">
      <alignment vertical="center"/>
    </xf>
    <xf numFmtId="0" fontId="9" fillId="0" borderId="65" xfId="0" quotePrefix="1" applyFont="1" applyBorder="1" applyAlignment="1">
      <alignment vertical="center" wrapText="1"/>
    </xf>
    <xf numFmtId="0" fontId="9" fillId="0" borderId="65" xfId="0" applyFont="1" applyBorder="1" applyAlignment="1">
      <alignment vertical="center" wrapText="1"/>
    </xf>
    <xf numFmtId="180" fontId="9" fillId="0" borderId="65" xfId="0" applyNumberFormat="1" applyFont="1" applyBorder="1" applyAlignment="1">
      <alignment vertical="center" wrapText="1"/>
    </xf>
    <xf numFmtId="0" fontId="62" fillId="0" borderId="65" xfId="0" quotePrefix="1" applyFont="1" applyBorder="1" applyAlignment="1">
      <alignment vertical="center" wrapText="1"/>
    </xf>
    <xf numFmtId="0" fontId="62" fillId="0" borderId="65" xfId="0" applyFont="1" applyBorder="1" applyAlignment="1">
      <alignment vertical="center" wrapText="1"/>
    </xf>
    <xf numFmtId="180" fontId="62" fillId="0" borderId="65" xfId="0" applyNumberFormat="1" applyFont="1" applyBorder="1" applyAlignment="1">
      <alignment vertical="center" wrapText="1"/>
    </xf>
    <xf numFmtId="180" fontId="0" fillId="0" borderId="0" xfId="0" applyNumberFormat="1">
      <alignment vertical="center"/>
    </xf>
    <xf numFmtId="0" fontId="0" fillId="0" borderId="83" xfId="0" applyFont="1" applyBorder="1" applyAlignment="1">
      <alignment vertical="center"/>
    </xf>
    <xf numFmtId="0" fontId="0" fillId="0" borderId="84" xfId="0" quotePrefix="1" applyFont="1" applyBorder="1" applyAlignment="1">
      <alignment vertical="center"/>
    </xf>
    <xf numFmtId="0" fontId="0" fillId="0" borderId="77" xfId="0" quotePrefix="1" applyFont="1" applyBorder="1" applyAlignment="1">
      <alignment vertical="center" wrapText="1"/>
    </xf>
    <xf numFmtId="192" fontId="0" fillId="0" borderId="0" xfId="0" applyNumberFormat="1" applyAlignment="1">
      <alignment vertical="center"/>
    </xf>
    <xf numFmtId="0" fontId="8" fillId="11" borderId="0" xfId="0" quotePrefix="1" applyFont="1" applyFill="1">
      <alignment vertical="center"/>
    </xf>
    <xf numFmtId="180" fontId="36" fillId="11" borderId="1" xfId="0" applyNumberFormat="1" applyFont="1" applyFill="1" applyBorder="1" applyAlignment="1">
      <alignment horizontal="right" vertical="center" wrapText="1" indent="1"/>
    </xf>
    <xf numFmtId="0" fontId="8" fillId="11" borderId="1" xfId="0" quotePrefix="1" applyFont="1" applyFill="1" applyBorder="1" applyAlignment="1">
      <alignment horizontal="left" vertical="center" wrapText="1" indent="1"/>
    </xf>
    <xf numFmtId="183" fontId="8" fillId="11" borderId="1" xfId="0" quotePrefix="1" applyNumberFormat="1" applyFont="1" applyFill="1" applyBorder="1" applyAlignment="1">
      <alignment horizontal="center" vertical="center" wrapText="1"/>
    </xf>
    <xf numFmtId="0" fontId="8" fillId="11" borderId="0" xfId="0" applyFont="1" applyFill="1">
      <alignment vertical="center"/>
    </xf>
    <xf numFmtId="180" fontId="36" fillId="11" borderId="1" xfId="0" applyNumberFormat="1" applyFont="1" applyFill="1" applyBorder="1" applyAlignment="1">
      <alignment vertical="center" shrinkToFit="1"/>
    </xf>
    <xf numFmtId="180" fontId="36" fillId="11" borderId="24" xfId="0" applyNumberFormat="1" applyFont="1" applyFill="1" applyBorder="1" applyAlignment="1">
      <alignment vertical="center" shrinkToFit="1"/>
    </xf>
    <xf numFmtId="180" fontId="34" fillId="11" borderId="26" xfId="0" applyNumberFormat="1" applyFont="1" applyFill="1" applyBorder="1" applyAlignment="1">
      <alignment vertical="center" shrinkToFit="1"/>
    </xf>
    <xf numFmtId="180" fontId="36" fillId="11" borderId="4" xfId="0" applyNumberFormat="1" applyFont="1" applyFill="1" applyBorder="1" applyAlignment="1">
      <alignment vertical="center" shrinkToFit="1"/>
    </xf>
    <xf numFmtId="180" fontId="36" fillId="11" borderId="26" xfId="0" applyNumberFormat="1" applyFont="1" applyFill="1" applyBorder="1" applyAlignment="1">
      <alignment vertical="center" shrinkToFit="1"/>
    </xf>
    <xf numFmtId="180" fontId="34" fillId="11" borderId="3" xfId="0" applyNumberFormat="1" applyFont="1" applyFill="1" applyBorder="1" applyAlignment="1">
      <alignment vertical="center" shrinkToFit="1"/>
    </xf>
    <xf numFmtId="180" fontId="35" fillId="11" borderId="57" xfId="0" applyNumberFormat="1" applyFont="1" applyFill="1" applyBorder="1" applyAlignment="1">
      <alignment vertical="center" shrinkToFit="1"/>
    </xf>
    <xf numFmtId="0" fontId="8" fillId="11" borderId="4" xfId="0" quotePrefix="1" applyFont="1" applyFill="1" applyBorder="1" applyAlignment="1">
      <alignment horizontal="center" vertical="center" shrinkToFit="1"/>
    </xf>
    <xf numFmtId="10" fontId="36" fillId="11" borderId="0" xfId="0" applyNumberFormat="1" applyFont="1" applyFill="1">
      <alignment vertical="center"/>
    </xf>
    <xf numFmtId="9" fontId="36" fillId="11" borderId="0" xfId="0" applyNumberFormat="1" applyFont="1" applyFill="1">
      <alignment vertical="center"/>
    </xf>
    <xf numFmtId="180" fontId="36" fillId="11" borderId="2" xfId="0" applyNumberFormat="1" applyFont="1" applyFill="1" applyBorder="1" applyAlignment="1">
      <alignment vertical="center" shrinkToFit="1"/>
    </xf>
    <xf numFmtId="0" fontId="8" fillId="11" borderId="4" xfId="0" quotePrefix="1" applyFont="1" applyFill="1" applyBorder="1" applyAlignment="1">
      <alignment horizontal="center" vertical="center" wrapText="1"/>
    </xf>
    <xf numFmtId="0" fontId="8" fillId="11" borderId="1" xfId="0" quotePrefix="1" applyFont="1" applyFill="1" applyBorder="1" applyAlignment="1">
      <alignment vertical="center" wrapText="1"/>
    </xf>
    <xf numFmtId="180" fontId="34" fillId="11" borderId="9" xfId="0" applyNumberFormat="1" applyFont="1" applyFill="1" applyBorder="1" applyAlignment="1">
      <alignment vertical="center" shrinkToFit="1"/>
    </xf>
    <xf numFmtId="0" fontId="34" fillId="0" borderId="0" xfId="0" quotePrefix="1" applyFont="1">
      <alignment vertical="center"/>
    </xf>
    <xf numFmtId="0" fontId="41" fillId="0" borderId="77" xfId="0" quotePrefix="1" applyFont="1" applyBorder="1" applyAlignment="1">
      <alignment horizontal="center" vertical="center"/>
    </xf>
    <xf numFmtId="0" fontId="41" fillId="0" borderId="65" xfId="0" quotePrefix="1" applyFont="1" applyBorder="1" applyAlignment="1">
      <alignment vertical="center" wrapText="1"/>
    </xf>
    <xf numFmtId="0" fontId="41" fillId="0" borderId="65" xfId="0" applyFont="1" applyBorder="1" applyAlignment="1">
      <alignment vertical="center" wrapText="1"/>
    </xf>
    <xf numFmtId="180" fontId="41" fillId="0" borderId="65" xfId="0" applyNumberFormat="1" applyFont="1" applyBorder="1" applyAlignment="1">
      <alignment vertical="center" wrapText="1"/>
    </xf>
    <xf numFmtId="0" fontId="57" fillId="0" borderId="0" xfId="0" applyFont="1">
      <alignment vertical="center"/>
    </xf>
    <xf numFmtId="0" fontId="0" fillId="0" borderId="65" xfId="0" quotePrefix="1" applyFont="1" applyBorder="1" applyAlignment="1">
      <alignment vertical="center" wrapText="1"/>
    </xf>
    <xf numFmtId="0" fontId="41" fillId="0" borderId="4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vertical="center" wrapText="1"/>
    </xf>
    <xf numFmtId="188" fontId="9" fillId="0" borderId="65" xfId="0" applyNumberFormat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65" xfId="0" applyFont="1" applyBorder="1">
      <alignment vertical="center"/>
    </xf>
    <xf numFmtId="0" fontId="9" fillId="0" borderId="65" xfId="0" applyFont="1" applyBorder="1">
      <alignment vertical="center"/>
    </xf>
    <xf numFmtId="189" fontId="9" fillId="0" borderId="65" xfId="0" applyNumberFormat="1" applyFont="1" applyBorder="1">
      <alignment vertical="center"/>
    </xf>
    <xf numFmtId="188" fontId="9" fillId="0" borderId="65" xfId="0" applyNumberFormat="1" applyFont="1" applyBorder="1">
      <alignment vertical="center"/>
    </xf>
    <xf numFmtId="189" fontId="9" fillId="0" borderId="65" xfId="0" applyNumberFormat="1" applyFont="1" applyBorder="1" applyAlignment="1">
      <alignment vertical="center" wrapText="1"/>
    </xf>
    <xf numFmtId="0" fontId="42" fillId="0" borderId="2" xfId="0" quotePrefix="1" applyFont="1" applyBorder="1" applyAlignment="1">
      <alignment vertical="center" wrapText="1"/>
    </xf>
    <xf numFmtId="0" fontId="42" fillId="0" borderId="65" xfId="0" quotePrefix="1" applyFont="1" applyBorder="1" applyAlignment="1">
      <alignment vertical="center" wrapText="1"/>
    </xf>
    <xf numFmtId="190" fontId="30" fillId="0" borderId="65" xfId="0" applyNumberFormat="1" applyFont="1" applyBorder="1" applyAlignment="1">
      <alignment vertical="center" wrapText="1"/>
    </xf>
    <xf numFmtId="0" fontId="42" fillId="0" borderId="65" xfId="0" applyFont="1" applyBorder="1" applyAlignment="1">
      <alignment vertical="center" wrapText="1"/>
    </xf>
    <xf numFmtId="0" fontId="30" fillId="0" borderId="65" xfId="0" quotePrefix="1" applyFont="1" applyBorder="1" applyAlignment="1">
      <alignment vertical="center" wrapText="1"/>
    </xf>
    <xf numFmtId="191" fontId="30" fillId="0" borderId="65" xfId="0" applyNumberFormat="1" applyFont="1" applyBorder="1" applyAlignment="1">
      <alignment vertical="center" wrapText="1"/>
    </xf>
    <xf numFmtId="0" fontId="30" fillId="0" borderId="65" xfId="0" applyFont="1" applyBorder="1" applyAlignment="1">
      <alignment vertical="center" wrapText="1"/>
    </xf>
    <xf numFmtId="192" fontId="0" fillId="0" borderId="65" xfId="0" quotePrefix="1" applyNumberFormat="1" applyFont="1" applyBorder="1" applyAlignment="1">
      <alignment vertical="center" wrapText="1"/>
    </xf>
    <xf numFmtId="192" fontId="9" fillId="0" borderId="65" xfId="0" applyNumberFormat="1" applyFont="1" applyBorder="1" applyAlignment="1">
      <alignment vertical="center" wrapText="1"/>
    </xf>
    <xf numFmtId="183" fontId="8" fillId="0" borderId="1" xfId="0" applyNumberFormat="1" applyFont="1" applyBorder="1" applyAlignment="1">
      <alignment horizontal="center" vertical="center" wrapText="1"/>
    </xf>
    <xf numFmtId="180" fontId="8" fillId="11" borderId="0" xfId="0" applyNumberFormat="1" applyFont="1" applyFill="1">
      <alignment vertical="center"/>
    </xf>
    <xf numFmtId="0" fontId="63" fillId="0" borderId="0" xfId="0" applyFont="1" applyAlignment="1">
      <alignment horizontal="left" vertical="center"/>
    </xf>
    <xf numFmtId="0" fontId="63" fillId="0" borderId="0" xfId="0" applyFont="1">
      <alignment vertical="center"/>
    </xf>
    <xf numFmtId="0" fontId="0" fillId="0" borderId="0" xfId="0" applyAlignment="1"/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right" vertical="center"/>
    </xf>
    <xf numFmtId="193" fontId="66" fillId="0" borderId="0" xfId="0" applyNumberFormat="1" applyFont="1">
      <alignment vertical="center"/>
    </xf>
    <xf numFmtId="0" fontId="67" fillId="0" borderId="0" xfId="0" applyFont="1" applyAlignment="1"/>
    <xf numFmtId="0" fontId="68" fillId="12" borderId="77" xfId="0" applyFont="1" applyFill="1" applyBorder="1" applyAlignment="1">
      <alignment horizontal="center" vertical="center" shrinkToFit="1"/>
    </xf>
    <xf numFmtId="0" fontId="68" fillId="12" borderId="77" xfId="0" applyFont="1" applyFill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194" fontId="68" fillId="14" borderId="77" xfId="0" applyNumberFormat="1" applyFont="1" applyFill="1" applyBorder="1" applyAlignment="1">
      <alignment horizontal="right" vertical="center"/>
    </xf>
    <xf numFmtId="0" fontId="69" fillId="0" borderId="77" xfId="0" applyFont="1" applyBorder="1" applyAlignment="1">
      <alignment horizontal="center" vertical="center" shrinkToFit="1"/>
    </xf>
    <xf numFmtId="194" fontId="68" fillId="0" borderId="77" xfId="0" applyNumberFormat="1" applyFont="1" applyBorder="1" applyAlignment="1">
      <alignment horizontal="right" vertical="center"/>
    </xf>
    <xf numFmtId="0" fontId="69" fillId="0" borderId="77" xfId="0" applyFont="1" applyBorder="1" applyAlignment="1">
      <alignment horizontal="center" vertical="center"/>
    </xf>
    <xf numFmtId="3" fontId="0" fillId="0" borderId="0" xfId="0" applyNumberFormat="1" applyAlignment="1"/>
    <xf numFmtId="0" fontId="70" fillId="0" borderId="0" xfId="0" applyFont="1" applyAlignment="1"/>
    <xf numFmtId="0" fontId="72" fillId="0" borderId="0" xfId="0" applyFont="1">
      <alignment vertical="center"/>
    </xf>
    <xf numFmtId="0" fontId="71" fillId="0" borderId="0" xfId="0" applyFont="1" applyAlignment="1">
      <alignment horizontal="right" vertical="center"/>
    </xf>
    <xf numFmtId="195" fontId="71" fillId="0" borderId="0" xfId="0" applyNumberFormat="1" applyFont="1">
      <alignment vertical="center"/>
    </xf>
    <xf numFmtId="0" fontId="71" fillId="0" borderId="0" xfId="0" applyFont="1">
      <alignment vertical="center"/>
    </xf>
    <xf numFmtId="0" fontId="71" fillId="0" borderId="0" xfId="0" applyFont="1" applyAlignment="1"/>
    <xf numFmtId="0" fontId="74" fillId="0" borderId="0" xfId="0" applyFont="1">
      <alignment vertical="center"/>
    </xf>
    <xf numFmtId="0" fontId="75" fillId="11" borderId="0" xfId="0" applyFont="1" applyFill="1" applyAlignment="1">
      <alignment horizontal="center" vertical="center"/>
    </xf>
    <xf numFmtId="0" fontId="76" fillId="0" borderId="0" xfId="0" applyFont="1" applyAlignment="1"/>
    <xf numFmtId="0" fontId="70" fillId="0" borderId="0" xfId="0" applyFont="1">
      <alignment vertical="center"/>
    </xf>
    <xf numFmtId="0" fontId="77" fillId="0" borderId="0" xfId="0" applyFont="1">
      <alignment vertical="center"/>
    </xf>
    <xf numFmtId="0" fontId="78" fillId="0" borderId="0" xfId="0" applyFont="1">
      <alignment vertical="center"/>
    </xf>
    <xf numFmtId="0" fontId="79" fillId="0" borderId="0" xfId="0" applyFont="1">
      <alignment vertical="center"/>
    </xf>
    <xf numFmtId="196" fontId="70" fillId="0" borderId="0" xfId="0" quotePrefix="1" applyNumberFormat="1" applyFont="1" applyAlignment="1">
      <alignment vertical="center" wrapText="1"/>
    </xf>
    <xf numFmtId="0" fontId="80" fillId="0" borderId="0" xfId="0" applyFont="1">
      <alignment vertical="center"/>
    </xf>
    <xf numFmtId="0" fontId="74" fillId="0" borderId="0" xfId="0" applyFont="1" applyAlignment="1">
      <alignment horizontal="center" vertical="center"/>
    </xf>
    <xf numFmtId="196" fontId="74" fillId="0" borderId="0" xfId="0" quotePrefix="1" applyNumberFormat="1" applyFont="1" applyAlignment="1">
      <alignment horizontal="center" vertical="center" wrapText="1"/>
    </xf>
    <xf numFmtId="196" fontId="70" fillId="0" borderId="0" xfId="0" applyNumberFormat="1" applyFont="1" applyAlignment="1">
      <alignment horizontal="right" vertical="center" wrapText="1"/>
    </xf>
    <xf numFmtId="0" fontId="74" fillId="0" borderId="0" xfId="0" applyFont="1" applyAlignment="1">
      <alignment horizontal="left" vertical="center" wrapText="1"/>
    </xf>
    <xf numFmtId="41" fontId="81" fillId="11" borderId="0" xfId="0" applyNumberFormat="1" applyFont="1" applyFill="1" applyAlignment="1">
      <alignment horizontal="right" vertical="center"/>
    </xf>
    <xf numFmtId="0" fontId="74" fillId="0" borderId="0" xfId="0" applyFont="1" applyAlignment="1">
      <alignment horizontal="left" vertical="center"/>
    </xf>
    <xf numFmtId="41" fontId="74" fillId="11" borderId="0" xfId="0" applyNumberFormat="1" applyFont="1" applyFill="1" applyAlignment="1">
      <alignment horizontal="center" vertical="center"/>
    </xf>
    <xf numFmtId="196" fontId="82" fillId="0" borderId="0" xfId="0" applyNumberFormat="1" applyFont="1" applyAlignment="1">
      <alignment horizontal="center" vertical="center" wrapText="1"/>
    </xf>
    <xf numFmtId="0" fontId="81" fillId="0" borderId="0" xfId="0" applyFont="1">
      <alignment vertical="center"/>
    </xf>
    <xf numFmtId="2" fontId="74" fillId="0" borderId="0" xfId="0" applyNumberFormat="1" applyFont="1" applyAlignment="1">
      <alignment horizontal="right" vertical="center"/>
    </xf>
    <xf numFmtId="0" fontId="80" fillId="0" borderId="0" xfId="0" applyFont="1" applyAlignment="1">
      <alignment horizontal="left" vertical="center"/>
    </xf>
    <xf numFmtId="197" fontId="80" fillId="0" borderId="0" xfId="0" applyNumberFormat="1" applyFont="1">
      <alignment vertical="center"/>
    </xf>
    <xf numFmtId="0" fontId="70" fillId="0" borderId="0" xfId="0" applyFont="1" applyAlignment="1">
      <alignment horizontal="left" vertical="center"/>
    </xf>
    <xf numFmtId="198" fontId="74" fillId="0" borderId="0" xfId="0" applyNumberFormat="1" applyFont="1" applyAlignment="1">
      <alignment horizontal="left" vertical="center"/>
    </xf>
    <xf numFmtId="0" fontId="74" fillId="0" borderId="77" xfId="0" applyFont="1" applyBorder="1" applyAlignment="1">
      <alignment horizontal="center" vertical="center"/>
    </xf>
    <xf numFmtId="195" fontId="74" fillId="0" borderId="77" xfId="0" applyNumberFormat="1" applyFont="1" applyBorder="1" applyAlignment="1">
      <alignment horizontal="center" vertical="center"/>
    </xf>
    <xf numFmtId="194" fontId="72" fillId="0" borderId="0" xfId="0" applyNumberFormat="1" applyFont="1">
      <alignment vertical="center"/>
    </xf>
    <xf numFmtId="41" fontId="74" fillId="15" borderId="77" xfId="0" applyNumberFormat="1" applyFont="1" applyFill="1" applyBorder="1" applyAlignment="1">
      <alignment horizontal="right" vertical="center"/>
    </xf>
    <xf numFmtId="41" fontId="74" fillId="0" borderId="77" xfId="0" applyNumberFormat="1" applyFont="1" applyBorder="1">
      <alignment vertical="center"/>
    </xf>
    <xf numFmtId="199" fontId="74" fillId="0" borderId="77" xfId="0" applyNumberFormat="1" applyFont="1" applyBorder="1">
      <alignment vertical="center"/>
    </xf>
    <xf numFmtId="194" fontId="83" fillId="0" borderId="0" xfId="0" applyNumberFormat="1" applyFont="1">
      <alignment vertical="center"/>
    </xf>
    <xf numFmtId="41" fontId="74" fillId="0" borderId="0" xfId="0" applyNumberFormat="1" applyFont="1" applyAlignment="1">
      <alignment horizontal="right" vertical="center"/>
    </xf>
    <xf numFmtId="41" fontId="72" fillId="0" borderId="0" xfId="0" applyNumberFormat="1" applyFont="1">
      <alignment vertical="center"/>
    </xf>
    <xf numFmtId="0" fontId="84" fillId="0" borderId="0" xfId="0" applyFont="1">
      <alignment vertical="center"/>
    </xf>
    <xf numFmtId="0" fontId="80" fillId="16" borderId="68" xfId="0" applyFont="1" applyFill="1" applyBorder="1" applyAlignment="1">
      <alignment horizontal="center" vertical="center"/>
    </xf>
    <xf numFmtId="0" fontId="85" fillId="16" borderId="69" xfId="0" applyFont="1" applyFill="1" applyBorder="1" applyAlignment="1">
      <alignment horizontal="center" vertical="center"/>
    </xf>
    <xf numFmtId="194" fontId="86" fillId="17" borderId="2" xfId="0" applyNumberFormat="1" applyFont="1" applyFill="1" applyBorder="1" applyAlignment="1">
      <alignment horizontal="center" vertical="center"/>
    </xf>
    <xf numFmtId="194" fontId="86" fillId="17" borderId="3" xfId="0" applyNumberFormat="1" applyFont="1" applyFill="1" applyBorder="1" applyAlignment="1">
      <alignment horizontal="center" vertical="center"/>
    </xf>
    <xf numFmtId="0" fontId="86" fillId="14" borderId="3" xfId="0" applyFont="1" applyFill="1" applyBorder="1" applyAlignment="1">
      <alignment horizontal="center" vertical="center"/>
    </xf>
    <xf numFmtId="0" fontId="86" fillId="0" borderId="4" xfId="0" applyFont="1" applyBorder="1" applyAlignment="1">
      <alignment horizontal="center" vertical="center"/>
    </xf>
    <xf numFmtId="0" fontId="74" fillId="0" borderId="89" xfId="0" applyFont="1" applyBorder="1" applyAlignment="1">
      <alignment horizontal="left" vertical="center"/>
    </xf>
    <xf numFmtId="0" fontId="80" fillId="0" borderId="11" xfId="0" applyFont="1" applyBorder="1" applyAlignment="1">
      <alignment horizontal="center" vertical="center"/>
    </xf>
    <xf numFmtId="0" fontId="80" fillId="0" borderId="10" xfId="0" applyFont="1" applyBorder="1" applyAlignment="1">
      <alignment horizontal="center" vertical="center"/>
    </xf>
    <xf numFmtId="41" fontId="80" fillId="0" borderId="38" xfId="0" applyNumberFormat="1" applyFont="1" applyBorder="1" applyAlignment="1">
      <alignment horizontal="center" vertical="center"/>
    </xf>
    <xf numFmtId="0" fontId="85" fillId="0" borderId="90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7" fillId="11" borderId="3" xfId="0" applyFont="1" applyFill="1" applyBorder="1" applyAlignment="1">
      <alignment horizontal="center" vertical="center"/>
    </xf>
    <xf numFmtId="0" fontId="87" fillId="11" borderId="3" xfId="0" applyFont="1" applyFill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8" fillId="11" borderId="3" xfId="0" applyFont="1" applyFill="1" applyBorder="1" applyAlignment="1">
      <alignment horizontal="center" vertical="center"/>
    </xf>
    <xf numFmtId="0" fontId="88" fillId="14" borderId="3" xfId="0" applyFont="1" applyFill="1" applyBorder="1" applyAlignment="1">
      <alignment horizontal="center" vertical="center"/>
    </xf>
    <xf numFmtId="0" fontId="87" fillId="11" borderId="4" xfId="0" applyFont="1" applyFill="1" applyBorder="1" applyAlignment="1">
      <alignment horizontal="center" vertical="center"/>
    </xf>
    <xf numFmtId="0" fontId="74" fillId="0" borderId="11" xfId="0" applyFont="1" applyBorder="1">
      <alignment vertical="center"/>
    </xf>
    <xf numFmtId="200" fontId="74" fillId="0" borderId="10" xfId="0" applyNumberFormat="1" applyFont="1" applyBorder="1" applyAlignment="1">
      <alignment horizontal="right" vertical="center"/>
    </xf>
    <xf numFmtId="0" fontId="74" fillId="0" borderId="11" xfId="0" applyFont="1" applyBorder="1" applyAlignment="1">
      <alignment horizontal="center" vertical="center"/>
    </xf>
    <xf numFmtId="41" fontId="74" fillId="0" borderId="38" xfId="0" applyNumberFormat="1" applyFont="1" applyBorder="1" applyAlignment="1">
      <alignment horizontal="right" vertical="center"/>
    </xf>
    <xf numFmtId="0" fontId="81" fillId="0" borderId="90" xfId="0" applyFont="1" applyBorder="1" applyAlignment="1">
      <alignment vertical="center" wrapText="1"/>
    </xf>
    <xf numFmtId="194" fontId="86" fillId="17" borderId="0" xfId="0" applyNumberFormat="1" applyFont="1" applyFill="1" applyAlignment="1">
      <alignment horizontal="center" vertical="center"/>
    </xf>
    <xf numFmtId="0" fontId="86" fillId="17" borderId="0" xfId="0" applyFont="1" applyFill="1" applyAlignment="1">
      <alignment horizontal="center" vertical="center"/>
    </xf>
    <xf numFmtId="0" fontId="82" fillId="14" borderId="0" xfId="0" applyFont="1" applyFill="1" applyAlignment="1">
      <alignment horizontal="center"/>
    </xf>
    <xf numFmtId="0" fontId="89" fillId="0" borderId="0" xfId="0" applyFont="1" applyAlignment="1">
      <alignment horizontal="center" vertical="center"/>
    </xf>
    <xf numFmtId="0" fontId="72" fillId="0" borderId="13" xfId="0" applyFont="1" applyBorder="1">
      <alignment vertical="center"/>
    </xf>
    <xf numFmtId="0" fontId="81" fillId="0" borderId="90" xfId="0" applyFont="1" applyBorder="1">
      <alignment vertical="center"/>
    </xf>
    <xf numFmtId="194" fontId="89" fillId="0" borderId="0" xfId="0" applyNumberFormat="1" applyFont="1" applyAlignment="1">
      <alignment horizontal="center" vertical="center"/>
    </xf>
    <xf numFmtId="0" fontId="82" fillId="0" borderId="0" xfId="0" applyFont="1" applyAlignment="1">
      <alignment horizontal="center"/>
    </xf>
    <xf numFmtId="0" fontId="74" fillId="0" borderId="91" xfId="0" applyFont="1" applyBorder="1" applyAlignment="1">
      <alignment horizontal="left" vertical="center"/>
    </xf>
    <xf numFmtId="0" fontId="74" fillId="0" borderId="15" xfId="0" applyFont="1" applyBorder="1">
      <alignment vertical="center"/>
    </xf>
    <xf numFmtId="3" fontId="74" fillId="0" borderId="78" xfId="0" applyNumberFormat="1" applyFont="1" applyBorder="1">
      <alignment vertical="center"/>
    </xf>
    <xf numFmtId="41" fontId="74" fillId="0" borderId="23" xfId="0" applyNumberFormat="1" applyFont="1" applyBorder="1" applyAlignment="1">
      <alignment horizontal="right" vertical="center"/>
    </xf>
    <xf numFmtId="184" fontId="89" fillId="0" borderId="0" xfId="0" applyNumberFormat="1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3" fontId="74" fillId="0" borderId="10" xfId="0" applyNumberFormat="1" applyFont="1" applyBorder="1" applyAlignment="1">
      <alignment horizontal="right" vertical="center"/>
    </xf>
    <xf numFmtId="0" fontId="82" fillId="0" borderId="0" xfId="0" applyFont="1" applyAlignment="1"/>
    <xf numFmtId="0" fontId="89" fillId="0" borderId="0" xfId="0" applyFont="1">
      <alignment vertical="center"/>
    </xf>
    <xf numFmtId="0" fontId="74" fillId="0" borderId="93" xfId="0" applyFont="1" applyBorder="1" applyAlignment="1">
      <alignment horizontal="left" vertical="center"/>
    </xf>
    <xf numFmtId="9" fontId="74" fillId="0" borderId="94" xfId="0" applyNumberFormat="1" applyFont="1" applyBorder="1">
      <alignment vertical="center"/>
    </xf>
    <xf numFmtId="41" fontId="74" fillId="0" borderId="2" xfId="0" applyNumberFormat="1" applyFont="1" applyBorder="1">
      <alignment vertical="center"/>
    </xf>
    <xf numFmtId="0" fontId="74" fillId="0" borderId="4" xfId="0" applyFont="1" applyBorder="1">
      <alignment vertical="center"/>
    </xf>
    <xf numFmtId="41" fontId="74" fillId="0" borderId="77" xfId="0" applyNumberFormat="1" applyFont="1" applyBorder="1" applyAlignment="1">
      <alignment horizontal="right" vertical="center"/>
    </xf>
    <xf numFmtId="0" fontId="81" fillId="0" borderId="24" xfId="0" applyFont="1" applyBorder="1" applyAlignment="1">
      <alignment vertical="center" wrapText="1"/>
    </xf>
    <xf numFmtId="194" fontId="74" fillId="0" borderId="78" xfId="0" applyNumberFormat="1" applyFont="1" applyBorder="1">
      <alignment vertical="center"/>
    </xf>
    <xf numFmtId="194" fontId="74" fillId="0" borderId="15" xfId="0" applyNumberFormat="1" applyFont="1" applyBorder="1">
      <alignment vertical="center"/>
    </xf>
    <xf numFmtId="0" fontId="74" fillId="0" borderId="10" xfId="0" applyFont="1" applyBorder="1">
      <alignment vertical="center"/>
    </xf>
    <xf numFmtId="0" fontId="74" fillId="0" borderId="2" xfId="0" quotePrefix="1" applyFont="1" applyBorder="1">
      <alignment vertical="center"/>
    </xf>
    <xf numFmtId="201" fontId="74" fillId="0" borderId="4" xfId="0" applyNumberFormat="1" applyFont="1" applyBorder="1" applyAlignment="1">
      <alignment horizontal="center" vertical="center"/>
    </xf>
    <xf numFmtId="0" fontId="81" fillId="0" borderId="24" xfId="0" applyFont="1" applyBorder="1">
      <alignment vertical="center"/>
    </xf>
    <xf numFmtId="0" fontId="74" fillId="0" borderId="99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81" fillId="0" borderId="92" xfId="0" applyFont="1" applyBorder="1">
      <alignment vertical="center"/>
    </xf>
    <xf numFmtId="0" fontId="74" fillId="0" borderId="99" xfId="0" applyFont="1" applyBorder="1" applyAlignment="1">
      <alignment horizontal="left" vertical="center"/>
    </xf>
    <xf numFmtId="0" fontId="74" fillId="0" borderId="2" xfId="0" applyFont="1" applyBorder="1">
      <alignment vertical="center"/>
    </xf>
    <xf numFmtId="0" fontId="74" fillId="0" borderId="3" xfId="0" applyFont="1" applyBorder="1">
      <alignment vertical="center"/>
    </xf>
    <xf numFmtId="0" fontId="80" fillId="0" borderId="102" xfId="0" applyFont="1" applyBorder="1">
      <alignment vertical="center"/>
    </xf>
    <xf numFmtId="0" fontId="80" fillId="0" borderId="103" xfId="0" applyFont="1" applyBorder="1">
      <alignment vertical="center"/>
    </xf>
    <xf numFmtId="41" fontId="80" fillId="0" borderId="71" xfId="0" applyNumberFormat="1" applyFont="1" applyBorder="1">
      <alignment vertical="center"/>
    </xf>
    <xf numFmtId="0" fontId="81" fillId="0" borderId="72" xfId="0" applyFont="1" applyBorder="1">
      <alignment vertical="center"/>
    </xf>
    <xf numFmtId="0" fontId="67" fillId="0" borderId="0" xfId="0" applyFont="1">
      <alignment vertical="center"/>
    </xf>
    <xf numFmtId="0" fontId="8" fillId="0" borderId="0" xfId="0" quotePrefix="1" applyFont="1" applyFill="1">
      <alignment vertical="center"/>
    </xf>
    <xf numFmtId="180" fontId="36" fillId="0" borderId="1" xfId="0" applyNumberFormat="1" applyFont="1" applyFill="1" applyBorder="1" applyAlignment="1">
      <alignment horizontal="right" vertical="center" wrapText="1" indent="1"/>
    </xf>
    <xf numFmtId="0" fontId="8" fillId="0" borderId="1" xfId="0" quotePrefix="1" applyFont="1" applyFill="1" applyBorder="1" applyAlignment="1">
      <alignment horizontal="left" vertical="center" wrapText="1" indent="1"/>
    </xf>
    <xf numFmtId="183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04" xfId="0" applyBorder="1" applyAlignment="1">
      <alignment horizontal="center" vertical="center" wrapText="1"/>
    </xf>
    <xf numFmtId="41" fontId="0" fillId="0" borderId="77" xfId="0" applyNumberFormat="1" applyBorder="1">
      <alignment vertical="center"/>
    </xf>
    <xf numFmtId="0" fontId="67" fillId="0" borderId="77" xfId="0" applyFont="1" applyBorder="1" applyAlignment="1">
      <alignment horizontal="center" vertical="center"/>
    </xf>
    <xf numFmtId="202" fontId="67" fillId="0" borderId="77" xfId="0" applyNumberFormat="1" applyFon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41" fontId="0" fillId="0" borderId="105" xfId="0" applyNumberForma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0" fillId="0" borderId="77" xfId="0" applyNumberFormat="1" applyBorder="1" applyAlignment="1">
      <alignment horizontal="center" vertical="center"/>
    </xf>
    <xf numFmtId="203" fontId="0" fillId="0" borderId="7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04" fontId="0" fillId="0" borderId="77" xfId="0" applyNumberFormat="1" applyBorder="1" applyAlignment="1">
      <alignment horizontal="center" vertical="center"/>
    </xf>
    <xf numFmtId="41" fontId="0" fillId="0" borderId="77" xfId="0" quotePrefix="1" applyNumberFormat="1" applyBorder="1" applyAlignment="1">
      <alignment horizontal="center" vertical="center"/>
    </xf>
    <xf numFmtId="204" fontId="0" fillId="0" borderId="0" xfId="0" applyNumberFormat="1" applyAlignment="1">
      <alignment horizontal="center" vertical="center"/>
    </xf>
    <xf numFmtId="205" fontId="0" fillId="0" borderId="77" xfId="0" applyNumberFormat="1" applyBorder="1" applyAlignment="1">
      <alignment horizontal="center" vertical="center"/>
    </xf>
    <xf numFmtId="206" fontId="0" fillId="0" borderId="77" xfId="0" applyNumberForma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96" fillId="0" borderId="65" xfId="0" quotePrefix="1" applyFont="1" applyBorder="1" applyAlignment="1">
      <alignment vertical="center" wrapText="1"/>
    </xf>
    <xf numFmtId="0" fontId="96" fillId="0" borderId="65" xfId="0" applyFont="1" applyBorder="1" applyAlignment="1">
      <alignment vertical="center" wrapText="1"/>
    </xf>
    <xf numFmtId="180" fontId="96" fillId="0" borderId="65" xfId="0" applyNumberFormat="1" applyFont="1" applyBorder="1" applyAlignment="1">
      <alignment vertical="center" wrapText="1"/>
    </xf>
    <xf numFmtId="0" fontId="41" fillId="18" borderId="65" xfId="0" quotePrefix="1" applyFont="1" applyFill="1" applyBorder="1" applyAlignment="1">
      <alignment horizontal="center" vertical="center"/>
    </xf>
    <xf numFmtId="0" fontId="41" fillId="18" borderId="65" xfId="0" quotePrefix="1" applyFont="1" applyFill="1" applyBorder="1" applyAlignment="1">
      <alignment horizontal="center" vertical="center" wrapText="1"/>
    </xf>
    <xf numFmtId="0" fontId="0" fillId="0" borderId="0" xfId="0" quotePrefix="1">
      <alignment vertical="center"/>
    </xf>
    <xf numFmtId="0" fontId="41" fillId="0" borderId="2" xfId="0" quotePrefix="1" applyFont="1" applyBorder="1" applyAlignment="1">
      <alignment horizontal="center" vertical="center"/>
    </xf>
    <xf numFmtId="180" fontId="8" fillId="0" borderId="77" xfId="0" applyNumberFormat="1" applyFont="1" applyBorder="1" applyAlignment="1">
      <alignment horizontal="right" vertical="center" wrapText="1" indent="1"/>
    </xf>
    <xf numFmtId="0" fontId="43" fillId="3" borderId="70" xfId="0" applyFont="1" applyFill="1" applyBorder="1" applyAlignment="1">
      <alignment horizontal="distributed" vertical="center" indent="1"/>
    </xf>
    <xf numFmtId="0" fontId="43" fillId="3" borderId="71" xfId="0" applyFont="1" applyFill="1" applyBorder="1" applyAlignment="1">
      <alignment horizontal="distributed" vertical="center" indent="1"/>
    </xf>
    <xf numFmtId="0" fontId="43" fillId="13" borderId="67" xfId="0" applyFont="1" applyFill="1" applyBorder="1" applyAlignment="1">
      <alignment horizontal="distributed" vertical="center" indent="1"/>
    </xf>
    <xf numFmtId="0" fontId="43" fillId="13" borderId="68" xfId="0" applyFont="1" applyFill="1" applyBorder="1" applyAlignment="1">
      <alignment horizontal="distributed" vertical="center" indent="1"/>
    </xf>
    <xf numFmtId="0" fontId="43" fillId="3" borderId="18" xfId="0" applyFont="1" applyFill="1" applyBorder="1" applyAlignment="1">
      <alignment horizontal="distributed" vertical="center" indent="1"/>
    </xf>
    <xf numFmtId="0" fontId="43" fillId="3" borderId="1" xfId="0" applyFont="1" applyFill="1" applyBorder="1" applyAlignment="1">
      <alignment horizontal="distributed" vertical="center" indent="1"/>
    </xf>
    <xf numFmtId="0" fontId="31" fillId="3" borderId="18" xfId="0" applyFont="1" applyFill="1" applyBorder="1" applyAlignment="1">
      <alignment horizontal="distributed" vertical="center" textRotation="255" indent="1"/>
    </xf>
    <xf numFmtId="176" fontId="54" fillId="5" borderId="2" xfId="0" applyNumberFormat="1" applyFont="1" applyFill="1" applyBorder="1" applyAlignment="1">
      <alignment horizontal="center"/>
    </xf>
    <xf numFmtId="176" fontId="54" fillId="5" borderId="4" xfId="0" applyNumberFormat="1" applyFont="1" applyFill="1" applyBorder="1" applyAlignment="1">
      <alignment horizontal="center"/>
    </xf>
    <xf numFmtId="0" fontId="54" fillId="5" borderId="2" xfId="0" applyFont="1" applyFill="1" applyBorder="1" applyAlignment="1">
      <alignment horizontal="center"/>
    </xf>
    <xf numFmtId="0" fontId="54" fillId="5" borderId="4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7" fillId="6" borderId="2" xfId="0" applyFont="1" applyFill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7" fillId="6" borderId="4" xfId="0" applyFont="1" applyFill="1" applyBorder="1" applyAlignment="1">
      <alignment horizontal="center"/>
    </xf>
    <xf numFmtId="176" fontId="47" fillId="5" borderId="2" xfId="0" applyNumberFormat="1" applyFont="1" applyFill="1" applyBorder="1" applyAlignment="1">
      <alignment horizontal="center"/>
    </xf>
    <xf numFmtId="176" fontId="47" fillId="5" borderId="4" xfId="0" applyNumberFormat="1" applyFont="1" applyFill="1" applyBorder="1" applyAlignment="1">
      <alignment horizontal="center"/>
    </xf>
    <xf numFmtId="0" fontId="15" fillId="0" borderId="0" xfId="0" applyFont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distributed" vertical="center"/>
    </xf>
    <xf numFmtId="0" fontId="32" fillId="0" borderId="0" xfId="0" applyFont="1" applyAlignment="1">
      <alignment horizontal="center" vertical="center"/>
    </xf>
    <xf numFmtId="0" fontId="8" fillId="13" borderId="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distributed" vertical="center" wrapText="1" indent="1"/>
    </xf>
    <xf numFmtId="0" fontId="8" fillId="13" borderId="3" xfId="0" applyFont="1" applyFill="1" applyBorder="1" applyAlignment="1">
      <alignment horizontal="distributed" vertical="center" wrapText="1" indent="1"/>
    </xf>
    <xf numFmtId="0" fontId="8" fillId="13" borderId="16" xfId="0" applyFont="1" applyFill="1" applyBorder="1" applyAlignment="1">
      <alignment horizontal="distributed" vertical="center" wrapText="1" indent="1"/>
    </xf>
    <xf numFmtId="0" fontId="34" fillId="4" borderId="17" xfId="0" applyFont="1" applyFill="1" applyBorder="1" applyAlignment="1">
      <alignment horizontal="distributed" vertical="center" wrapText="1" indent="1"/>
    </xf>
    <xf numFmtId="0" fontId="34" fillId="4" borderId="25" xfId="0" applyFont="1" applyFill="1" applyBorder="1" applyAlignment="1">
      <alignment horizontal="distributed" vertical="center" wrapText="1" indent="1"/>
    </xf>
    <xf numFmtId="0" fontId="8" fillId="13" borderId="18" xfId="0" applyFont="1" applyFill="1" applyBorder="1" applyAlignment="1">
      <alignment horizontal="distributed" vertical="center" wrapText="1" indent="1"/>
    </xf>
    <xf numFmtId="0" fontId="8" fillId="13" borderId="1" xfId="0" applyFont="1" applyFill="1" applyBorder="1" applyAlignment="1">
      <alignment horizontal="distributed" vertical="center" wrapText="1" indent="1"/>
    </xf>
    <xf numFmtId="0" fontId="8" fillId="13" borderId="19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35" fillId="3" borderId="21" xfId="0" applyFont="1" applyFill="1" applyBorder="1" applyAlignment="1">
      <alignment horizontal="distributed" vertical="center" wrapText="1" indent="1"/>
    </xf>
    <xf numFmtId="0" fontId="35" fillId="3" borderId="28" xfId="0" applyFont="1" applyFill="1" applyBorder="1" applyAlignment="1">
      <alignment horizontal="distributed" vertical="center" wrapText="1" indent="1"/>
    </xf>
    <xf numFmtId="0" fontId="8" fillId="13" borderId="22" xfId="0" applyFont="1" applyFill="1" applyBorder="1" applyAlignment="1">
      <alignment horizontal="distributed" vertical="center" wrapText="1" indent="1"/>
    </xf>
    <xf numFmtId="0" fontId="8" fillId="13" borderId="29" xfId="0" applyFont="1" applyFill="1" applyBorder="1" applyAlignment="1">
      <alignment horizontal="distributed" vertical="center" wrapText="1" indent="1"/>
    </xf>
    <xf numFmtId="0" fontId="8" fillId="13" borderId="23" xfId="0" applyFont="1" applyFill="1" applyBorder="1" applyAlignment="1">
      <alignment horizontal="distributed" vertical="center" wrapText="1" indent="1"/>
    </xf>
    <xf numFmtId="0" fontId="8" fillId="13" borderId="30" xfId="0" applyFont="1" applyFill="1" applyBorder="1" applyAlignment="1">
      <alignment horizontal="distributed" vertical="center" wrapText="1" indent="1"/>
    </xf>
    <xf numFmtId="0" fontId="8" fillId="0" borderId="1" xfId="0" quotePrefix="1" applyFont="1" applyBorder="1" applyAlignment="1">
      <alignment horizontal="distributed" vertical="center" wrapText="1" indent="1"/>
    </xf>
    <xf numFmtId="0" fontId="37" fillId="0" borderId="1" xfId="0" applyFont="1" applyBorder="1" applyAlignment="1">
      <alignment horizontal="distributed" vertical="center" wrapText="1" indent="1"/>
    </xf>
    <xf numFmtId="0" fontId="37" fillId="0" borderId="1" xfId="0" quotePrefix="1" applyFont="1" applyBorder="1" applyAlignment="1">
      <alignment horizontal="distributed" vertical="center" wrapText="1" indent="1"/>
    </xf>
    <xf numFmtId="0" fontId="37" fillId="11" borderId="1" xfId="0" applyFont="1" applyFill="1" applyBorder="1" applyAlignment="1">
      <alignment horizontal="distributed" vertical="center" wrapText="1" indent="1"/>
    </xf>
    <xf numFmtId="0" fontId="37" fillId="11" borderId="1" xfId="0" quotePrefix="1" applyFont="1" applyFill="1" applyBorder="1" applyAlignment="1">
      <alignment horizontal="distributed" vertical="center" wrapText="1" indent="1"/>
    </xf>
    <xf numFmtId="0" fontId="8" fillId="0" borderId="2" xfId="0" quotePrefix="1" applyFont="1" applyBorder="1" applyAlignment="1">
      <alignment horizontal="distributed" vertical="center" wrapText="1" indent="1"/>
    </xf>
    <xf numFmtId="0" fontId="8" fillId="0" borderId="47" xfId="0" quotePrefix="1" applyFont="1" applyBorder="1" applyAlignment="1">
      <alignment horizontal="distributed" vertical="center" wrapText="1" indent="1"/>
    </xf>
    <xf numFmtId="0" fontId="0" fillId="0" borderId="62" xfId="0" applyBorder="1" applyAlignment="1">
      <alignment horizontal="distributed" vertical="center" wrapText="1"/>
    </xf>
    <xf numFmtId="0" fontId="37" fillId="11" borderId="2" xfId="0" quotePrefix="1" applyFont="1" applyFill="1" applyBorder="1" applyAlignment="1">
      <alignment horizontal="distributed" vertical="center" wrapText="1" indent="1"/>
    </xf>
    <xf numFmtId="0" fontId="37" fillId="0" borderId="2" xfId="0" quotePrefix="1" applyFont="1" applyBorder="1" applyAlignment="1">
      <alignment horizontal="distributed" vertical="center" wrapText="1" indent="1"/>
    </xf>
    <xf numFmtId="0" fontId="8" fillId="0" borderId="78" xfId="0" quotePrefix="1" applyFont="1" applyBorder="1" applyAlignment="1">
      <alignment horizontal="center" vertical="center" textRotation="255" wrapText="1"/>
    </xf>
    <xf numFmtId="0" fontId="8" fillId="0" borderId="10" xfId="0" quotePrefix="1" applyFont="1" applyBorder="1" applyAlignment="1">
      <alignment horizontal="center" vertical="center" textRotation="255" wrapText="1"/>
    </xf>
    <xf numFmtId="0" fontId="0" fillId="0" borderId="10" xfId="0" applyBorder="1" applyAlignment="1">
      <alignment vertical="center" textRotation="255" wrapText="1"/>
    </xf>
    <xf numFmtId="0" fontId="0" fillId="0" borderId="12" xfId="0" applyBorder="1" applyAlignment="1">
      <alignment vertical="center" textRotation="255" wrapText="1"/>
    </xf>
    <xf numFmtId="0" fontId="8" fillId="0" borderId="40" xfId="0" quotePrefix="1" applyFont="1" applyBorder="1" applyAlignment="1">
      <alignment horizontal="distributed" vertical="center" wrapText="1" indent="1"/>
    </xf>
    <xf numFmtId="0" fontId="0" fillId="0" borderId="61" xfId="0" applyBorder="1" applyAlignment="1">
      <alignment horizontal="distributed" vertical="center" wrapText="1"/>
    </xf>
    <xf numFmtId="0" fontId="8" fillId="0" borderId="40" xfId="0" applyFont="1" applyBorder="1" applyAlignment="1">
      <alignment horizontal="distributed" vertical="center" wrapText="1" indent="1"/>
    </xf>
    <xf numFmtId="0" fontId="0" fillId="0" borderId="61" xfId="0" applyBorder="1" applyAlignment="1">
      <alignment horizontal="distributed" vertical="center" wrapText="1" indent="1"/>
    </xf>
    <xf numFmtId="0" fontId="8" fillId="0" borderId="23" xfId="0" quotePrefix="1" applyFont="1" applyBorder="1" applyAlignment="1">
      <alignment horizontal="center" vertical="center" textRotation="255" wrapText="1"/>
    </xf>
    <xf numFmtId="0" fontId="8" fillId="0" borderId="38" xfId="0" quotePrefix="1" applyFont="1" applyBorder="1" applyAlignment="1">
      <alignment horizontal="center" vertical="center" textRotation="255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quotePrefix="1" applyFont="1" applyBorder="1" applyAlignment="1">
      <alignment horizontal="center" vertical="center" wrapText="1"/>
    </xf>
    <xf numFmtId="0" fontId="8" fillId="0" borderId="56" xfId="0" quotePrefix="1" applyFont="1" applyBorder="1" applyAlignment="1">
      <alignment horizontal="center" vertical="center" wrapText="1"/>
    </xf>
    <xf numFmtId="0" fontId="8" fillId="0" borderId="31" xfId="0" quotePrefix="1" applyFont="1" applyBorder="1" applyAlignment="1">
      <alignment horizontal="distributed" vertical="center" textRotation="255" wrapText="1"/>
    </xf>
    <xf numFmtId="0" fontId="8" fillId="0" borderId="39" xfId="0" quotePrefix="1" applyFont="1" applyBorder="1" applyAlignment="1">
      <alignment horizontal="distributed" vertical="center" textRotation="255" wrapText="1"/>
    </xf>
    <xf numFmtId="0" fontId="8" fillId="0" borderId="46" xfId="0" quotePrefix="1" applyFont="1" applyBorder="1" applyAlignment="1">
      <alignment horizontal="distributed" vertical="center" textRotation="255" wrapText="1"/>
    </xf>
    <xf numFmtId="0" fontId="8" fillId="0" borderId="32" xfId="0" quotePrefix="1" applyFont="1" applyBorder="1" applyAlignment="1">
      <alignment horizontal="distributed" vertical="center" wrapText="1" indent="1"/>
    </xf>
    <xf numFmtId="0" fontId="0" fillId="0" borderId="60" xfId="0" applyBorder="1" applyAlignment="1">
      <alignment horizontal="distributed" vertical="center" wrapText="1"/>
    </xf>
    <xf numFmtId="0" fontId="33" fillId="0" borderId="0" xfId="0" applyFont="1" applyAlignment="1">
      <alignment horizontal="right" vertical="center"/>
    </xf>
    <xf numFmtId="0" fontId="8" fillId="13" borderId="63" xfId="0" quotePrefix="1" applyFont="1" applyFill="1" applyBorder="1" applyAlignment="1">
      <alignment horizontal="center" vertical="center" wrapText="1"/>
    </xf>
    <xf numFmtId="0" fontId="8" fillId="13" borderId="55" xfId="0" quotePrefix="1" applyFont="1" applyFill="1" applyBorder="1" applyAlignment="1">
      <alignment horizontal="center" vertical="center" wrapText="1"/>
    </xf>
    <xf numFmtId="0" fontId="8" fillId="13" borderId="56" xfId="0" quotePrefix="1" applyFont="1" applyFill="1" applyBorder="1" applyAlignment="1">
      <alignment horizontal="center" vertical="center" wrapText="1"/>
    </xf>
    <xf numFmtId="0" fontId="0" fillId="0" borderId="60" xfId="0" applyBorder="1" applyAlignment="1">
      <alignment horizontal="distributed" vertical="center" wrapText="1" indent="1"/>
    </xf>
    <xf numFmtId="0" fontId="0" fillId="0" borderId="62" xfId="0" applyBorder="1" applyAlignment="1">
      <alignment horizontal="distributed" vertical="center" wrapText="1" indent="1"/>
    </xf>
    <xf numFmtId="0" fontId="37" fillId="0" borderId="1" xfId="0" applyFont="1" applyFill="1" applyBorder="1" applyAlignment="1">
      <alignment horizontal="distributed" vertical="center" wrapText="1" indent="1"/>
    </xf>
    <xf numFmtId="0" fontId="37" fillId="0" borderId="1" xfId="0" quotePrefix="1" applyFont="1" applyFill="1" applyBorder="1" applyAlignment="1">
      <alignment horizontal="distributed" vertical="center" wrapText="1" indent="1"/>
    </xf>
    <xf numFmtId="0" fontId="8" fillId="0" borderId="8" xfId="0" quotePrefix="1" applyFont="1" applyBorder="1" applyAlignment="1">
      <alignment horizontal="center" vertical="center" textRotation="255" wrapText="1"/>
    </xf>
    <xf numFmtId="0" fontId="8" fillId="0" borderId="12" xfId="0" quotePrefix="1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distributed" vertical="center" wrapText="1" indent="1"/>
    </xf>
    <xf numFmtId="0" fontId="8" fillId="0" borderId="23" xfId="0" quotePrefix="1" applyFont="1" applyBorder="1" applyAlignment="1">
      <alignment vertical="center" textRotation="255" wrapText="1"/>
    </xf>
    <xf numFmtId="0" fontId="0" fillId="0" borderId="38" xfId="0" applyBorder="1" applyAlignment="1">
      <alignment vertical="center" textRotation="255" wrapText="1"/>
    </xf>
    <xf numFmtId="0" fontId="8" fillId="0" borderId="8" xfId="0" quotePrefix="1" applyFont="1" applyBorder="1" applyAlignment="1">
      <alignment vertical="center" textRotation="255" wrapText="1"/>
    </xf>
    <xf numFmtId="0" fontId="34" fillId="9" borderId="40" xfId="0" applyFont="1" applyFill="1" applyBorder="1" applyAlignment="1">
      <alignment horizontal="center" vertical="center" wrapText="1"/>
    </xf>
    <xf numFmtId="0" fontId="34" fillId="9" borderId="6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7" fillId="12" borderId="65" xfId="0" quotePrefix="1" applyNumberFormat="1" applyFont="1" applyFill="1" applyBorder="1" applyAlignment="1">
      <alignment horizontal="center" vertical="center"/>
    </xf>
    <xf numFmtId="0" fontId="7" fillId="12" borderId="65" xfId="0" quotePrefix="1" applyFont="1" applyFill="1" applyBorder="1" applyAlignment="1">
      <alignment horizontal="center" vertical="center"/>
    </xf>
    <xf numFmtId="41" fontId="7" fillId="12" borderId="74" xfId="0" quotePrefix="1" applyNumberFormat="1" applyFont="1" applyFill="1" applyBorder="1" applyAlignment="1">
      <alignment horizontal="center" vertical="center"/>
    </xf>
    <xf numFmtId="41" fontId="7" fillId="12" borderId="75" xfId="0" quotePrefix="1" applyNumberFormat="1" applyFont="1" applyFill="1" applyBorder="1" applyAlignment="1">
      <alignment horizontal="center" vertical="center"/>
    </xf>
    <xf numFmtId="41" fontId="7" fillId="12" borderId="52" xfId="0" quotePrefix="1" applyNumberFormat="1" applyFont="1" applyFill="1" applyBorder="1" applyAlignment="1">
      <alignment horizontal="center" vertical="center"/>
    </xf>
    <xf numFmtId="41" fontId="7" fillId="12" borderId="76" xfId="0" quotePrefix="1" applyNumberFormat="1" applyFont="1" applyFill="1" applyBorder="1" applyAlignment="1">
      <alignment horizontal="center" vertical="center"/>
    </xf>
    <xf numFmtId="0" fontId="34" fillId="10" borderId="40" xfId="0" applyFont="1" applyFill="1" applyBorder="1" applyAlignment="1">
      <alignment horizontal="center" vertical="center" wrapText="1"/>
    </xf>
    <xf numFmtId="0" fontId="34" fillId="10" borderId="66" xfId="0" applyFont="1" applyFill="1" applyBorder="1" applyAlignment="1">
      <alignment horizontal="center" vertical="center" wrapText="1"/>
    </xf>
    <xf numFmtId="0" fontId="34" fillId="0" borderId="0" xfId="0" quotePrefix="1" applyFont="1">
      <alignment vertical="center"/>
    </xf>
    <xf numFmtId="0" fontId="3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41" fillId="18" borderId="65" xfId="0" quotePrefix="1" applyFont="1" applyFill="1" applyBorder="1" applyAlignment="1">
      <alignment horizontal="center" vertical="center"/>
    </xf>
    <xf numFmtId="0" fontId="41" fillId="18" borderId="65" xfId="0" quotePrefix="1" applyFont="1" applyFill="1" applyBorder="1" applyAlignment="1">
      <alignment horizontal="center" vertical="center" wrapText="1"/>
    </xf>
    <xf numFmtId="0" fontId="6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41" fillId="0" borderId="2" xfId="0" quotePrefix="1" applyFont="1" applyBorder="1" applyAlignment="1">
      <alignment horizontal="center" vertical="center"/>
    </xf>
    <xf numFmtId="0" fontId="74" fillId="0" borderId="99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99" xfId="0" applyFont="1" applyBorder="1" applyAlignment="1">
      <alignment horizontal="left" vertical="center"/>
    </xf>
    <xf numFmtId="0" fontId="74" fillId="0" borderId="4" xfId="0" applyFont="1" applyBorder="1" applyAlignment="1">
      <alignment horizontal="left" vertical="center"/>
    </xf>
    <xf numFmtId="0" fontId="80" fillId="0" borderId="100" xfId="0" applyFont="1" applyBorder="1" applyAlignment="1">
      <alignment horizontal="center" vertical="center"/>
    </xf>
    <xf numFmtId="0" fontId="80" fillId="0" borderId="101" xfId="0" applyFont="1" applyBorder="1" applyAlignment="1">
      <alignment horizontal="center" vertical="center"/>
    </xf>
    <xf numFmtId="0" fontId="81" fillId="0" borderId="92" xfId="0" applyFont="1" applyBorder="1" applyAlignment="1">
      <alignment horizontal="left" vertical="center" wrapText="1"/>
    </xf>
    <xf numFmtId="0" fontId="81" fillId="0" borderId="90" xfId="0" applyFont="1" applyBorder="1" applyAlignment="1">
      <alignment horizontal="left" vertical="center" wrapText="1"/>
    </xf>
    <xf numFmtId="0" fontId="74" fillId="0" borderId="91" xfId="0" applyFont="1" applyBorder="1" applyAlignment="1">
      <alignment horizontal="left" vertical="center"/>
    </xf>
    <xf numFmtId="0" fontId="74" fillId="0" borderId="89" xfId="0" applyFont="1" applyBorder="1" applyAlignment="1">
      <alignment horizontal="left" vertical="center"/>
    </xf>
    <xf numFmtId="9" fontId="74" fillId="0" borderId="95" xfId="0" applyNumberFormat="1" applyFont="1" applyBorder="1">
      <alignment vertical="center"/>
    </xf>
    <xf numFmtId="0" fontId="74" fillId="0" borderId="97" xfId="0" applyFont="1" applyBorder="1">
      <alignment vertical="center"/>
    </xf>
    <xf numFmtId="41" fontId="74" fillId="0" borderId="23" xfId="0" applyNumberFormat="1" applyFont="1" applyBorder="1" applyAlignment="1">
      <alignment horizontal="right" vertical="center"/>
    </xf>
    <xf numFmtId="41" fontId="74" fillId="0" borderId="38" xfId="0" applyNumberFormat="1" applyFont="1" applyBorder="1" applyAlignment="1">
      <alignment horizontal="right" vertical="center"/>
    </xf>
    <xf numFmtId="0" fontId="81" fillId="0" borderId="96" xfId="0" applyFont="1" applyBorder="1">
      <alignment vertical="center"/>
    </xf>
    <xf numFmtId="0" fontId="81" fillId="0" borderId="98" xfId="0" applyFont="1" applyBorder="1">
      <alignment vertical="center"/>
    </xf>
    <xf numFmtId="0" fontId="71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69" fillId="11" borderId="0" xfId="0" applyFont="1" applyFill="1" applyAlignment="1">
      <alignment horizontal="left" vertical="center" wrapText="1"/>
    </xf>
    <xf numFmtId="0" fontId="69" fillId="11" borderId="0" xfId="0" applyFont="1" applyFill="1" applyAlignment="1">
      <alignment horizontal="left" vertical="center"/>
    </xf>
    <xf numFmtId="0" fontId="74" fillId="0" borderId="13" xfId="0" applyFont="1" applyBorder="1" applyAlignment="1">
      <alignment vertical="center" shrinkToFit="1"/>
    </xf>
    <xf numFmtId="0" fontId="80" fillId="16" borderId="86" xfId="0" applyFont="1" applyFill="1" applyBorder="1" applyAlignment="1">
      <alignment horizontal="center" vertical="center"/>
    </xf>
    <xf numFmtId="0" fontId="80" fillId="16" borderId="87" xfId="0" applyFont="1" applyFill="1" applyBorder="1" applyAlignment="1">
      <alignment horizontal="center" vertical="center"/>
    </xf>
    <xf numFmtId="0" fontId="80" fillId="16" borderId="88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4" fillId="0" borderId="0" xfId="0" applyFont="1" applyAlignment="1">
      <alignment horizontal="left" vertical="center" wrapText="1"/>
    </xf>
    <xf numFmtId="0" fontId="92" fillId="0" borderId="0" xfId="0" applyFont="1" applyAlignment="1">
      <alignment horizontal="left" vertical="center"/>
    </xf>
    <xf numFmtId="0" fontId="93" fillId="0" borderId="0" xfId="0" applyFont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colors>
    <mruColors>
      <color rgb="FF0000FF"/>
      <color rgb="FFCCFFCC"/>
      <color rgb="FF99FF99"/>
      <color rgb="FF99CC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263771</xdr:colOff>
      <xdr:row>27</xdr:row>
      <xdr:rowOff>43961</xdr:rowOff>
    </xdr:from>
    <xdr:to>
      <xdr:col>7</xdr:col>
      <xdr:colOff>337042</xdr:colOff>
      <xdr:row>29</xdr:row>
      <xdr:rowOff>9581</xdr:rowOff>
    </xdr:to>
    <xdr:pic>
      <xdr:nvPicPr>
        <xdr:cNvPr id="2" name="그림 1" descr="사무실간판-04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7425" y="5824903"/>
          <a:ext cx="1450732" cy="390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247649</xdr:colOff>
      <xdr:row>1</xdr:row>
      <xdr:rowOff>314325</xdr:rowOff>
    </xdr:from>
    <xdr:to>
      <xdr:col>21</xdr:col>
      <xdr:colOff>114300</xdr:colOff>
      <xdr:row>15</xdr:row>
      <xdr:rowOff>142875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xfrm>
          <a:off x="9925049" y="523875"/>
          <a:ext cx="5743576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17</xdr:row>
      <xdr:rowOff>9525</xdr:rowOff>
    </xdr:from>
    <xdr:to>
      <xdr:col>21</xdr:col>
      <xdr:colOff>114300</xdr:colOff>
      <xdr:row>21</xdr:row>
      <xdr:rowOff>266700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xfrm>
          <a:off x="9953625" y="3105150"/>
          <a:ext cx="5715000" cy="10668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26</xdr:row>
      <xdr:rowOff>57150</xdr:rowOff>
    </xdr:from>
    <xdr:to>
      <xdr:col>21</xdr:col>
      <xdr:colOff>104775</xdr:colOff>
      <xdr:row>53</xdr:row>
      <xdr:rowOff>104775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tretch>
          <a:fillRect/>
        </a:stretch>
      </xdr:blipFill>
      <xdr:spPr>
        <a:xfrm>
          <a:off x="9963150" y="5238750"/>
          <a:ext cx="5695950" cy="59721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40</xdr:row>
      <xdr:rowOff>66675</xdr:rowOff>
    </xdr:from>
    <xdr:to>
      <xdr:col>6</xdr:col>
      <xdr:colOff>200025</xdr:colOff>
      <xdr:row>49</xdr:row>
      <xdr:rowOff>114300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tretch>
          <a:fillRect/>
        </a:stretch>
      </xdr:blipFill>
      <xdr:spPr>
        <a:xfrm>
          <a:off x="171450" y="8448675"/>
          <a:ext cx="68961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93"/>
  <sheetViews>
    <sheetView workbookViewId="0">
      <pane ySplit="18" topLeftCell="A22" activePane="bottomLeft" state="frozen"/>
      <selection activeCell="C17" sqref="C17"/>
      <selection pane="bottomLeft" activeCell="B6" sqref="B6"/>
    </sheetView>
  </sheetViews>
  <sheetFormatPr defaultRowHeight="16.5"/>
  <cols>
    <col min="1" max="1" width="19.125" style="5" customWidth="1"/>
    <col min="2" max="2" width="17.875" style="5" customWidth="1"/>
    <col min="3" max="3" width="17" style="5" customWidth="1"/>
    <col min="4" max="4" width="9.75" style="5" bestFit="1" customWidth="1"/>
    <col min="5" max="7" width="9" style="5"/>
    <col min="8" max="8" width="29.625" style="5" customWidth="1"/>
    <col min="9" max="16384" width="9" style="5"/>
  </cols>
  <sheetData>
    <row r="1" spans="1:8">
      <c r="A1" s="1" t="s">
        <v>1523</v>
      </c>
      <c r="B1" s="2"/>
      <c r="C1" s="3" t="s">
        <v>0</v>
      </c>
      <c r="D1" s="4"/>
      <c r="E1" s="4"/>
      <c r="F1" s="4"/>
      <c r="G1" s="4"/>
      <c r="H1" s="4"/>
    </row>
    <row r="2" spans="1:8">
      <c r="A2" s="6" t="s">
        <v>1</v>
      </c>
      <c r="B2" s="7"/>
      <c r="C2" s="3" t="s">
        <v>2</v>
      </c>
      <c r="D2" s="206">
        <f>B2/3.3058</f>
        <v>0</v>
      </c>
      <c r="E2" s="6" t="s">
        <v>292</v>
      </c>
      <c r="F2" s="4"/>
      <c r="G2" s="4"/>
      <c r="H2" s="4"/>
    </row>
    <row r="3" spans="1:8">
      <c r="A3" s="6" t="s">
        <v>3</v>
      </c>
      <c r="B3" s="7" t="s">
        <v>4</v>
      </c>
      <c r="C3" s="3" t="s">
        <v>0</v>
      </c>
      <c r="D3" s="4"/>
      <c r="E3" s="4"/>
      <c r="F3" s="4"/>
      <c r="G3" s="4"/>
      <c r="H3" s="4"/>
    </row>
    <row r="4" spans="1:8">
      <c r="A4" s="6" t="s">
        <v>5</v>
      </c>
      <c r="B4" s="8" t="e">
        <f>'원가계산서 (총괄-참고용)'!J38</f>
        <v>#REF!</v>
      </c>
      <c r="C4" s="6"/>
      <c r="D4" s="4"/>
      <c r="E4" s="4"/>
      <c r="F4" s="4"/>
      <c r="G4" s="4"/>
      <c r="H4" s="4"/>
    </row>
    <row r="5" spans="1:8">
      <c r="A5" s="6"/>
      <c r="B5" s="7">
        <v>1204000000</v>
      </c>
      <c r="C5" s="3" t="s">
        <v>6</v>
      </c>
      <c r="D5" s="4"/>
      <c r="E5" s="4"/>
      <c r="F5" s="4"/>
      <c r="G5" s="4"/>
      <c r="H5" s="225" t="e">
        <f>B4-B5</f>
        <v>#REF!</v>
      </c>
    </row>
    <row r="6" spans="1:8">
      <c r="A6" s="6" t="s">
        <v>7</v>
      </c>
      <c r="B6" s="8">
        <f>'원가계산서 (총괄-참고용)'!J54</f>
        <v>1764801000</v>
      </c>
      <c r="C6" s="3"/>
      <c r="D6" s="4"/>
      <c r="E6" s="4"/>
      <c r="F6" s="4"/>
      <c r="G6" s="4"/>
      <c r="H6" s="4"/>
    </row>
    <row r="7" spans="1:8">
      <c r="A7" s="6" t="s">
        <v>8</v>
      </c>
      <c r="B7" s="226">
        <f>ROUND((365/12)*C7,1)</f>
        <v>182.5</v>
      </c>
      <c r="C7" s="3">
        <v>6</v>
      </c>
      <c r="D7" s="3" t="s">
        <v>171</v>
      </c>
      <c r="E7" s="4"/>
      <c r="F7" s="4"/>
      <c r="G7" s="4"/>
      <c r="H7" s="4"/>
    </row>
    <row r="8" spans="1:8">
      <c r="A8" s="6" t="s">
        <v>9</v>
      </c>
      <c r="B8" s="9">
        <v>3.56E-2</v>
      </c>
      <c r="C8" s="3" t="s">
        <v>0</v>
      </c>
      <c r="D8" s="4"/>
      <c r="E8" s="4"/>
      <c r="F8" s="4"/>
      <c r="G8" s="4"/>
      <c r="H8" s="4"/>
    </row>
    <row r="9" spans="1:8">
      <c r="A9" s="6" t="s">
        <v>532</v>
      </c>
      <c r="B9" s="239">
        <v>6.0000000000000002E-5</v>
      </c>
      <c r="C9" s="3" t="s">
        <v>0</v>
      </c>
      <c r="D9" s="4"/>
      <c r="E9" s="4"/>
      <c r="F9" s="4"/>
      <c r="G9" s="4"/>
      <c r="H9" s="4"/>
    </row>
    <row r="10" spans="1:8">
      <c r="A10" s="6" t="s">
        <v>533</v>
      </c>
      <c r="B10" s="9">
        <v>8.9999999999999998E-4</v>
      </c>
      <c r="C10" s="3" t="s">
        <v>0</v>
      </c>
      <c r="D10" s="4"/>
      <c r="E10" s="4"/>
      <c r="F10" s="4"/>
      <c r="G10" s="4"/>
      <c r="H10" s="4"/>
    </row>
    <row r="11" spans="1:8">
      <c r="A11" s="6" t="s">
        <v>10</v>
      </c>
      <c r="B11" s="9">
        <v>5.0000000000000001E-3</v>
      </c>
      <c r="C11" s="3" t="s">
        <v>0</v>
      </c>
      <c r="D11" s="6" t="s">
        <v>11</v>
      </c>
      <c r="E11" s="6"/>
      <c r="F11" s="6"/>
      <c r="G11" s="6"/>
      <c r="H11" s="6"/>
    </row>
    <row r="12" spans="1:8">
      <c r="A12" s="6" t="s">
        <v>479</v>
      </c>
      <c r="B12" s="3">
        <v>1</v>
      </c>
      <c r="C12" s="3" t="s">
        <v>480</v>
      </c>
      <c r="D12" s="4"/>
      <c r="E12" s="4"/>
      <c r="F12" s="4"/>
      <c r="G12" s="4"/>
      <c r="H12" s="4"/>
    </row>
    <row r="13" spans="1:8">
      <c r="A13" s="6" t="s">
        <v>12</v>
      </c>
      <c r="B13" s="3">
        <v>0</v>
      </c>
      <c r="C13" s="3" t="s">
        <v>13</v>
      </c>
      <c r="D13" s="4"/>
      <c r="E13" s="4"/>
      <c r="F13" s="4"/>
      <c r="G13" s="4"/>
      <c r="H13" s="4"/>
    </row>
    <row r="14" spans="1:8">
      <c r="A14" s="6" t="s">
        <v>350</v>
      </c>
      <c r="B14" s="3">
        <v>0</v>
      </c>
      <c r="C14" s="3" t="s">
        <v>13</v>
      </c>
      <c r="D14" s="4"/>
      <c r="E14" s="4"/>
      <c r="F14" s="4"/>
      <c r="G14" s="4"/>
      <c r="H14" s="4"/>
    </row>
    <row r="15" spans="1:8">
      <c r="A15" s="6" t="s">
        <v>406</v>
      </c>
      <c r="B15" s="3">
        <v>0</v>
      </c>
      <c r="C15" s="3" t="s">
        <v>13</v>
      </c>
      <c r="D15" s="4"/>
      <c r="E15" s="6" t="e">
        <f>#REF!</f>
        <v>#REF!</v>
      </c>
      <c r="F15" s="4"/>
      <c r="G15" s="4"/>
      <c r="H15" s="4"/>
    </row>
    <row r="16" spans="1:8">
      <c r="A16" s="6" t="s">
        <v>409</v>
      </c>
      <c r="B16" s="3">
        <v>0</v>
      </c>
      <c r="C16" s="3" t="s">
        <v>13</v>
      </c>
      <c r="D16" s="4"/>
      <c r="E16" s="4"/>
      <c r="F16" s="4"/>
      <c r="G16" s="4"/>
      <c r="H16" s="4"/>
    </row>
    <row r="17" spans="1:8">
      <c r="A17" s="6" t="s">
        <v>445</v>
      </c>
      <c r="B17" s="3">
        <v>8.4000000000000005E-2</v>
      </c>
      <c r="C17" s="3" t="s">
        <v>446</v>
      </c>
      <c r="D17" s="4"/>
      <c r="E17" s="4"/>
      <c r="F17" s="4"/>
      <c r="G17" s="4"/>
      <c r="H17" s="4"/>
    </row>
    <row r="18" spans="1:8">
      <c r="A18" s="6" t="s">
        <v>14</v>
      </c>
      <c r="B18" s="7" t="s">
        <v>550</v>
      </c>
      <c r="C18" s="3"/>
      <c r="D18" s="4"/>
      <c r="E18" s="4"/>
      <c r="F18" s="4"/>
      <c r="G18" s="4"/>
      <c r="H18" s="4"/>
    </row>
    <row r="20" spans="1:8">
      <c r="A20" s="5" t="s">
        <v>291</v>
      </c>
      <c r="B20" s="199" t="s">
        <v>551</v>
      </c>
      <c r="C20" s="5" t="s">
        <v>552</v>
      </c>
    </row>
    <row r="21" spans="1:8">
      <c r="B21" s="199" t="s">
        <v>549</v>
      </c>
      <c r="C21" s="5" t="s">
        <v>548</v>
      </c>
    </row>
    <row r="22" spans="1:8">
      <c r="B22" s="199" t="s">
        <v>546</v>
      </c>
      <c r="C22" s="5" t="s">
        <v>547</v>
      </c>
    </row>
    <row r="23" spans="1:8">
      <c r="B23" s="199" t="s">
        <v>534</v>
      </c>
      <c r="C23" s="5" t="s">
        <v>535</v>
      </c>
    </row>
    <row r="24" spans="1:8">
      <c r="B24" s="199" t="s">
        <v>530</v>
      </c>
      <c r="C24" s="5" t="s">
        <v>531</v>
      </c>
    </row>
    <row r="25" spans="1:8">
      <c r="B25" s="199" t="s">
        <v>527</v>
      </c>
      <c r="C25" s="5" t="s">
        <v>528</v>
      </c>
    </row>
    <row r="26" spans="1:8">
      <c r="B26" s="199" t="s">
        <v>525</v>
      </c>
      <c r="C26" s="5" t="s">
        <v>526</v>
      </c>
    </row>
    <row r="27" spans="1:8">
      <c r="B27" s="199" t="s">
        <v>522</v>
      </c>
      <c r="C27" s="5" t="s">
        <v>523</v>
      </c>
    </row>
    <row r="28" spans="1:8">
      <c r="B28" s="199" t="s">
        <v>508</v>
      </c>
      <c r="C28" s="5" t="s">
        <v>509</v>
      </c>
    </row>
    <row r="29" spans="1:8">
      <c r="B29" s="199" t="s">
        <v>506</v>
      </c>
      <c r="C29" s="5" t="s">
        <v>507</v>
      </c>
    </row>
    <row r="30" spans="1:8">
      <c r="B30" s="199" t="s">
        <v>503</v>
      </c>
      <c r="C30" s="5" t="s">
        <v>504</v>
      </c>
    </row>
    <row r="31" spans="1:8">
      <c r="B31" s="199" t="s">
        <v>501</v>
      </c>
      <c r="C31" s="5" t="s">
        <v>502</v>
      </c>
    </row>
    <row r="32" spans="1:8">
      <c r="B32" s="199" t="s">
        <v>492</v>
      </c>
      <c r="C32" s="5" t="s">
        <v>493</v>
      </c>
    </row>
    <row r="33" spans="2:3">
      <c r="B33" s="199" t="s">
        <v>490</v>
      </c>
      <c r="C33" s="5" t="s">
        <v>491</v>
      </c>
    </row>
    <row r="34" spans="2:3">
      <c r="B34" s="199" t="s">
        <v>488</v>
      </c>
      <c r="C34" s="5" t="s">
        <v>489</v>
      </c>
    </row>
    <row r="35" spans="2:3">
      <c r="B35" s="199" t="s">
        <v>486</v>
      </c>
      <c r="C35" s="5" t="s">
        <v>487</v>
      </c>
    </row>
    <row r="36" spans="2:3">
      <c r="B36" s="199" t="s">
        <v>482</v>
      </c>
      <c r="C36" s="5" t="s">
        <v>484</v>
      </c>
    </row>
    <row r="37" spans="2:3">
      <c r="B37" s="199" t="s">
        <v>482</v>
      </c>
      <c r="C37" s="5" t="s">
        <v>483</v>
      </c>
    </row>
    <row r="38" spans="2:3">
      <c r="B38" s="199" t="s">
        <v>481</v>
      </c>
      <c r="C38" s="5" t="s">
        <v>478</v>
      </c>
    </row>
    <row r="39" spans="2:3">
      <c r="B39" s="199" t="s">
        <v>476</v>
      </c>
      <c r="C39" s="5" t="s">
        <v>477</v>
      </c>
    </row>
    <row r="40" spans="2:3">
      <c r="B40" s="199" t="s">
        <v>474</v>
      </c>
      <c r="C40" s="5" t="s">
        <v>475</v>
      </c>
    </row>
    <row r="41" spans="2:3">
      <c r="B41" s="199" t="s">
        <v>471</v>
      </c>
      <c r="C41" s="5" t="s">
        <v>472</v>
      </c>
    </row>
    <row r="42" spans="2:3">
      <c r="B42" s="199" t="s">
        <v>469</v>
      </c>
      <c r="C42" s="5" t="s">
        <v>470</v>
      </c>
    </row>
    <row r="43" spans="2:3">
      <c r="B43" s="199" t="s">
        <v>467</v>
      </c>
      <c r="C43" s="5" t="s">
        <v>468</v>
      </c>
    </row>
    <row r="44" spans="2:3">
      <c r="B44" s="199" t="s">
        <v>465</v>
      </c>
      <c r="C44" s="5" t="s">
        <v>466</v>
      </c>
    </row>
    <row r="45" spans="2:3">
      <c r="B45" s="199" t="s">
        <v>462</v>
      </c>
      <c r="C45" s="5" t="s">
        <v>463</v>
      </c>
    </row>
    <row r="46" spans="2:3">
      <c r="B46" s="199" t="s">
        <v>458</v>
      </c>
      <c r="C46" s="5" t="s">
        <v>460</v>
      </c>
    </row>
    <row r="47" spans="2:3">
      <c r="B47" s="199" t="s">
        <v>458</v>
      </c>
      <c r="C47" s="5" t="s">
        <v>459</v>
      </c>
    </row>
    <row r="48" spans="2:3">
      <c r="B48" s="199" t="s">
        <v>457</v>
      </c>
      <c r="C48" s="5" t="s">
        <v>456</v>
      </c>
    </row>
    <row r="49" spans="2:3">
      <c r="B49" s="199" t="s">
        <v>453</v>
      </c>
      <c r="C49" s="5" t="s">
        <v>454</v>
      </c>
    </row>
    <row r="50" spans="2:3">
      <c r="B50" s="199" t="s">
        <v>451</v>
      </c>
      <c r="C50" s="5" t="s">
        <v>452</v>
      </c>
    </row>
    <row r="51" spans="2:3">
      <c r="B51" s="199" t="s">
        <v>449</v>
      </c>
      <c r="C51" s="5" t="s">
        <v>450</v>
      </c>
    </row>
    <row r="52" spans="2:3">
      <c r="B52" s="199" t="s">
        <v>447</v>
      </c>
      <c r="C52" s="5" t="s">
        <v>448</v>
      </c>
    </row>
    <row r="53" spans="2:3">
      <c r="B53" s="199" t="s">
        <v>443</v>
      </c>
      <c r="C53" s="5" t="s">
        <v>444</v>
      </c>
    </row>
    <row r="54" spans="2:3">
      <c r="B54" s="199" t="s">
        <v>441</v>
      </c>
      <c r="C54" s="5" t="s">
        <v>442</v>
      </c>
    </row>
    <row r="55" spans="2:3">
      <c r="B55" s="199" t="s">
        <v>439</v>
      </c>
      <c r="C55" s="5" t="s">
        <v>440</v>
      </c>
    </row>
    <row r="56" spans="2:3">
      <c r="B56" s="199" t="s">
        <v>431</v>
      </c>
      <c r="C56" s="5" t="s">
        <v>432</v>
      </c>
    </row>
    <row r="57" spans="2:3">
      <c r="B57" s="199" t="s">
        <v>429</v>
      </c>
      <c r="C57" s="5" t="s">
        <v>430</v>
      </c>
    </row>
    <row r="58" spans="2:3">
      <c r="B58" s="199" t="s">
        <v>427</v>
      </c>
      <c r="C58" s="5" t="s">
        <v>428</v>
      </c>
    </row>
    <row r="59" spans="2:3">
      <c r="B59" s="199" t="s">
        <v>425</v>
      </c>
      <c r="C59" s="5" t="s">
        <v>426</v>
      </c>
    </row>
    <row r="60" spans="2:3">
      <c r="B60" s="199" t="s">
        <v>423</v>
      </c>
      <c r="C60" s="5" t="s">
        <v>424</v>
      </c>
    </row>
    <row r="61" spans="2:3">
      <c r="B61" s="199" t="s">
        <v>421</v>
      </c>
      <c r="C61" s="5" t="s">
        <v>422</v>
      </c>
    </row>
    <row r="62" spans="2:3">
      <c r="B62" s="199" t="s">
        <v>419</v>
      </c>
      <c r="C62" s="5" t="s">
        <v>420</v>
      </c>
    </row>
    <row r="63" spans="2:3">
      <c r="B63" s="199" t="s">
        <v>417</v>
      </c>
      <c r="C63" s="5" t="s">
        <v>418</v>
      </c>
    </row>
    <row r="64" spans="2:3">
      <c r="B64" s="199" t="s">
        <v>416</v>
      </c>
      <c r="C64" s="5" t="s">
        <v>412</v>
      </c>
    </row>
    <row r="65" spans="2:3">
      <c r="B65" s="199" t="s">
        <v>410</v>
      </c>
      <c r="C65" s="5" t="s">
        <v>411</v>
      </c>
    </row>
    <row r="66" spans="2:3">
      <c r="B66" s="199" t="s">
        <v>407</v>
      </c>
      <c r="C66" s="5" t="s">
        <v>408</v>
      </c>
    </row>
    <row r="67" spans="2:3">
      <c r="B67" s="199" t="s">
        <v>404</v>
      </c>
      <c r="C67" s="5" t="s">
        <v>405</v>
      </c>
    </row>
    <row r="68" spans="2:3">
      <c r="B68" s="199" t="s">
        <v>401</v>
      </c>
      <c r="C68" s="5" t="s">
        <v>402</v>
      </c>
    </row>
    <row r="69" spans="2:3">
      <c r="B69" s="199" t="s">
        <v>395</v>
      </c>
      <c r="C69" s="5" t="s">
        <v>396</v>
      </c>
    </row>
    <row r="70" spans="2:3">
      <c r="B70" s="199" t="s">
        <v>393</v>
      </c>
      <c r="C70" s="5" t="s">
        <v>394</v>
      </c>
    </row>
    <row r="71" spans="2:3">
      <c r="B71" s="199" t="s">
        <v>391</v>
      </c>
      <c r="C71" s="5" t="s">
        <v>392</v>
      </c>
    </row>
    <row r="72" spans="2:3">
      <c r="B72" s="199" t="s">
        <v>390</v>
      </c>
      <c r="C72" s="5" t="s">
        <v>381</v>
      </c>
    </row>
    <row r="73" spans="2:3">
      <c r="B73" s="199" t="s">
        <v>379</v>
      </c>
      <c r="C73" s="5" t="s">
        <v>380</v>
      </c>
    </row>
    <row r="74" spans="2:3">
      <c r="B74" s="199" t="s">
        <v>377</v>
      </c>
      <c r="C74" s="5" t="s">
        <v>378</v>
      </c>
    </row>
    <row r="75" spans="2:3">
      <c r="B75" s="199" t="s">
        <v>373</v>
      </c>
      <c r="C75" s="5" t="s">
        <v>374</v>
      </c>
    </row>
    <row r="76" spans="2:3">
      <c r="B76" s="199" t="s">
        <v>368</v>
      </c>
      <c r="C76" s="5" t="s">
        <v>369</v>
      </c>
    </row>
    <row r="77" spans="2:3">
      <c r="B77" s="199" t="s">
        <v>368</v>
      </c>
      <c r="C77" s="5" t="s">
        <v>370</v>
      </c>
    </row>
    <row r="78" spans="2:3">
      <c r="B78" s="199" t="s">
        <v>365</v>
      </c>
      <c r="C78" s="5" t="s">
        <v>366</v>
      </c>
    </row>
    <row r="79" spans="2:3">
      <c r="B79" s="199" t="s">
        <v>363</v>
      </c>
      <c r="C79" s="5" t="s">
        <v>364</v>
      </c>
    </row>
    <row r="80" spans="2:3">
      <c r="B80" s="199" t="s">
        <v>360</v>
      </c>
      <c r="C80" s="5" t="s">
        <v>361</v>
      </c>
    </row>
    <row r="81" spans="2:3">
      <c r="B81" s="199" t="s">
        <v>358</v>
      </c>
      <c r="C81" s="5" t="s">
        <v>359</v>
      </c>
    </row>
    <row r="82" spans="2:3">
      <c r="B82" s="199" t="s">
        <v>355</v>
      </c>
      <c r="C82" s="5" t="s">
        <v>357</v>
      </c>
    </row>
    <row r="83" spans="2:3">
      <c r="B83" s="199" t="s">
        <v>356</v>
      </c>
      <c r="C83" s="5" t="s">
        <v>354</v>
      </c>
    </row>
    <row r="84" spans="2:3">
      <c r="B84" s="199" t="s">
        <v>347</v>
      </c>
      <c r="C84" s="5" t="s">
        <v>348</v>
      </c>
    </row>
    <row r="85" spans="2:3">
      <c r="B85" s="199" t="s">
        <v>341</v>
      </c>
      <c r="C85" s="5" t="s">
        <v>342</v>
      </c>
    </row>
    <row r="86" spans="2:3">
      <c r="B86" s="199" t="s">
        <v>339</v>
      </c>
      <c r="C86" s="5" t="s">
        <v>340</v>
      </c>
    </row>
    <row r="87" spans="2:3">
      <c r="B87" s="199" t="s">
        <v>338</v>
      </c>
      <c r="C87" s="5" t="s">
        <v>353</v>
      </c>
    </row>
    <row r="88" spans="2:3">
      <c r="B88" s="199" t="s">
        <v>334</v>
      </c>
      <c r="C88" s="5" t="s">
        <v>335</v>
      </c>
    </row>
    <row r="89" spans="2:3">
      <c r="B89" s="199" t="s">
        <v>332</v>
      </c>
      <c r="C89" s="5" t="s">
        <v>333</v>
      </c>
    </row>
    <row r="90" spans="2:3">
      <c r="B90" s="199" t="s">
        <v>329</v>
      </c>
      <c r="C90" s="5" t="s">
        <v>330</v>
      </c>
    </row>
    <row r="91" spans="2:3">
      <c r="B91" s="199" t="s">
        <v>322</v>
      </c>
      <c r="C91" s="5" t="s">
        <v>323</v>
      </c>
    </row>
    <row r="92" spans="2:3">
      <c r="B92" s="199" t="s">
        <v>313</v>
      </c>
      <c r="C92" s="5" t="s">
        <v>314</v>
      </c>
    </row>
    <row r="93" spans="2:3">
      <c r="B93" s="199" t="s">
        <v>311</v>
      </c>
      <c r="C93" s="5" t="s">
        <v>312</v>
      </c>
    </row>
  </sheetData>
  <phoneticPr fontId="3" type="noConversion"/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T49"/>
  <sheetViews>
    <sheetView showZeros="0" view="pageBreakPreview" zoomScale="85" zoomScaleNormal="100" zoomScaleSheetLayoutView="85" workbookViewId="0">
      <selection activeCell="AA10" sqref="AA9:AA10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247" t="s">
        <v>555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0" ht="30" customHeight="1">
      <c r="A2" s="249" t="s">
        <v>1746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1"/>
    </row>
    <row r="3" spans="1:20" ht="30" customHeight="1">
      <c r="A3" s="570" t="s">
        <v>115</v>
      </c>
      <c r="B3" s="570" t="s">
        <v>116</v>
      </c>
      <c r="C3" s="570" t="s">
        <v>117</v>
      </c>
      <c r="D3" s="570" t="s">
        <v>118</v>
      </c>
      <c r="E3" s="570" t="s">
        <v>119</v>
      </c>
      <c r="F3" s="570"/>
      <c r="G3" s="570" t="s">
        <v>120</v>
      </c>
      <c r="H3" s="570"/>
      <c r="I3" s="570" t="s">
        <v>121</v>
      </c>
      <c r="J3" s="570"/>
      <c r="K3" s="570" t="s">
        <v>122</v>
      </c>
      <c r="L3" s="570"/>
      <c r="M3" s="570" t="s">
        <v>123</v>
      </c>
      <c r="N3" s="569" t="s">
        <v>124</v>
      </c>
      <c r="O3" s="569" t="s">
        <v>125</v>
      </c>
      <c r="P3" s="569" t="s">
        <v>126</v>
      </c>
      <c r="Q3" s="569" t="s">
        <v>127</v>
      </c>
      <c r="R3" s="569" t="s">
        <v>128</v>
      </c>
      <c r="S3" s="569" t="s">
        <v>129</v>
      </c>
      <c r="T3" s="569" t="s">
        <v>130</v>
      </c>
    </row>
    <row r="4" spans="1:20" ht="30" customHeight="1">
      <c r="A4" s="571"/>
      <c r="B4" s="571"/>
      <c r="C4" s="571"/>
      <c r="D4" s="571"/>
      <c r="E4" s="463" t="s">
        <v>131</v>
      </c>
      <c r="F4" s="463" t="s">
        <v>132</v>
      </c>
      <c r="G4" s="463" t="s">
        <v>131</v>
      </c>
      <c r="H4" s="463" t="s">
        <v>132</v>
      </c>
      <c r="I4" s="463" t="s">
        <v>131</v>
      </c>
      <c r="J4" s="463" t="s">
        <v>132</v>
      </c>
      <c r="K4" s="463" t="s">
        <v>131</v>
      </c>
      <c r="L4" s="463" t="s">
        <v>132</v>
      </c>
      <c r="M4" s="571"/>
      <c r="N4" s="569"/>
      <c r="O4" s="569"/>
      <c r="P4" s="569"/>
      <c r="Q4" s="569"/>
      <c r="R4" s="569"/>
      <c r="S4" s="569"/>
      <c r="T4" s="569"/>
    </row>
    <row r="5" spans="1:20" ht="30" customHeight="1">
      <c r="A5" s="252" t="s">
        <v>1524</v>
      </c>
      <c r="B5" s="252" t="s">
        <v>50</v>
      </c>
      <c r="C5" s="252" t="s">
        <v>50</v>
      </c>
      <c r="D5" s="253">
        <v>1</v>
      </c>
      <c r="E5" s="254"/>
      <c r="F5" s="254"/>
      <c r="G5" s="254"/>
      <c r="H5" s="254"/>
      <c r="I5" s="254"/>
      <c r="J5" s="254"/>
      <c r="K5" s="254"/>
      <c r="L5" s="254"/>
      <c r="M5" s="252" t="s">
        <v>50</v>
      </c>
      <c r="N5" s="255" t="s">
        <v>135</v>
      </c>
      <c r="O5" s="255" t="s">
        <v>50</v>
      </c>
      <c r="P5" s="255" t="s">
        <v>50</v>
      </c>
      <c r="Q5" s="255" t="s">
        <v>50</v>
      </c>
      <c r="R5" s="256">
        <v>1</v>
      </c>
      <c r="S5" s="255" t="s">
        <v>50</v>
      </c>
      <c r="T5" s="257"/>
    </row>
    <row r="6" spans="1:20" ht="30" customHeight="1">
      <c r="A6" s="290" t="s">
        <v>1747</v>
      </c>
      <c r="B6" s="290" t="s">
        <v>50</v>
      </c>
      <c r="C6" s="290" t="s">
        <v>50</v>
      </c>
      <c r="D6" s="291">
        <v>1</v>
      </c>
      <c r="E6" s="292"/>
      <c r="F6" s="292"/>
      <c r="G6" s="292"/>
      <c r="H6" s="292"/>
      <c r="I6" s="292"/>
      <c r="J6" s="292"/>
      <c r="K6" s="292"/>
      <c r="L6" s="292"/>
      <c r="M6" s="290" t="s">
        <v>50</v>
      </c>
      <c r="N6" s="255" t="s">
        <v>140</v>
      </c>
      <c r="O6" s="255" t="s">
        <v>50</v>
      </c>
      <c r="P6" s="255" t="s">
        <v>135</v>
      </c>
      <c r="Q6" s="255" t="s">
        <v>50</v>
      </c>
      <c r="R6" s="256">
        <v>2</v>
      </c>
      <c r="S6" s="255" t="s">
        <v>50</v>
      </c>
      <c r="T6" s="257"/>
    </row>
    <row r="7" spans="1:20" ht="30" customHeight="1">
      <c r="A7" s="261" t="s">
        <v>1748</v>
      </c>
      <c r="B7" s="261" t="s">
        <v>50</v>
      </c>
      <c r="C7" s="261" t="s">
        <v>50</v>
      </c>
      <c r="D7" s="262">
        <v>1</v>
      </c>
      <c r="E7" s="263"/>
      <c r="F7" s="263"/>
      <c r="G7" s="263"/>
      <c r="H7" s="263"/>
      <c r="I7" s="263"/>
      <c r="J7" s="263"/>
      <c r="K7" s="263"/>
      <c r="L7" s="263"/>
      <c r="M7" s="261" t="s">
        <v>50</v>
      </c>
      <c r="N7" s="255" t="s">
        <v>556</v>
      </c>
      <c r="O7" s="255" t="s">
        <v>50</v>
      </c>
      <c r="P7" s="255" t="s">
        <v>140</v>
      </c>
      <c r="Q7" s="255" t="s">
        <v>50</v>
      </c>
      <c r="R7" s="256">
        <v>3</v>
      </c>
      <c r="S7" s="255" t="s">
        <v>50</v>
      </c>
      <c r="T7" s="257"/>
    </row>
    <row r="8" spans="1:20" ht="30" customHeight="1">
      <c r="A8" s="258" t="s">
        <v>1749</v>
      </c>
      <c r="B8" s="258" t="s">
        <v>50</v>
      </c>
      <c r="C8" s="258" t="s">
        <v>50</v>
      </c>
      <c r="D8" s="259">
        <v>1</v>
      </c>
      <c r="E8" s="260"/>
      <c r="F8" s="260"/>
      <c r="G8" s="260"/>
      <c r="H8" s="260"/>
      <c r="I8" s="260"/>
      <c r="J8" s="260"/>
      <c r="K8" s="260"/>
      <c r="L8" s="260"/>
      <c r="M8" s="258" t="s">
        <v>50</v>
      </c>
      <c r="N8" s="255" t="s">
        <v>1750</v>
      </c>
      <c r="O8" s="255" t="s">
        <v>50</v>
      </c>
      <c r="P8" s="255" t="s">
        <v>556</v>
      </c>
      <c r="Q8" s="255" t="s">
        <v>50</v>
      </c>
      <c r="R8" s="256">
        <v>4</v>
      </c>
      <c r="S8" s="255" t="s">
        <v>50</v>
      </c>
      <c r="T8" s="257"/>
    </row>
    <row r="9" spans="1:20" ht="30" customHeight="1">
      <c r="A9" s="258" t="s">
        <v>1751</v>
      </c>
      <c r="B9" s="258" t="s">
        <v>50</v>
      </c>
      <c r="C9" s="258" t="s">
        <v>50</v>
      </c>
      <c r="D9" s="259">
        <v>1</v>
      </c>
      <c r="E9" s="260"/>
      <c r="F9" s="260"/>
      <c r="G9" s="260"/>
      <c r="H9" s="260"/>
      <c r="I9" s="260"/>
      <c r="J9" s="260"/>
      <c r="K9" s="260"/>
      <c r="L9" s="260"/>
      <c r="M9" s="258" t="s">
        <v>50</v>
      </c>
      <c r="N9" s="255" t="s">
        <v>1752</v>
      </c>
      <c r="O9" s="255" t="s">
        <v>50</v>
      </c>
      <c r="P9" s="255" t="s">
        <v>556</v>
      </c>
      <c r="Q9" s="255" t="s">
        <v>50</v>
      </c>
      <c r="R9" s="256">
        <v>4</v>
      </c>
      <c r="S9" s="255" t="s">
        <v>50</v>
      </c>
      <c r="T9" s="257"/>
    </row>
    <row r="10" spans="1:20" ht="30" customHeight="1">
      <c r="A10" s="258" t="s">
        <v>1753</v>
      </c>
      <c r="B10" s="258" t="s">
        <v>50</v>
      </c>
      <c r="C10" s="258" t="s">
        <v>50</v>
      </c>
      <c r="D10" s="259">
        <v>1</v>
      </c>
      <c r="E10" s="260"/>
      <c r="F10" s="260"/>
      <c r="G10" s="260"/>
      <c r="H10" s="260"/>
      <c r="I10" s="260"/>
      <c r="J10" s="260"/>
      <c r="K10" s="260"/>
      <c r="L10" s="260"/>
      <c r="M10" s="258" t="s">
        <v>50</v>
      </c>
      <c r="N10" s="255" t="s">
        <v>1754</v>
      </c>
      <c r="O10" s="255" t="s">
        <v>50</v>
      </c>
      <c r="P10" s="255" t="s">
        <v>556</v>
      </c>
      <c r="Q10" s="255" t="s">
        <v>50</v>
      </c>
      <c r="R10" s="256">
        <v>4</v>
      </c>
      <c r="S10" s="255" t="s">
        <v>50</v>
      </c>
      <c r="T10" s="257"/>
    </row>
    <row r="11" spans="1:20" ht="30" customHeight="1">
      <c r="A11" s="258" t="s">
        <v>1755</v>
      </c>
      <c r="B11" s="258" t="s">
        <v>50</v>
      </c>
      <c r="C11" s="258" t="s">
        <v>50</v>
      </c>
      <c r="D11" s="259">
        <v>1</v>
      </c>
      <c r="E11" s="260"/>
      <c r="F11" s="260"/>
      <c r="G11" s="260"/>
      <c r="H11" s="260"/>
      <c r="I11" s="260"/>
      <c r="J11" s="260"/>
      <c r="K11" s="260"/>
      <c r="L11" s="260"/>
      <c r="M11" s="258" t="s">
        <v>50</v>
      </c>
      <c r="N11" s="255" t="s">
        <v>1756</v>
      </c>
      <c r="O11" s="255" t="s">
        <v>50</v>
      </c>
      <c r="P11" s="255" t="s">
        <v>556</v>
      </c>
      <c r="Q11" s="255" t="s">
        <v>50</v>
      </c>
      <c r="R11" s="256">
        <v>4</v>
      </c>
      <c r="S11" s="255" t="s">
        <v>50</v>
      </c>
      <c r="T11" s="257"/>
    </row>
    <row r="12" spans="1:20" ht="30" customHeight="1">
      <c r="A12" s="459" t="s">
        <v>1757</v>
      </c>
      <c r="B12" s="459" t="s">
        <v>560</v>
      </c>
      <c r="C12" s="459" t="s">
        <v>50</v>
      </c>
      <c r="D12" s="460">
        <v>1</v>
      </c>
      <c r="E12" s="461"/>
      <c r="F12" s="461"/>
      <c r="G12" s="461"/>
      <c r="H12" s="461"/>
      <c r="I12" s="461"/>
      <c r="J12" s="461"/>
      <c r="K12" s="461"/>
      <c r="L12" s="461"/>
      <c r="M12" s="460" t="s">
        <v>1794</v>
      </c>
      <c r="N12" s="255" t="s">
        <v>557</v>
      </c>
      <c r="O12" s="255" t="s">
        <v>50</v>
      </c>
      <c r="P12" s="255" t="s">
        <v>50</v>
      </c>
      <c r="Q12" s="255" t="s">
        <v>561</v>
      </c>
      <c r="R12" s="256">
        <v>3</v>
      </c>
      <c r="S12" s="255" t="s">
        <v>50</v>
      </c>
      <c r="T12" s="257">
        <f>L12*1</f>
        <v>0</v>
      </c>
    </row>
    <row r="13" spans="1:20" ht="30" customHeight="1">
      <c r="A13" s="459" t="s">
        <v>1758</v>
      </c>
      <c r="B13" s="459" t="s">
        <v>560</v>
      </c>
      <c r="C13" s="459" t="s">
        <v>50</v>
      </c>
      <c r="D13" s="460">
        <v>1</v>
      </c>
      <c r="E13" s="461"/>
      <c r="F13" s="461"/>
      <c r="G13" s="461"/>
      <c r="H13" s="461"/>
      <c r="I13" s="461"/>
      <c r="J13" s="461"/>
      <c r="K13" s="461"/>
      <c r="L13" s="461"/>
      <c r="M13" s="460" t="s">
        <v>1794</v>
      </c>
      <c r="N13" s="255" t="s">
        <v>558</v>
      </c>
      <c r="O13" s="255" t="s">
        <v>50</v>
      </c>
      <c r="P13" s="255" t="s">
        <v>50</v>
      </c>
      <c r="Q13" s="255" t="s">
        <v>1759</v>
      </c>
      <c r="R13" s="256">
        <v>3</v>
      </c>
      <c r="S13" s="255" t="s">
        <v>50</v>
      </c>
      <c r="T13" s="257">
        <f>L13*1</f>
        <v>0</v>
      </c>
    </row>
    <row r="14" spans="1:20" ht="30" customHeight="1">
      <c r="A14" s="459" t="s">
        <v>1760</v>
      </c>
      <c r="B14" s="459" t="s">
        <v>560</v>
      </c>
      <c r="C14" s="459" t="s">
        <v>50</v>
      </c>
      <c r="D14" s="460">
        <v>1</v>
      </c>
      <c r="E14" s="461"/>
      <c r="F14" s="461"/>
      <c r="G14" s="461"/>
      <c r="H14" s="461"/>
      <c r="I14" s="461"/>
      <c r="J14" s="461"/>
      <c r="K14" s="461"/>
      <c r="L14" s="461"/>
      <c r="M14" s="460" t="s">
        <v>1794</v>
      </c>
      <c r="N14" s="255" t="s">
        <v>559</v>
      </c>
      <c r="O14" s="255" t="s">
        <v>50</v>
      </c>
      <c r="P14" s="255" t="s">
        <v>50</v>
      </c>
      <c r="Q14" s="255" t="s">
        <v>562</v>
      </c>
      <c r="R14" s="256">
        <v>3</v>
      </c>
      <c r="S14" s="255" t="s">
        <v>50</v>
      </c>
      <c r="T14" s="257">
        <f>L14*1</f>
        <v>0</v>
      </c>
    </row>
    <row r="15" spans="1:20" ht="30" customHeight="1">
      <c r="A15" s="261" t="s">
        <v>1761</v>
      </c>
      <c r="B15" s="261" t="s">
        <v>50</v>
      </c>
      <c r="C15" s="261" t="s">
        <v>50</v>
      </c>
      <c r="D15" s="262">
        <v>1</v>
      </c>
      <c r="E15" s="263"/>
      <c r="F15" s="263"/>
      <c r="G15" s="263"/>
      <c r="H15" s="263"/>
      <c r="I15" s="263"/>
      <c r="J15" s="263"/>
      <c r="K15" s="263"/>
      <c r="L15" s="263"/>
      <c r="M15" s="261" t="s">
        <v>50</v>
      </c>
      <c r="N15" s="255" t="s">
        <v>1762</v>
      </c>
      <c r="O15" s="255" t="s">
        <v>50</v>
      </c>
      <c r="P15" s="255" t="s">
        <v>140</v>
      </c>
      <c r="Q15" s="255" t="s">
        <v>50</v>
      </c>
      <c r="R15" s="256">
        <v>3</v>
      </c>
      <c r="S15" s="255" t="s">
        <v>50</v>
      </c>
      <c r="T15" s="257"/>
    </row>
    <row r="16" spans="1:20" ht="30" customHeight="1">
      <c r="A16" s="258" t="s">
        <v>1763</v>
      </c>
      <c r="B16" s="258" t="s">
        <v>50</v>
      </c>
      <c r="C16" s="258" t="s">
        <v>50</v>
      </c>
      <c r="D16" s="259">
        <v>1</v>
      </c>
      <c r="E16" s="260"/>
      <c r="F16" s="260"/>
      <c r="G16" s="260"/>
      <c r="H16" s="260"/>
      <c r="I16" s="260"/>
      <c r="J16" s="260"/>
      <c r="K16" s="260"/>
      <c r="L16" s="260"/>
      <c r="M16" s="258" t="s">
        <v>50</v>
      </c>
      <c r="N16" s="255" t="s">
        <v>1764</v>
      </c>
      <c r="O16" s="255" t="s">
        <v>50</v>
      </c>
      <c r="P16" s="255" t="s">
        <v>1762</v>
      </c>
      <c r="Q16" s="255" t="s">
        <v>50</v>
      </c>
      <c r="R16" s="256">
        <v>4</v>
      </c>
      <c r="S16" s="255" t="s">
        <v>50</v>
      </c>
      <c r="T16" s="257"/>
    </row>
    <row r="17" spans="1:20" ht="30" customHeight="1">
      <c r="A17" s="258" t="s">
        <v>1765</v>
      </c>
      <c r="B17" s="258" t="s">
        <v>50</v>
      </c>
      <c r="C17" s="258" t="s">
        <v>50</v>
      </c>
      <c r="D17" s="259">
        <v>1</v>
      </c>
      <c r="E17" s="260"/>
      <c r="F17" s="260"/>
      <c r="G17" s="260"/>
      <c r="H17" s="260"/>
      <c r="I17" s="260"/>
      <c r="J17" s="260"/>
      <c r="K17" s="260"/>
      <c r="L17" s="260"/>
      <c r="M17" s="258" t="s">
        <v>50</v>
      </c>
      <c r="N17" s="255" t="s">
        <v>1766</v>
      </c>
      <c r="O17" s="255" t="s">
        <v>50</v>
      </c>
      <c r="P17" s="255" t="s">
        <v>1762</v>
      </c>
      <c r="Q17" s="255" t="s">
        <v>50</v>
      </c>
      <c r="R17" s="256">
        <v>4</v>
      </c>
      <c r="S17" s="255" t="s">
        <v>50</v>
      </c>
      <c r="T17" s="257"/>
    </row>
    <row r="18" spans="1:20" ht="30" customHeight="1">
      <c r="A18" s="459" t="s">
        <v>1767</v>
      </c>
      <c r="B18" s="459" t="s">
        <v>560</v>
      </c>
      <c r="C18" s="459" t="s">
        <v>50</v>
      </c>
      <c r="D18" s="460">
        <v>1</v>
      </c>
      <c r="E18" s="461"/>
      <c r="F18" s="461"/>
      <c r="G18" s="461"/>
      <c r="H18" s="461"/>
      <c r="I18" s="461"/>
      <c r="J18" s="461"/>
      <c r="K18" s="461"/>
      <c r="L18" s="461"/>
      <c r="M18" s="460" t="s">
        <v>1794</v>
      </c>
      <c r="N18" s="255" t="s">
        <v>1768</v>
      </c>
      <c r="O18" s="255" t="s">
        <v>50</v>
      </c>
      <c r="P18" s="255" t="s">
        <v>50</v>
      </c>
      <c r="Q18" s="255" t="s">
        <v>561</v>
      </c>
      <c r="R18" s="256">
        <v>3</v>
      </c>
      <c r="S18" s="255" t="s">
        <v>50</v>
      </c>
      <c r="T18" s="257">
        <f>L18*1</f>
        <v>0</v>
      </c>
    </row>
    <row r="19" spans="1:20" ht="30" customHeight="1">
      <c r="A19" s="459" t="s">
        <v>1769</v>
      </c>
      <c r="B19" s="459" t="s">
        <v>560</v>
      </c>
      <c r="C19" s="459" t="s">
        <v>50</v>
      </c>
      <c r="D19" s="460">
        <v>1</v>
      </c>
      <c r="E19" s="461"/>
      <c r="F19" s="461"/>
      <c r="G19" s="461"/>
      <c r="H19" s="461"/>
      <c r="I19" s="461"/>
      <c r="J19" s="461"/>
      <c r="K19" s="461"/>
      <c r="L19" s="461"/>
      <c r="M19" s="460" t="s">
        <v>1794</v>
      </c>
      <c r="N19" s="255" t="s">
        <v>1770</v>
      </c>
      <c r="O19" s="255" t="s">
        <v>50</v>
      </c>
      <c r="P19" s="255" t="s">
        <v>50</v>
      </c>
      <c r="Q19" s="255" t="s">
        <v>562</v>
      </c>
      <c r="R19" s="256">
        <v>3</v>
      </c>
      <c r="S19" s="255" t="s">
        <v>50</v>
      </c>
      <c r="T19" s="257">
        <f>L19*1</f>
        <v>0</v>
      </c>
    </row>
    <row r="20" spans="1:20" ht="30" customHeight="1">
      <c r="A20" s="258"/>
      <c r="B20" s="258"/>
      <c r="C20" s="258"/>
      <c r="D20" s="259"/>
      <c r="E20" s="260"/>
      <c r="F20" s="260"/>
      <c r="G20" s="260"/>
      <c r="H20" s="260"/>
      <c r="I20" s="260"/>
      <c r="J20" s="260"/>
      <c r="K20" s="260"/>
      <c r="L20" s="260"/>
      <c r="M20" s="258"/>
      <c r="N20" s="255" t="s">
        <v>1771</v>
      </c>
      <c r="O20" s="255" t="s">
        <v>50</v>
      </c>
      <c r="P20" s="255" t="s">
        <v>50</v>
      </c>
      <c r="Q20" s="255" t="s">
        <v>1772</v>
      </c>
      <c r="R20" s="256">
        <v>3</v>
      </c>
      <c r="S20" s="255" t="s">
        <v>50</v>
      </c>
      <c r="T20" s="257">
        <f>L20*1</f>
        <v>0</v>
      </c>
    </row>
    <row r="21" spans="1:20" ht="30" customHeight="1">
      <c r="A21" s="261"/>
      <c r="B21" s="261"/>
      <c r="C21" s="261"/>
      <c r="D21" s="262"/>
      <c r="E21" s="263"/>
      <c r="F21" s="263"/>
      <c r="G21" s="263"/>
      <c r="H21" s="263"/>
      <c r="I21" s="263"/>
      <c r="J21" s="263"/>
      <c r="K21" s="263"/>
      <c r="L21" s="263"/>
      <c r="M21" s="261"/>
      <c r="N21" s="255" t="s">
        <v>1773</v>
      </c>
      <c r="O21" s="255" t="s">
        <v>50</v>
      </c>
      <c r="P21" s="255" t="s">
        <v>50</v>
      </c>
      <c r="Q21" s="255" t="s">
        <v>1772</v>
      </c>
      <c r="R21" s="256">
        <v>3</v>
      </c>
      <c r="S21" s="255" t="s">
        <v>50</v>
      </c>
      <c r="T21" s="257">
        <f>L21*1</f>
        <v>0</v>
      </c>
    </row>
    <row r="22" spans="1:20" ht="30" customHeight="1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T22" s="264"/>
    </row>
    <row r="23" spans="1:20" ht="30" customHeight="1">
      <c r="A23" s="25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T23" s="264"/>
    </row>
    <row r="24" spans="1:20" ht="30" customHeight="1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T24" s="264"/>
    </row>
    <row r="25" spans="1:20" ht="30" customHeight="1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T25" s="264"/>
    </row>
    <row r="26" spans="1:20" ht="30" customHeight="1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T26" s="264"/>
    </row>
    <row r="27" spans="1:20" ht="30" customHeight="1">
      <c r="A27" s="252" t="s">
        <v>564</v>
      </c>
      <c r="B27" s="253"/>
      <c r="C27" s="253"/>
      <c r="D27" s="253"/>
      <c r="E27" s="253"/>
      <c r="F27" s="254"/>
      <c r="G27" s="253"/>
      <c r="H27" s="254"/>
      <c r="I27" s="253"/>
      <c r="J27" s="254"/>
      <c r="K27" s="253"/>
      <c r="L27" s="254"/>
      <c r="M27" s="253"/>
      <c r="T27" s="264"/>
    </row>
    <row r="28" spans="1:20">
      <c r="A28" s="293"/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1:20">
      <c r="A29" s="293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1:20">
      <c r="A30" s="293"/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1:20">
      <c r="A31" s="293"/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  <row r="32" spans="1:20">
      <c r="A32" s="293"/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</row>
    <row r="33" spans="1:13">
      <c r="A33" s="293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</row>
    <row r="34" spans="1:13">
      <c r="A34" s="293"/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</row>
    <row r="35" spans="1:13">
      <c r="A35" s="293"/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</row>
    <row r="36" spans="1:13">
      <c r="A36" s="293"/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</row>
    <row r="37" spans="1:13">
      <c r="A37" s="293"/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</row>
    <row r="38" spans="1:13">
      <c r="A38" s="293"/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</row>
    <row r="39" spans="1:13">
      <c r="A39" s="293"/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  <c r="M39" s="293"/>
    </row>
    <row r="40" spans="1:13">
      <c r="A40" s="293"/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</row>
    <row r="41" spans="1:13">
      <c r="A41" s="293"/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</row>
    <row r="42" spans="1:13">
      <c r="A42" s="293"/>
      <c r="B42" s="293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</row>
    <row r="43" spans="1:13">
      <c r="A43" s="293"/>
      <c r="B43" s="293"/>
      <c r="C43" s="293"/>
      <c r="D43" s="293"/>
      <c r="E43" s="293"/>
      <c r="F43" s="293"/>
      <c r="G43" s="293"/>
      <c r="H43" s="293"/>
      <c r="I43" s="293"/>
      <c r="J43" s="293"/>
      <c r="K43" s="293"/>
      <c r="L43" s="293"/>
      <c r="M43" s="293"/>
    </row>
    <row r="44" spans="1:13">
      <c r="A44" s="293"/>
      <c r="B44" s="293"/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</row>
    <row r="45" spans="1:13">
      <c r="A45" s="293"/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</row>
    <row r="46" spans="1:13">
      <c r="A46" s="293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</row>
    <row r="47" spans="1:13">
      <c r="A47" s="293"/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</row>
    <row r="48" spans="1:13">
      <c r="A48" s="293"/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</row>
    <row r="49" spans="1:13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3" type="noConversion"/>
  <pageMargins left="0.59055118110236215" right="0.39370078740157483" top="0.39370078740157483" bottom="0.39370078740157483" header="0.19685039370078741" footer="0.19685039370078741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V278"/>
  <sheetViews>
    <sheetView showZeros="0" view="pageBreakPreview" topLeftCell="A139" zoomScale="85" zoomScaleNormal="100" zoomScaleSheetLayoutView="85" workbookViewId="0">
      <selection activeCell="G21" sqref="G21"/>
    </sheetView>
  </sheetViews>
  <sheetFormatPr defaultRowHeight="29.25" customHeight="1"/>
  <cols>
    <col min="1" max="1" width="30.625" customWidth="1"/>
    <col min="2" max="2" width="37.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9.25" customHeight="1">
      <c r="A1" s="249" t="s">
        <v>1746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1"/>
    </row>
    <row r="2" spans="1:48" ht="29.25" customHeight="1">
      <c r="A2" s="570" t="s">
        <v>115</v>
      </c>
      <c r="B2" s="570" t="s">
        <v>116</v>
      </c>
      <c r="C2" s="570" t="s">
        <v>117</v>
      </c>
      <c r="D2" s="570" t="s">
        <v>118</v>
      </c>
      <c r="E2" s="570" t="s">
        <v>119</v>
      </c>
      <c r="F2" s="570"/>
      <c r="G2" s="570" t="s">
        <v>120</v>
      </c>
      <c r="H2" s="570"/>
      <c r="I2" s="570" t="s">
        <v>121</v>
      </c>
      <c r="J2" s="570"/>
      <c r="K2" s="570" t="s">
        <v>122</v>
      </c>
      <c r="L2" s="570"/>
      <c r="M2" s="570" t="s">
        <v>123</v>
      </c>
      <c r="N2" s="569" t="s">
        <v>565</v>
      </c>
      <c r="O2" s="569" t="s">
        <v>125</v>
      </c>
      <c r="P2" s="569" t="s">
        <v>566</v>
      </c>
      <c r="Q2" s="569" t="s">
        <v>124</v>
      </c>
      <c r="R2" s="569" t="s">
        <v>567</v>
      </c>
      <c r="S2" s="569" t="s">
        <v>568</v>
      </c>
      <c r="T2" s="569" t="s">
        <v>569</v>
      </c>
      <c r="U2" s="569" t="s">
        <v>570</v>
      </c>
      <c r="V2" s="569" t="s">
        <v>571</v>
      </c>
      <c r="W2" s="569" t="s">
        <v>572</v>
      </c>
      <c r="X2" s="569" t="s">
        <v>573</v>
      </c>
      <c r="Y2" s="569" t="s">
        <v>574</v>
      </c>
      <c r="Z2" s="569" t="s">
        <v>575</v>
      </c>
      <c r="AA2" s="569" t="s">
        <v>576</v>
      </c>
      <c r="AB2" s="569" t="s">
        <v>577</v>
      </c>
      <c r="AC2" s="569" t="s">
        <v>578</v>
      </c>
      <c r="AD2" s="569" t="s">
        <v>579</v>
      </c>
      <c r="AE2" s="569" t="s">
        <v>580</v>
      </c>
      <c r="AF2" s="569" t="s">
        <v>581</v>
      </c>
      <c r="AG2" s="569" t="s">
        <v>582</v>
      </c>
      <c r="AH2" s="569" t="s">
        <v>583</v>
      </c>
      <c r="AI2" s="569" t="s">
        <v>584</v>
      </c>
      <c r="AJ2" s="569" t="s">
        <v>585</v>
      </c>
      <c r="AK2" s="569" t="s">
        <v>586</v>
      </c>
      <c r="AL2" s="569" t="s">
        <v>587</v>
      </c>
      <c r="AM2" s="569" t="s">
        <v>588</v>
      </c>
      <c r="AN2" s="569" t="s">
        <v>589</v>
      </c>
      <c r="AO2" s="569" t="s">
        <v>590</v>
      </c>
      <c r="AP2" s="569" t="s">
        <v>591</v>
      </c>
      <c r="AQ2" s="569" t="s">
        <v>592</v>
      </c>
      <c r="AR2" s="569" t="s">
        <v>593</v>
      </c>
      <c r="AS2" s="569" t="s">
        <v>127</v>
      </c>
      <c r="AT2" s="569" t="s">
        <v>128</v>
      </c>
      <c r="AU2" s="569" t="s">
        <v>594</v>
      </c>
      <c r="AV2" s="569" t="s">
        <v>595</v>
      </c>
    </row>
    <row r="3" spans="1:48" ht="29.25" customHeight="1">
      <c r="A3" s="570"/>
      <c r="B3" s="570"/>
      <c r="C3" s="570"/>
      <c r="D3" s="570"/>
      <c r="E3" s="462" t="s">
        <v>131</v>
      </c>
      <c r="F3" s="462" t="s">
        <v>132</v>
      </c>
      <c r="G3" s="462" t="s">
        <v>131</v>
      </c>
      <c r="H3" s="462" t="s">
        <v>132</v>
      </c>
      <c r="I3" s="462" t="s">
        <v>131</v>
      </c>
      <c r="J3" s="462" t="s">
        <v>132</v>
      </c>
      <c r="K3" s="462" t="s">
        <v>131</v>
      </c>
      <c r="L3" s="462" t="s">
        <v>132</v>
      </c>
      <c r="M3" s="570"/>
      <c r="N3" s="569"/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  <c r="AJ3" s="569"/>
      <c r="AK3" s="569"/>
      <c r="AL3" s="569"/>
      <c r="AM3" s="569"/>
      <c r="AN3" s="569"/>
      <c r="AO3" s="569"/>
      <c r="AP3" s="569"/>
      <c r="AQ3" s="569"/>
      <c r="AR3" s="569"/>
      <c r="AS3" s="569"/>
      <c r="AT3" s="569"/>
      <c r="AU3" s="569"/>
      <c r="AV3" s="569"/>
    </row>
    <row r="4" spans="1:48" ht="29.25" customHeight="1">
      <c r="A4" s="294" t="s">
        <v>1749</v>
      </c>
      <c r="B4" s="294" t="s">
        <v>1795</v>
      </c>
      <c r="C4" s="259"/>
      <c r="D4" s="259"/>
      <c r="E4" s="260"/>
      <c r="F4" s="260"/>
      <c r="G4" s="260"/>
      <c r="H4" s="260"/>
      <c r="I4" s="260"/>
      <c r="J4" s="260"/>
      <c r="K4" s="260"/>
      <c r="L4" s="260"/>
      <c r="M4" s="259"/>
      <c r="N4" s="256"/>
      <c r="O4" s="256"/>
      <c r="P4" s="256"/>
      <c r="Q4" s="255" t="s">
        <v>1750</v>
      </c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</row>
    <row r="5" spans="1:48" ht="29.25" customHeight="1">
      <c r="A5" s="294" t="s">
        <v>1525</v>
      </c>
      <c r="B5" s="294" t="s">
        <v>2325</v>
      </c>
      <c r="C5" s="294" t="s">
        <v>596</v>
      </c>
      <c r="D5" s="259">
        <v>289</v>
      </c>
      <c r="E5" s="260">
        <f>TRUNC(일위대가목록!E4,0)</f>
        <v>0</v>
      </c>
      <c r="F5" s="260">
        <f t="shared" ref="F5:F16" si="0">TRUNC(E5*D5, 0)</f>
        <v>0</v>
      </c>
      <c r="G5" s="260">
        <f>TRUNC(일위대가목록!F4,0)</f>
        <v>0</v>
      </c>
      <c r="H5" s="260"/>
      <c r="I5" s="260"/>
      <c r="J5" s="260"/>
      <c r="K5" s="260"/>
      <c r="L5" s="260"/>
      <c r="M5" s="294" t="s">
        <v>597</v>
      </c>
      <c r="N5" s="255" t="s">
        <v>1796</v>
      </c>
      <c r="O5" s="255" t="s">
        <v>50</v>
      </c>
      <c r="P5" s="255" t="s">
        <v>50</v>
      </c>
      <c r="Q5" s="255" t="s">
        <v>1750</v>
      </c>
      <c r="R5" s="255" t="s">
        <v>598</v>
      </c>
      <c r="S5" s="255" t="s">
        <v>599</v>
      </c>
      <c r="T5" s="255" t="s">
        <v>599</v>
      </c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5" t="s">
        <v>50</v>
      </c>
      <c r="AS5" s="255" t="s">
        <v>50</v>
      </c>
      <c r="AT5" s="256"/>
      <c r="AU5" s="255" t="s">
        <v>1797</v>
      </c>
      <c r="AV5" s="256">
        <v>2234</v>
      </c>
    </row>
    <row r="6" spans="1:48" ht="29.25" customHeight="1">
      <c r="A6" s="294" t="s">
        <v>1500</v>
      </c>
      <c r="B6" s="294" t="s">
        <v>2326</v>
      </c>
      <c r="C6" s="294" t="s">
        <v>596</v>
      </c>
      <c r="D6" s="259">
        <v>93</v>
      </c>
      <c r="E6" s="260">
        <f>TRUNC(일위대가목록!E5,0)</f>
        <v>0</v>
      </c>
      <c r="F6" s="260">
        <f t="shared" si="0"/>
        <v>0</v>
      </c>
      <c r="G6" s="260">
        <f>TRUNC(일위대가목록!F5,0)</f>
        <v>0</v>
      </c>
      <c r="H6" s="260"/>
      <c r="I6" s="260"/>
      <c r="J6" s="260"/>
      <c r="K6" s="260"/>
      <c r="L6" s="260"/>
      <c r="M6" s="294" t="s">
        <v>600</v>
      </c>
      <c r="N6" s="255" t="s">
        <v>1798</v>
      </c>
      <c r="O6" s="255" t="s">
        <v>50</v>
      </c>
      <c r="P6" s="255" t="s">
        <v>50</v>
      </c>
      <c r="Q6" s="255" t="s">
        <v>1750</v>
      </c>
      <c r="R6" s="255" t="s">
        <v>598</v>
      </c>
      <c r="S6" s="255" t="s">
        <v>599</v>
      </c>
      <c r="T6" s="255" t="s">
        <v>599</v>
      </c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5" t="s">
        <v>50</v>
      </c>
      <c r="AS6" s="255" t="s">
        <v>50</v>
      </c>
      <c r="AT6" s="256"/>
      <c r="AU6" s="255" t="s">
        <v>1799</v>
      </c>
      <c r="AV6" s="256">
        <v>2233</v>
      </c>
    </row>
    <row r="7" spans="1:48" ht="29.25" customHeight="1">
      <c r="A7" s="294" t="s">
        <v>1502</v>
      </c>
      <c r="B7" s="294" t="s">
        <v>2327</v>
      </c>
      <c r="C7" s="294" t="s">
        <v>602</v>
      </c>
      <c r="D7" s="259">
        <v>1</v>
      </c>
      <c r="E7" s="260">
        <f>TRUNC(일위대가목록!E6,0)</f>
        <v>0</v>
      </c>
      <c r="F7" s="260">
        <f t="shared" si="0"/>
        <v>0</v>
      </c>
      <c r="G7" s="260">
        <f>TRUNC(일위대가목록!F6,0)</f>
        <v>0</v>
      </c>
      <c r="H7" s="260"/>
      <c r="I7" s="260"/>
      <c r="J7" s="260"/>
      <c r="K7" s="260"/>
      <c r="L7" s="260"/>
      <c r="M7" s="294" t="s">
        <v>601</v>
      </c>
      <c r="N7" s="255" t="s">
        <v>1800</v>
      </c>
      <c r="O7" s="255" t="s">
        <v>50</v>
      </c>
      <c r="P7" s="255" t="s">
        <v>50</v>
      </c>
      <c r="Q7" s="255" t="s">
        <v>1750</v>
      </c>
      <c r="R7" s="255" t="s">
        <v>598</v>
      </c>
      <c r="S7" s="255" t="s">
        <v>599</v>
      </c>
      <c r="T7" s="255" t="s">
        <v>599</v>
      </c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5" t="s">
        <v>50</v>
      </c>
      <c r="AS7" s="255" t="s">
        <v>50</v>
      </c>
      <c r="AT7" s="256"/>
      <c r="AU7" s="255" t="s">
        <v>1801</v>
      </c>
      <c r="AV7" s="256">
        <v>2228</v>
      </c>
    </row>
    <row r="8" spans="1:48" ht="29.25" customHeight="1">
      <c r="A8" s="294" t="s">
        <v>1527</v>
      </c>
      <c r="B8" s="294" t="s">
        <v>2328</v>
      </c>
      <c r="C8" s="294" t="s">
        <v>602</v>
      </c>
      <c r="D8" s="259">
        <v>3</v>
      </c>
      <c r="E8" s="260">
        <f>TRUNC(일위대가목록!E7,0)</f>
        <v>0</v>
      </c>
      <c r="F8" s="260">
        <f t="shared" si="0"/>
        <v>0</v>
      </c>
      <c r="G8" s="260">
        <f>TRUNC(일위대가목록!F7,0)</f>
        <v>0</v>
      </c>
      <c r="H8" s="260"/>
      <c r="I8" s="260"/>
      <c r="J8" s="260"/>
      <c r="K8" s="260"/>
      <c r="L8" s="260"/>
      <c r="M8" s="294" t="s">
        <v>603</v>
      </c>
      <c r="N8" s="255" t="s">
        <v>1802</v>
      </c>
      <c r="O8" s="255" t="s">
        <v>50</v>
      </c>
      <c r="P8" s="255" t="s">
        <v>50</v>
      </c>
      <c r="Q8" s="255" t="s">
        <v>1750</v>
      </c>
      <c r="R8" s="255" t="s">
        <v>598</v>
      </c>
      <c r="S8" s="255" t="s">
        <v>599</v>
      </c>
      <c r="T8" s="255" t="s">
        <v>599</v>
      </c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5" t="s">
        <v>50</v>
      </c>
      <c r="AS8" s="255" t="s">
        <v>50</v>
      </c>
      <c r="AT8" s="256"/>
      <c r="AU8" s="255" t="s">
        <v>1803</v>
      </c>
      <c r="AV8" s="256">
        <v>2493</v>
      </c>
    </row>
    <row r="9" spans="1:48" ht="29.25" customHeight="1">
      <c r="A9" s="294" t="s">
        <v>1529</v>
      </c>
      <c r="B9" s="294" t="s">
        <v>2328</v>
      </c>
      <c r="C9" s="294" t="s">
        <v>602</v>
      </c>
      <c r="D9" s="259">
        <v>2</v>
      </c>
      <c r="E9" s="260">
        <f>TRUNC(일위대가목록!E8,0)</f>
        <v>0</v>
      </c>
      <c r="F9" s="260">
        <f t="shared" si="0"/>
        <v>0</v>
      </c>
      <c r="G9" s="260">
        <f>TRUNC(일위대가목록!F8,0)</f>
        <v>0</v>
      </c>
      <c r="H9" s="260"/>
      <c r="I9" s="260"/>
      <c r="J9" s="260"/>
      <c r="K9" s="260"/>
      <c r="L9" s="260"/>
      <c r="M9" s="294" t="s">
        <v>605</v>
      </c>
      <c r="N9" s="255" t="s">
        <v>1804</v>
      </c>
      <c r="O9" s="255" t="s">
        <v>50</v>
      </c>
      <c r="P9" s="255" t="s">
        <v>50</v>
      </c>
      <c r="Q9" s="255" t="s">
        <v>1750</v>
      </c>
      <c r="R9" s="255" t="s">
        <v>598</v>
      </c>
      <c r="S9" s="255" t="s">
        <v>599</v>
      </c>
      <c r="T9" s="255" t="s">
        <v>599</v>
      </c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5" t="s">
        <v>50</v>
      </c>
      <c r="AS9" s="255" t="s">
        <v>50</v>
      </c>
      <c r="AT9" s="256"/>
      <c r="AU9" s="255" t="s">
        <v>1805</v>
      </c>
      <c r="AV9" s="256">
        <v>2495</v>
      </c>
    </row>
    <row r="10" spans="1:48" ht="29.25" customHeight="1">
      <c r="A10" s="294" t="s">
        <v>1530</v>
      </c>
      <c r="B10" s="294" t="s">
        <v>2328</v>
      </c>
      <c r="C10" s="294" t="s">
        <v>602</v>
      </c>
      <c r="D10" s="259">
        <v>1</v>
      </c>
      <c r="E10" s="260">
        <f>TRUNC(일위대가목록!E9,0)</f>
        <v>0</v>
      </c>
      <c r="F10" s="260">
        <f t="shared" si="0"/>
        <v>0</v>
      </c>
      <c r="G10" s="260">
        <f>TRUNC(일위대가목록!F9,0)</f>
        <v>0</v>
      </c>
      <c r="H10" s="260"/>
      <c r="I10" s="260"/>
      <c r="J10" s="260"/>
      <c r="K10" s="260"/>
      <c r="L10" s="260"/>
      <c r="M10" s="294" t="s">
        <v>606</v>
      </c>
      <c r="N10" s="255" t="s">
        <v>1806</v>
      </c>
      <c r="O10" s="255" t="s">
        <v>50</v>
      </c>
      <c r="P10" s="255" t="s">
        <v>50</v>
      </c>
      <c r="Q10" s="255" t="s">
        <v>1750</v>
      </c>
      <c r="R10" s="255" t="s">
        <v>598</v>
      </c>
      <c r="S10" s="255" t="s">
        <v>599</v>
      </c>
      <c r="T10" s="255" t="s">
        <v>599</v>
      </c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5" t="s">
        <v>50</v>
      </c>
      <c r="AS10" s="255" t="s">
        <v>50</v>
      </c>
      <c r="AT10" s="256"/>
      <c r="AU10" s="255" t="s">
        <v>1807</v>
      </c>
      <c r="AV10" s="256">
        <v>2496</v>
      </c>
    </row>
    <row r="11" spans="1:48" ht="29.25" customHeight="1">
      <c r="A11" s="294" t="s">
        <v>1531</v>
      </c>
      <c r="B11" s="294" t="s">
        <v>2328</v>
      </c>
      <c r="C11" s="294" t="s">
        <v>602</v>
      </c>
      <c r="D11" s="259">
        <v>2</v>
      </c>
      <c r="E11" s="260">
        <f>TRUNC(일위대가목록!E10,0)</f>
        <v>0</v>
      </c>
      <c r="F11" s="260">
        <f t="shared" si="0"/>
        <v>0</v>
      </c>
      <c r="G11" s="260">
        <f>TRUNC(일위대가목록!F10,0)</f>
        <v>0</v>
      </c>
      <c r="H11" s="260"/>
      <c r="I11" s="260"/>
      <c r="J11" s="260"/>
      <c r="K11" s="260"/>
      <c r="L11" s="260"/>
      <c r="M11" s="294" t="s">
        <v>607</v>
      </c>
      <c r="N11" s="255" t="s">
        <v>1808</v>
      </c>
      <c r="O11" s="255" t="s">
        <v>50</v>
      </c>
      <c r="P11" s="255" t="s">
        <v>50</v>
      </c>
      <c r="Q11" s="255" t="s">
        <v>1750</v>
      </c>
      <c r="R11" s="255" t="s">
        <v>598</v>
      </c>
      <c r="S11" s="255" t="s">
        <v>599</v>
      </c>
      <c r="T11" s="255" t="s">
        <v>599</v>
      </c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5" t="s">
        <v>50</v>
      </c>
      <c r="AS11" s="255" t="s">
        <v>50</v>
      </c>
      <c r="AT11" s="256"/>
      <c r="AU11" s="255" t="s">
        <v>1809</v>
      </c>
      <c r="AV11" s="256">
        <v>2497</v>
      </c>
    </row>
    <row r="12" spans="1:48" ht="29.25" customHeight="1">
      <c r="A12" s="294" t="s">
        <v>1532</v>
      </c>
      <c r="B12" s="294" t="s">
        <v>1533</v>
      </c>
      <c r="C12" s="294" t="s">
        <v>602</v>
      </c>
      <c r="D12" s="259">
        <v>8</v>
      </c>
      <c r="E12" s="260">
        <f>TRUNC(일위대가목록!E11,0)</f>
        <v>0</v>
      </c>
      <c r="F12" s="260">
        <f t="shared" si="0"/>
        <v>0</v>
      </c>
      <c r="G12" s="260">
        <f>TRUNC(일위대가목록!F11,0)</f>
        <v>0</v>
      </c>
      <c r="H12" s="260"/>
      <c r="I12" s="260"/>
      <c r="J12" s="260"/>
      <c r="K12" s="260"/>
      <c r="L12" s="260"/>
      <c r="M12" s="294" t="s">
        <v>608</v>
      </c>
      <c r="N12" s="255" t="s">
        <v>1810</v>
      </c>
      <c r="O12" s="255" t="s">
        <v>50</v>
      </c>
      <c r="P12" s="255" t="s">
        <v>50</v>
      </c>
      <c r="Q12" s="255" t="s">
        <v>1750</v>
      </c>
      <c r="R12" s="255" t="s">
        <v>598</v>
      </c>
      <c r="S12" s="255" t="s">
        <v>599</v>
      </c>
      <c r="T12" s="255" t="s">
        <v>599</v>
      </c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5" t="s">
        <v>50</v>
      </c>
      <c r="AS12" s="255" t="s">
        <v>50</v>
      </c>
      <c r="AT12" s="256"/>
      <c r="AU12" s="255" t="s">
        <v>1811</v>
      </c>
      <c r="AV12" s="256">
        <v>2500</v>
      </c>
    </row>
    <row r="13" spans="1:48" ht="29.25" customHeight="1">
      <c r="A13" s="294" t="s">
        <v>1534</v>
      </c>
      <c r="B13" s="294" t="s">
        <v>2329</v>
      </c>
      <c r="C13" s="294" t="s">
        <v>610</v>
      </c>
      <c r="D13" s="259">
        <v>1</v>
      </c>
      <c r="E13" s="260">
        <f>TRUNC(일위대가목록!E12,0)</f>
        <v>0</v>
      </c>
      <c r="F13" s="260">
        <f t="shared" si="0"/>
        <v>0</v>
      </c>
      <c r="G13" s="260">
        <f>TRUNC(일위대가목록!F12,0)</f>
        <v>0</v>
      </c>
      <c r="H13" s="260"/>
      <c r="I13" s="260"/>
      <c r="J13" s="260"/>
      <c r="K13" s="260"/>
      <c r="L13" s="260"/>
      <c r="M13" s="294" t="s">
        <v>609</v>
      </c>
      <c r="N13" s="255" t="s">
        <v>1812</v>
      </c>
      <c r="O13" s="255" t="s">
        <v>50</v>
      </c>
      <c r="P13" s="255" t="s">
        <v>50</v>
      </c>
      <c r="Q13" s="255" t="s">
        <v>1750</v>
      </c>
      <c r="R13" s="255" t="s">
        <v>598</v>
      </c>
      <c r="S13" s="255" t="s">
        <v>599</v>
      </c>
      <c r="T13" s="255" t="s">
        <v>599</v>
      </c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5" t="s">
        <v>50</v>
      </c>
      <c r="AS13" s="255" t="s">
        <v>50</v>
      </c>
      <c r="AT13" s="256"/>
      <c r="AU13" s="255" t="s">
        <v>1813</v>
      </c>
      <c r="AV13" s="256">
        <v>2499</v>
      </c>
    </row>
    <row r="14" spans="1:48" ht="29.25" customHeight="1">
      <c r="A14" s="294" t="s">
        <v>1503</v>
      </c>
      <c r="B14" s="294" t="s">
        <v>2330</v>
      </c>
      <c r="C14" s="294" t="s">
        <v>602</v>
      </c>
      <c r="D14" s="259">
        <v>1</v>
      </c>
      <c r="E14" s="260">
        <f>TRUNC(일위대가목록!E13,0)</f>
        <v>0</v>
      </c>
      <c r="F14" s="260">
        <f t="shared" si="0"/>
        <v>0</v>
      </c>
      <c r="G14" s="260">
        <f>TRUNC(일위대가목록!F13,0)</f>
        <v>0</v>
      </c>
      <c r="H14" s="260"/>
      <c r="I14" s="260"/>
      <c r="J14" s="260"/>
      <c r="K14" s="260"/>
      <c r="L14" s="260"/>
      <c r="M14" s="294" t="s">
        <v>611</v>
      </c>
      <c r="N14" s="255" t="s">
        <v>1814</v>
      </c>
      <c r="O14" s="255" t="s">
        <v>50</v>
      </c>
      <c r="P14" s="255" t="s">
        <v>50</v>
      </c>
      <c r="Q14" s="255" t="s">
        <v>1750</v>
      </c>
      <c r="R14" s="255" t="s">
        <v>598</v>
      </c>
      <c r="S14" s="255" t="s">
        <v>599</v>
      </c>
      <c r="T14" s="255" t="s">
        <v>599</v>
      </c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5" t="s">
        <v>50</v>
      </c>
      <c r="AS14" s="255" t="s">
        <v>50</v>
      </c>
      <c r="AT14" s="256"/>
      <c r="AU14" s="255" t="s">
        <v>1815</v>
      </c>
      <c r="AV14" s="256">
        <v>563</v>
      </c>
    </row>
    <row r="15" spans="1:48" ht="29.25" customHeight="1">
      <c r="A15" s="294" t="s">
        <v>1536</v>
      </c>
      <c r="B15" s="294" t="s">
        <v>1537</v>
      </c>
      <c r="C15" s="294" t="s">
        <v>602</v>
      </c>
      <c r="D15" s="259">
        <v>8</v>
      </c>
      <c r="E15" s="260">
        <f>TRUNC(일위대가목록!E14,0)</f>
        <v>0</v>
      </c>
      <c r="F15" s="260">
        <f t="shared" si="0"/>
        <v>0</v>
      </c>
      <c r="G15" s="260">
        <f>TRUNC(일위대가목록!F14,0)</f>
        <v>0</v>
      </c>
      <c r="H15" s="260"/>
      <c r="I15" s="260"/>
      <c r="J15" s="260"/>
      <c r="K15" s="260"/>
      <c r="L15" s="260"/>
      <c r="M15" s="294" t="s">
        <v>612</v>
      </c>
      <c r="N15" s="255" t="s">
        <v>1816</v>
      </c>
      <c r="O15" s="255" t="s">
        <v>50</v>
      </c>
      <c r="P15" s="255" t="s">
        <v>50</v>
      </c>
      <c r="Q15" s="255" t="s">
        <v>1750</v>
      </c>
      <c r="R15" s="255" t="s">
        <v>598</v>
      </c>
      <c r="S15" s="255" t="s">
        <v>599</v>
      </c>
      <c r="T15" s="255" t="s">
        <v>599</v>
      </c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5" t="s">
        <v>50</v>
      </c>
      <c r="AS15" s="255" t="s">
        <v>50</v>
      </c>
      <c r="AT15" s="256"/>
      <c r="AU15" s="255" t="s">
        <v>1817</v>
      </c>
      <c r="AV15" s="256">
        <v>2501</v>
      </c>
    </row>
    <row r="16" spans="1:48" ht="29.25" customHeight="1">
      <c r="A16" s="294" t="s">
        <v>615</v>
      </c>
      <c r="B16" s="294" t="s">
        <v>616</v>
      </c>
      <c r="C16" s="294" t="s">
        <v>602</v>
      </c>
      <c r="D16" s="259">
        <v>1</v>
      </c>
      <c r="E16" s="260">
        <f>TRUNC(단가대비표!O55,0)</f>
        <v>0</v>
      </c>
      <c r="F16" s="260">
        <f t="shared" si="0"/>
        <v>0</v>
      </c>
      <c r="G16" s="260">
        <f>TRUNC(단가대비표!P55,0)</f>
        <v>0</v>
      </c>
      <c r="H16" s="260"/>
      <c r="I16" s="260"/>
      <c r="J16" s="260"/>
      <c r="K16" s="260"/>
      <c r="L16" s="260"/>
      <c r="M16" s="294" t="s">
        <v>50</v>
      </c>
      <c r="N16" s="255" t="s">
        <v>1818</v>
      </c>
      <c r="O16" s="255" t="s">
        <v>50</v>
      </c>
      <c r="P16" s="255" t="s">
        <v>50</v>
      </c>
      <c r="Q16" s="255" t="s">
        <v>1750</v>
      </c>
      <c r="R16" s="255" t="s">
        <v>599</v>
      </c>
      <c r="S16" s="255" t="s">
        <v>599</v>
      </c>
      <c r="T16" s="255" t="s">
        <v>598</v>
      </c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5" t="s">
        <v>50</v>
      </c>
      <c r="AS16" s="255" t="s">
        <v>50</v>
      </c>
      <c r="AT16" s="256"/>
      <c r="AU16" s="255" t="s">
        <v>1819</v>
      </c>
      <c r="AV16" s="256">
        <v>5</v>
      </c>
    </row>
    <row r="17" spans="1:48" ht="29.25" customHeight="1">
      <c r="A17" s="259"/>
      <c r="B17" s="259"/>
      <c r="C17" s="259"/>
      <c r="D17" s="259"/>
      <c r="E17" s="260"/>
      <c r="F17" s="260"/>
      <c r="G17" s="260"/>
      <c r="H17" s="260"/>
      <c r="I17" s="260"/>
      <c r="J17" s="260"/>
      <c r="K17" s="260"/>
      <c r="L17" s="260"/>
      <c r="M17" s="259"/>
      <c r="Q17" s="464" t="s">
        <v>1750</v>
      </c>
    </row>
    <row r="18" spans="1:48" ht="29.25" customHeight="1">
      <c r="A18" s="259"/>
      <c r="B18" s="259"/>
      <c r="C18" s="259"/>
      <c r="D18" s="259"/>
      <c r="E18" s="260"/>
      <c r="F18" s="260"/>
      <c r="G18" s="260"/>
      <c r="H18" s="260"/>
      <c r="I18" s="260"/>
      <c r="J18" s="260"/>
      <c r="K18" s="260"/>
      <c r="L18" s="260"/>
      <c r="M18" s="259"/>
      <c r="Q18" s="464" t="s">
        <v>1750</v>
      </c>
    </row>
    <row r="19" spans="1:48" ht="29.25" customHeight="1">
      <c r="A19" s="259"/>
      <c r="B19" s="259"/>
      <c r="C19" s="259"/>
      <c r="D19" s="259"/>
      <c r="E19" s="260"/>
      <c r="F19" s="260"/>
      <c r="G19" s="260"/>
      <c r="H19" s="260"/>
      <c r="I19" s="260"/>
      <c r="J19" s="260"/>
      <c r="K19" s="260"/>
      <c r="L19" s="260"/>
      <c r="M19" s="259"/>
      <c r="Q19" s="464" t="s">
        <v>1750</v>
      </c>
    </row>
    <row r="20" spans="1:48" ht="29.25" customHeight="1">
      <c r="A20" s="259"/>
      <c r="B20" s="259"/>
      <c r="C20" s="259"/>
      <c r="D20" s="259"/>
      <c r="E20" s="260"/>
      <c r="F20" s="260"/>
      <c r="G20" s="260"/>
      <c r="H20" s="260"/>
      <c r="I20" s="260"/>
      <c r="J20" s="260"/>
      <c r="K20" s="260"/>
      <c r="L20" s="260"/>
      <c r="M20" s="259"/>
      <c r="Q20" s="464" t="s">
        <v>1750</v>
      </c>
    </row>
    <row r="21" spans="1:48" ht="29.25" customHeight="1">
      <c r="A21" s="259"/>
      <c r="B21" s="259"/>
      <c r="C21" s="259"/>
      <c r="D21" s="259"/>
      <c r="E21" s="260"/>
      <c r="F21" s="260"/>
      <c r="G21" s="260"/>
      <c r="H21" s="260"/>
      <c r="I21" s="260"/>
      <c r="J21" s="260"/>
      <c r="K21" s="260"/>
      <c r="L21" s="260"/>
      <c r="M21" s="259"/>
      <c r="Q21" s="464" t="s">
        <v>1750</v>
      </c>
    </row>
    <row r="22" spans="1:48" ht="29.25" customHeight="1">
      <c r="A22" s="259"/>
      <c r="B22" s="259"/>
      <c r="C22" s="259"/>
      <c r="D22" s="259"/>
      <c r="E22" s="260"/>
      <c r="F22" s="260"/>
      <c r="G22" s="260"/>
      <c r="H22" s="260"/>
      <c r="I22" s="260"/>
      <c r="J22" s="260"/>
      <c r="K22" s="260"/>
      <c r="L22" s="260"/>
      <c r="M22" s="259"/>
      <c r="Q22" s="464" t="s">
        <v>1750</v>
      </c>
    </row>
    <row r="23" spans="1:48" ht="29.25" customHeight="1">
      <c r="A23" s="259"/>
      <c r="B23" s="259"/>
      <c r="C23" s="259"/>
      <c r="D23" s="259"/>
      <c r="E23" s="260"/>
      <c r="F23" s="260"/>
      <c r="G23" s="260"/>
      <c r="H23" s="260"/>
      <c r="I23" s="260"/>
      <c r="J23" s="260"/>
      <c r="K23" s="260"/>
      <c r="L23" s="260"/>
      <c r="M23" s="259"/>
      <c r="Q23" s="464" t="s">
        <v>1750</v>
      </c>
    </row>
    <row r="24" spans="1:48" ht="29.25" customHeight="1">
      <c r="A24" s="259"/>
      <c r="B24" s="259"/>
      <c r="C24" s="259"/>
      <c r="D24" s="259"/>
      <c r="E24" s="260"/>
      <c r="F24" s="260"/>
      <c r="G24" s="260"/>
      <c r="H24" s="260"/>
      <c r="I24" s="260"/>
      <c r="J24" s="260"/>
      <c r="K24" s="260"/>
      <c r="L24" s="260"/>
      <c r="M24" s="259"/>
      <c r="Q24" s="464" t="s">
        <v>1750</v>
      </c>
    </row>
    <row r="25" spans="1:48" ht="29.25" customHeight="1">
      <c r="A25" s="259"/>
      <c r="B25" s="259"/>
      <c r="C25" s="259"/>
      <c r="D25" s="259"/>
      <c r="E25" s="260"/>
      <c r="F25" s="260"/>
      <c r="G25" s="260"/>
      <c r="H25" s="260"/>
      <c r="I25" s="260"/>
      <c r="J25" s="260"/>
      <c r="K25" s="260"/>
      <c r="L25" s="260"/>
      <c r="M25" s="259"/>
      <c r="Q25" s="464" t="s">
        <v>1750</v>
      </c>
    </row>
    <row r="26" spans="1:48" ht="29.25" customHeight="1">
      <c r="A26" s="259"/>
      <c r="B26" s="259"/>
      <c r="C26" s="259"/>
      <c r="D26" s="259"/>
      <c r="E26" s="260"/>
      <c r="F26" s="260"/>
      <c r="G26" s="260"/>
      <c r="H26" s="260"/>
      <c r="I26" s="260"/>
      <c r="J26" s="260"/>
      <c r="K26" s="260"/>
      <c r="L26" s="260"/>
      <c r="M26" s="259"/>
      <c r="Q26" s="464" t="s">
        <v>1750</v>
      </c>
    </row>
    <row r="27" spans="1:48" ht="29.25" customHeight="1">
      <c r="A27" s="259"/>
      <c r="B27" s="259"/>
      <c r="C27" s="259"/>
      <c r="D27" s="259"/>
      <c r="E27" s="260"/>
      <c r="F27" s="260"/>
      <c r="G27" s="260"/>
      <c r="H27" s="260"/>
      <c r="I27" s="260"/>
      <c r="J27" s="260"/>
      <c r="K27" s="260"/>
      <c r="L27" s="260"/>
      <c r="M27" s="259"/>
      <c r="Q27" s="464" t="s">
        <v>1750</v>
      </c>
    </row>
    <row r="28" spans="1:48" ht="29.25" customHeight="1">
      <c r="A28" s="252" t="s">
        <v>564</v>
      </c>
      <c r="B28" s="253"/>
      <c r="C28" s="253"/>
      <c r="D28" s="253"/>
      <c r="E28" s="254"/>
      <c r="F28" s="254">
        <f>SUMIF(Q5:Q27,"01010101",F5:F27)</f>
        <v>0</v>
      </c>
      <c r="G28" s="254"/>
      <c r="H28" s="254">
        <f>SUMIF(Q5:Q27,"01010101",H5:H27)</f>
        <v>0</v>
      </c>
      <c r="I28" s="254"/>
      <c r="J28" s="254">
        <f>SUMIF(Q5:Q27,"01010101",J5:J27)</f>
        <v>0</v>
      </c>
      <c r="K28" s="254"/>
      <c r="L28" s="254">
        <f>SUMIF(Q5:Q27,"01010101",L5:L27)</f>
        <v>0</v>
      </c>
      <c r="M28" s="253"/>
      <c r="N28" t="s">
        <v>617</v>
      </c>
    </row>
    <row r="29" spans="1:48" ht="29.25" customHeight="1">
      <c r="A29" s="294" t="s">
        <v>1751</v>
      </c>
      <c r="B29" s="294" t="s">
        <v>1795</v>
      </c>
      <c r="C29" s="259"/>
      <c r="D29" s="259"/>
      <c r="E29" s="260"/>
      <c r="F29" s="260"/>
      <c r="G29" s="260"/>
      <c r="H29" s="260"/>
      <c r="I29" s="260"/>
      <c r="J29" s="260"/>
      <c r="K29" s="260"/>
      <c r="L29" s="260"/>
      <c r="M29" s="259"/>
      <c r="N29" s="256"/>
      <c r="O29" s="256"/>
      <c r="P29" s="256"/>
      <c r="Q29" s="255" t="s">
        <v>1752</v>
      </c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</row>
    <row r="30" spans="1:48" ht="29.25" customHeight="1">
      <c r="A30" s="294" t="s">
        <v>642</v>
      </c>
      <c r="B30" s="294" t="s">
        <v>643</v>
      </c>
      <c r="C30" s="294" t="s">
        <v>644</v>
      </c>
      <c r="D30" s="259">
        <v>88</v>
      </c>
      <c r="E30" s="260">
        <f>TRUNC(단가대비표!O33,0)</f>
        <v>0</v>
      </c>
      <c r="F30" s="260">
        <f t="shared" ref="F30:F48" si="1">TRUNC(E30*D30, 0)</f>
        <v>0</v>
      </c>
      <c r="G30" s="260">
        <f>TRUNC(단가대비표!P33,0)</f>
        <v>0</v>
      </c>
      <c r="H30" s="260">
        <f t="shared" ref="H30:H48" si="2">TRUNC(G30*D30, 0)</f>
        <v>0</v>
      </c>
      <c r="I30" s="260">
        <f>TRUNC(단가대비표!V33,0)</f>
        <v>0</v>
      </c>
      <c r="J30" s="260">
        <f t="shared" ref="J30:J48" si="3">TRUNC(I30*D30, 0)</f>
        <v>0</v>
      </c>
      <c r="K30" s="260">
        <f t="shared" ref="K30:L48" si="4">TRUNC(E30+G30+I30, 0)</f>
        <v>0</v>
      </c>
      <c r="L30" s="260">
        <f t="shared" si="4"/>
        <v>0</v>
      </c>
      <c r="M30" s="294" t="s">
        <v>645</v>
      </c>
      <c r="N30" s="255" t="s">
        <v>1820</v>
      </c>
      <c r="O30" s="255" t="s">
        <v>50</v>
      </c>
      <c r="P30" s="255" t="s">
        <v>50</v>
      </c>
      <c r="Q30" s="255" t="s">
        <v>1752</v>
      </c>
      <c r="R30" s="255" t="s">
        <v>599</v>
      </c>
      <c r="S30" s="255" t="s">
        <v>599</v>
      </c>
      <c r="T30" s="255" t="s">
        <v>598</v>
      </c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5" t="s">
        <v>50</v>
      </c>
      <c r="AS30" s="255" t="s">
        <v>50</v>
      </c>
      <c r="AT30" s="256"/>
      <c r="AU30" s="255" t="s">
        <v>1821</v>
      </c>
      <c r="AV30" s="256">
        <v>49</v>
      </c>
    </row>
    <row r="31" spans="1:48" ht="29.25" customHeight="1">
      <c r="A31" s="294" t="s">
        <v>642</v>
      </c>
      <c r="B31" s="294" t="s">
        <v>646</v>
      </c>
      <c r="C31" s="294" t="s">
        <v>644</v>
      </c>
      <c r="D31" s="259">
        <v>166</v>
      </c>
      <c r="E31" s="260">
        <f>TRUNC(단가대비표!O34,0)</f>
        <v>0</v>
      </c>
      <c r="F31" s="260">
        <f t="shared" si="1"/>
        <v>0</v>
      </c>
      <c r="G31" s="260">
        <f>TRUNC(단가대비표!P34,0)</f>
        <v>0</v>
      </c>
      <c r="H31" s="260">
        <f t="shared" si="2"/>
        <v>0</v>
      </c>
      <c r="I31" s="260">
        <f>TRUNC(단가대비표!V34,0)</f>
        <v>0</v>
      </c>
      <c r="J31" s="260">
        <f t="shared" si="3"/>
        <v>0</v>
      </c>
      <c r="K31" s="260">
        <f t="shared" si="4"/>
        <v>0</v>
      </c>
      <c r="L31" s="260">
        <f t="shared" si="4"/>
        <v>0</v>
      </c>
      <c r="M31" s="294" t="s">
        <v>645</v>
      </c>
      <c r="N31" s="255" t="s">
        <v>1822</v>
      </c>
      <c r="O31" s="255" t="s">
        <v>50</v>
      </c>
      <c r="P31" s="255" t="s">
        <v>50</v>
      </c>
      <c r="Q31" s="255" t="s">
        <v>1752</v>
      </c>
      <c r="R31" s="255" t="s">
        <v>599</v>
      </c>
      <c r="S31" s="255" t="s">
        <v>599</v>
      </c>
      <c r="T31" s="255" t="s">
        <v>598</v>
      </c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5" t="s">
        <v>50</v>
      </c>
      <c r="AS31" s="255" t="s">
        <v>50</v>
      </c>
      <c r="AT31" s="256"/>
      <c r="AU31" s="255" t="s">
        <v>1823</v>
      </c>
      <c r="AV31" s="256">
        <v>2348</v>
      </c>
    </row>
    <row r="32" spans="1:48" ht="29.25" customHeight="1">
      <c r="A32" s="294" t="s">
        <v>642</v>
      </c>
      <c r="B32" s="294" t="s">
        <v>1505</v>
      </c>
      <c r="C32" s="294" t="s">
        <v>644</v>
      </c>
      <c r="D32" s="259">
        <v>113</v>
      </c>
      <c r="E32" s="260">
        <f>TRUNC(단가대비표!O37,0)</f>
        <v>0</v>
      </c>
      <c r="F32" s="260">
        <f t="shared" si="1"/>
        <v>0</v>
      </c>
      <c r="G32" s="260">
        <f>TRUNC(단가대비표!P37,0)</f>
        <v>0</v>
      </c>
      <c r="H32" s="260">
        <f t="shared" si="2"/>
        <v>0</v>
      </c>
      <c r="I32" s="260">
        <f>TRUNC(단가대비표!V37,0)</f>
        <v>0</v>
      </c>
      <c r="J32" s="260">
        <f t="shared" si="3"/>
        <v>0</v>
      </c>
      <c r="K32" s="260">
        <f t="shared" si="4"/>
        <v>0</v>
      </c>
      <c r="L32" s="260">
        <f t="shared" si="4"/>
        <v>0</v>
      </c>
      <c r="M32" s="294" t="s">
        <v>645</v>
      </c>
      <c r="N32" s="255" t="s">
        <v>1824</v>
      </c>
      <c r="O32" s="255" t="s">
        <v>50</v>
      </c>
      <c r="P32" s="255" t="s">
        <v>50</v>
      </c>
      <c r="Q32" s="255" t="s">
        <v>1752</v>
      </c>
      <c r="R32" s="255" t="s">
        <v>599</v>
      </c>
      <c r="S32" s="255" t="s">
        <v>599</v>
      </c>
      <c r="T32" s="255" t="s">
        <v>598</v>
      </c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5" t="s">
        <v>50</v>
      </c>
      <c r="AS32" s="255" t="s">
        <v>50</v>
      </c>
      <c r="AT32" s="256"/>
      <c r="AU32" s="255" t="s">
        <v>1825</v>
      </c>
      <c r="AV32" s="256">
        <v>2237</v>
      </c>
    </row>
    <row r="33" spans="1:48" ht="29.25" customHeight="1">
      <c r="A33" s="294" t="s">
        <v>642</v>
      </c>
      <c r="B33" s="294" t="s">
        <v>1506</v>
      </c>
      <c r="C33" s="294" t="s">
        <v>644</v>
      </c>
      <c r="D33" s="259">
        <v>64</v>
      </c>
      <c r="E33" s="260">
        <f>TRUNC(단가대비표!O38,0)</f>
        <v>0</v>
      </c>
      <c r="F33" s="260">
        <f t="shared" si="1"/>
        <v>0</v>
      </c>
      <c r="G33" s="260">
        <f>TRUNC(단가대비표!P38,0)</f>
        <v>0</v>
      </c>
      <c r="H33" s="260">
        <f t="shared" si="2"/>
        <v>0</v>
      </c>
      <c r="I33" s="260">
        <f>TRUNC(단가대비표!V38,0)</f>
        <v>0</v>
      </c>
      <c r="J33" s="260">
        <f t="shared" si="3"/>
        <v>0</v>
      </c>
      <c r="K33" s="260">
        <f t="shared" si="4"/>
        <v>0</v>
      </c>
      <c r="L33" s="260">
        <f t="shared" si="4"/>
        <v>0</v>
      </c>
      <c r="M33" s="294" t="s">
        <v>645</v>
      </c>
      <c r="N33" s="255" t="s">
        <v>1826</v>
      </c>
      <c r="O33" s="255" t="s">
        <v>50</v>
      </c>
      <c r="P33" s="255" t="s">
        <v>50</v>
      </c>
      <c r="Q33" s="255" t="s">
        <v>1752</v>
      </c>
      <c r="R33" s="255" t="s">
        <v>599</v>
      </c>
      <c r="S33" s="255" t="s">
        <v>599</v>
      </c>
      <c r="T33" s="255" t="s">
        <v>598</v>
      </c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5" t="s">
        <v>50</v>
      </c>
      <c r="AS33" s="255" t="s">
        <v>50</v>
      </c>
      <c r="AT33" s="256"/>
      <c r="AU33" s="255" t="s">
        <v>1827</v>
      </c>
      <c r="AV33" s="256">
        <v>2238</v>
      </c>
    </row>
    <row r="34" spans="1:48" ht="29.25" customHeight="1">
      <c r="A34" s="294" t="s">
        <v>648</v>
      </c>
      <c r="B34" s="294" t="s">
        <v>649</v>
      </c>
      <c r="C34" s="294" t="s">
        <v>650</v>
      </c>
      <c r="D34" s="259">
        <v>1560</v>
      </c>
      <c r="E34" s="260">
        <f>TRUNC(일위대가목록!E15,0)</f>
        <v>0</v>
      </c>
      <c r="F34" s="260">
        <f t="shared" si="1"/>
        <v>0</v>
      </c>
      <c r="G34" s="260">
        <f>TRUNC(일위대가목록!F15,0)</f>
        <v>0</v>
      </c>
      <c r="H34" s="260">
        <f t="shared" si="2"/>
        <v>0</v>
      </c>
      <c r="I34" s="260">
        <f>TRUNC(일위대가목록!G15,0)</f>
        <v>0</v>
      </c>
      <c r="J34" s="260">
        <f t="shared" si="3"/>
        <v>0</v>
      </c>
      <c r="K34" s="260">
        <f t="shared" si="4"/>
        <v>0</v>
      </c>
      <c r="L34" s="260">
        <f t="shared" si="4"/>
        <v>0</v>
      </c>
      <c r="M34" s="294" t="s">
        <v>613</v>
      </c>
      <c r="N34" s="255" t="s">
        <v>1828</v>
      </c>
      <c r="O34" s="255" t="s">
        <v>50</v>
      </c>
      <c r="P34" s="255" t="s">
        <v>50</v>
      </c>
      <c r="Q34" s="255" t="s">
        <v>1752</v>
      </c>
      <c r="R34" s="255" t="s">
        <v>598</v>
      </c>
      <c r="S34" s="255" t="s">
        <v>599</v>
      </c>
      <c r="T34" s="255" t="s">
        <v>599</v>
      </c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5" t="s">
        <v>50</v>
      </c>
      <c r="AS34" s="255" t="s">
        <v>50</v>
      </c>
      <c r="AT34" s="256"/>
      <c r="AU34" s="255" t="s">
        <v>1829</v>
      </c>
      <c r="AV34" s="256">
        <v>53</v>
      </c>
    </row>
    <row r="35" spans="1:48" ht="29.25" customHeight="1">
      <c r="A35" s="294" t="s">
        <v>652</v>
      </c>
      <c r="B35" s="294" t="s">
        <v>653</v>
      </c>
      <c r="C35" s="294" t="s">
        <v>602</v>
      </c>
      <c r="D35" s="259">
        <v>127</v>
      </c>
      <c r="E35" s="260">
        <f>TRUNC(일위대가목록!E16,0)</f>
        <v>0</v>
      </c>
      <c r="F35" s="260">
        <f t="shared" si="1"/>
        <v>0</v>
      </c>
      <c r="G35" s="260">
        <f>TRUNC(일위대가목록!F16,0)</f>
        <v>0</v>
      </c>
      <c r="H35" s="260">
        <f t="shared" si="2"/>
        <v>0</v>
      </c>
      <c r="I35" s="260">
        <f>TRUNC(일위대가목록!G16,0)</f>
        <v>0</v>
      </c>
      <c r="J35" s="260">
        <f t="shared" si="3"/>
        <v>0</v>
      </c>
      <c r="K35" s="260">
        <f t="shared" si="4"/>
        <v>0</v>
      </c>
      <c r="L35" s="260">
        <f t="shared" si="4"/>
        <v>0</v>
      </c>
      <c r="M35" s="294" t="s">
        <v>614</v>
      </c>
      <c r="N35" s="255" t="s">
        <v>1830</v>
      </c>
      <c r="O35" s="255" t="s">
        <v>50</v>
      </c>
      <c r="P35" s="255" t="s">
        <v>50</v>
      </c>
      <c r="Q35" s="255" t="s">
        <v>1752</v>
      </c>
      <c r="R35" s="255" t="s">
        <v>598</v>
      </c>
      <c r="S35" s="255" t="s">
        <v>599</v>
      </c>
      <c r="T35" s="255" t="s">
        <v>599</v>
      </c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  <c r="AR35" s="255" t="s">
        <v>50</v>
      </c>
      <c r="AS35" s="255" t="s">
        <v>50</v>
      </c>
      <c r="AT35" s="256"/>
      <c r="AU35" s="255" t="s">
        <v>1831</v>
      </c>
      <c r="AV35" s="256">
        <v>54</v>
      </c>
    </row>
    <row r="36" spans="1:48" ht="29.25" customHeight="1">
      <c r="A36" s="294" t="s">
        <v>655</v>
      </c>
      <c r="B36" s="294" t="s">
        <v>663</v>
      </c>
      <c r="C36" s="294" t="s">
        <v>596</v>
      </c>
      <c r="D36" s="259">
        <v>894</v>
      </c>
      <c r="E36" s="260">
        <f>TRUNC(일위대가목록!E17,0)</f>
        <v>0</v>
      </c>
      <c r="F36" s="260">
        <f t="shared" si="1"/>
        <v>0</v>
      </c>
      <c r="G36" s="260">
        <f>TRUNC(일위대가목록!F17,0)</f>
        <v>0</v>
      </c>
      <c r="H36" s="260">
        <f t="shared" si="2"/>
        <v>0</v>
      </c>
      <c r="I36" s="260">
        <f>TRUNC(일위대가목록!G17,0)</f>
        <v>0</v>
      </c>
      <c r="J36" s="260">
        <f t="shared" si="3"/>
        <v>0</v>
      </c>
      <c r="K36" s="260">
        <f t="shared" si="4"/>
        <v>0</v>
      </c>
      <c r="L36" s="260">
        <f t="shared" si="4"/>
        <v>0</v>
      </c>
      <c r="M36" s="294" t="s">
        <v>618</v>
      </c>
      <c r="N36" s="255" t="s">
        <v>1832</v>
      </c>
      <c r="O36" s="255" t="s">
        <v>50</v>
      </c>
      <c r="P36" s="255" t="s">
        <v>50</v>
      </c>
      <c r="Q36" s="255" t="s">
        <v>1752</v>
      </c>
      <c r="R36" s="255" t="s">
        <v>598</v>
      </c>
      <c r="S36" s="255" t="s">
        <v>599</v>
      </c>
      <c r="T36" s="255" t="s">
        <v>599</v>
      </c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5" t="s">
        <v>50</v>
      </c>
      <c r="AS36" s="255" t="s">
        <v>50</v>
      </c>
      <c r="AT36" s="256"/>
      <c r="AU36" s="255" t="s">
        <v>1833</v>
      </c>
      <c r="AV36" s="256">
        <v>55</v>
      </c>
    </row>
    <row r="37" spans="1:48" ht="29.25" customHeight="1">
      <c r="A37" s="294" t="s">
        <v>657</v>
      </c>
      <c r="B37" s="294" t="s">
        <v>663</v>
      </c>
      <c r="C37" s="294" t="s">
        <v>644</v>
      </c>
      <c r="D37" s="259">
        <v>304</v>
      </c>
      <c r="E37" s="260">
        <f>TRUNC(일위대가목록!E18,0)</f>
        <v>0</v>
      </c>
      <c r="F37" s="260">
        <f t="shared" si="1"/>
        <v>0</v>
      </c>
      <c r="G37" s="260">
        <f>TRUNC(일위대가목록!F18,0)</f>
        <v>0</v>
      </c>
      <c r="H37" s="260">
        <f t="shared" si="2"/>
        <v>0</v>
      </c>
      <c r="I37" s="260">
        <f>TRUNC(일위대가목록!G18,0)</f>
        <v>0</v>
      </c>
      <c r="J37" s="260">
        <f t="shared" si="3"/>
        <v>0</v>
      </c>
      <c r="K37" s="260">
        <f t="shared" si="4"/>
        <v>0</v>
      </c>
      <c r="L37" s="260">
        <f t="shared" si="4"/>
        <v>0</v>
      </c>
      <c r="M37" s="294" t="s">
        <v>619</v>
      </c>
      <c r="N37" s="255" t="s">
        <v>1834</v>
      </c>
      <c r="O37" s="255" t="s">
        <v>50</v>
      </c>
      <c r="P37" s="255" t="s">
        <v>50</v>
      </c>
      <c r="Q37" s="255" t="s">
        <v>1752</v>
      </c>
      <c r="R37" s="255" t="s">
        <v>598</v>
      </c>
      <c r="S37" s="255" t="s">
        <v>599</v>
      </c>
      <c r="T37" s="255" t="s">
        <v>599</v>
      </c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5" t="s">
        <v>50</v>
      </c>
      <c r="AS37" s="255" t="s">
        <v>50</v>
      </c>
      <c r="AT37" s="256"/>
      <c r="AU37" s="255" t="s">
        <v>1835</v>
      </c>
      <c r="AV37" s="256">
        <v>56</v>
      </c>
    </row>
    <row r="38" spans="1:48" ht="29.25" customHeight="1">
      <c r="A38" s="294" t="s">
        <v>659</v>
      </c>
      <c r="B38" s="294" t="s">
        <v>660</v>
      </c>
      <c r="C38" s="294" t="s">
        <v>644</v>
      </c>
      <c r="D38" s="259">
        <v>304</v>
      </c>
      <c r="E38" s="260">
        <f>TRUNC(일위대가목록!E19,0)</f>
        <v>0</v>
      </c>
      <c r="F38" s="260">
        <f t="shared" si="1"/>
        <v>0</v>
      </c>
      <c r="G38" s="260">
        <f>TRUNC(일위대가목록!F19,0)</f>
        <v>0</v>
      </c>
      <c r="H38" s="260">
        <f t="shared" si="2"/>
        <v>0</v>
      </c>
      <c r="I38" s="260">
        <f>TRUNC(일위대가목록!G19,0)</f>
        <v>0</v>
      </c>
      <c r="J38" s="260">
        <f t="shared" si="3"/>
        <v>0</v>
      </c>
      <c r="K38" s="260">
        <f t="shared" si="4"/>
        <v>0</v>
      </c>
      <c r="L38" s="260">
        <f t="shared" si="4"/>
        <v>0</v>
      </c>
      <c r="M38" s="294" t="s">
        <v>620</v>
      </c>
      <c r="N38" s="255" t="s">
        <v>1836</v>
      </c>
      <c r="O38" s="255" t="s">
        <v>50</v>
      </c>
      <c r="P38" s="255" t="s">
        <v>50</v>
      </c>
      <c r="Q38" s="255" t="s">
        <v>1752</v>
      </c>
      <c r="R38" s="255" t="s">
        <v>598</v>
      </c>
      <c r="S38" s="255" t="s">
        <v>599</v>
      </c>
      <c r="T38" s="255" t="s">
        <v>599</v>
      </c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5" t="s">
        <v>50</v>
      </c>
      <c r="AS38" s="255" t="s">
        <v>50</v>
      </c>
      <c r="AT38" s="256"/>
      <c r="AU38" s="255" t="s">
        <v>1837</v>
      </c>
      <c r="AV38" s="256">
        <v>57</v>
      </c>
    </row>
    <row r="39" spans="1:48" ht="29.25" customHeight="1">
      <c r="A39" s="294" t="s">
        <v>662</v>
      </c>
      <c r="B39" s="294" t="s">
        <v>663</v>
      </c>
      <c r="C39" s="294" t="s">
        <v>644</v>
      </c>
      <c r="D39" s="259">
        <v>304</v>
      </c>
      <c r="E39" s="260">
        <f>TRUNC(일위대가목록!E20,0)</f>
        <v>0</v>
      </c>
      <c r="F39" s="260">
        <f t="shared" si="1"/>
        <v>0</v>
      </c>
      <c r="G39" s="260">
        <f>TRUNC(일위대가목록!F20,0)</f>
        <v>0</v>
      </c>
      <c r="H39" s="260">
        <f t="shared" si="2"/>
        <v>0</v>
      </c>
      <c r="I39" s="260">
        <f>TRUNC(일위대가목록!G20,0)</f>
        <v>0</v>
      </c>
      <c r="J39" s="260">
        <f t="shared" si="3"/>
        <v>0</v>
      </c>
      <c r="K39" s="260">
        <f t="shared" si="4"/>
        <v>0</v>
      </c>
      <c r="L39" s="260">
        <f t="shared" si="4"/>
        <v>0</v>
      </c>
      <c r="M39" s="294" t="s">
        <v>621</v>
      </c>
      <c r="N39" s="255" t="s">
        <v>1838</v>
      </c>
      <c r="O39" s="255" t="s">
        <v>50</v>
      </c>
      <c r="P39" s="255" t="s">
        <v>50</v>
      </c>
      <c r="Q39" s="255" t="s">
        <v>1752</v>
      </c>
      <c r="R39" s="255" t="s">
        <v>598</v>
      </c>
      <c r="S39" s="255" t="s">
        <v>599</v>
      </c>
      <c r="T39" s="255" t="s">
        <v>599</v>
      </c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5" t="s">
        <v>50</v>
      </c>
      <c r="AS39" s="255" t="s">
        <v>50</v>
      </c>
      <c r="AT39" s="256"/>
      <c r="AU39" s="255" t="s">
        <v>1839</v>
      </c>
      <c r="AV39" s="256">
        <v>58</v>
      </c>
    </row>
    <row r="40" spans="1:48" ht="29.25" customHeight="1">
      <c r="A40" s="294" t="s">
        <v>665</v>
      </c>
      <c r="B40" s="294" t="s">
        <v>666</v>
      </c>
      <c r="C40" s="294" t="s">
        <v>596</v>
      </c>
      <c r="D40" s="259">
        <v>3323</v>
      </c>
      <c r="E40" s="260">
        <f>TRUNC(일위대가목록!E21,0)</f>
        <v>0</v>
      </c>
      <c r="F40" s="260">
        <f t="shared" si="1"/>
        <v>0</v>
      </c>
      <c r="G40" s="260">
        <f>TRUNC(일위대가목록!F21,0)</f>
        <v>0</v>
      </c>
      <c r="H40" s="260">
        <f t="shared" si="2"/>
        <v>0</v>
      </c>
      <c r="I40" s="260">
        <f>TRUNC(일위대가목록!G21,0)</f>
        <v>0</v>
      </c>
      <c r="J40" s="260">
        <f t="shared" si="3"/>
        <v>0</v>
      </c>
      <c r="K40" s="260">
        <f t="shared" si="4"/>
        <v>0</v>
      </c>
      <c r="L40" s="260">
        <f t="shared" si="4"/>
        <v>0</v>
      </c>
      <c r="M40" s="294" t="s">
        <v>622</v>
      </c>
      <c r="N40" s="255" t="s">
        <v>1840</v>
      </c>
      <c r="O40" s="255" t="s">
        <v>50</v>
      </c>
      <c r="P40" s="255" t="s">
        <v>50</v>
      </c>
      <c r="Q40" s="255" t="s">
        <v>1752</v>
      </c>
      <c r="R40" s="255" t="s">
        <v>598</v>
      </c>
      <c r="S40" s="255" t="s">
        <v>599</v>
      </c>
      <c r="T40" s="255" t="s">
        <v>599</v>
      </c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5" t="s">
        <v>50</v>
      </c>
      <c r="AS40" s="255" t="s">
        <v>50</v>
      </c>
      <c r="AT40" s="256"/>
      <c r="AU40" s="255" t="s">
        <v>1841</v>
      </c>
      <c r="AV40" s="256">
        <v>59</v>
      </c>
    </row>
    <row r="41" spans="1:48" ht="29.25" customHeight="1">
      <c r="A41" s="294" t="s">
        <v>665</v>
      </c>
      <c r="B41" s="294" t="s">
        <v>668</v>
      </c>
      <c r="C41" s="294" t="s">
        <v>596</v>
      </c>
      <c r="D41" s="259">
        <v>2198</v>
      </c>
      <c r="E41" s="260">
        <f>TRUNC(일위대가목록!E22,0)</f>
        <v>0</v>
      </c>
      <c r="F41" s="260">
        <f t="shared" si="1"/>
        <v>0</v>
      </c>
      <c r="G41" s="260">
        <f>TRUNC(일위대가목록!F22,0)</f>
        <v>0</v>
      </c>
      <c r="H41" s="260">
        <f t="shared" si="2"/>
        <v>0</v>
      </c>
      <c r="I41" s="260">
        <f>TRUNC(일위대가목록!G22,0)</f>
        <v>0</v>
      </c>
      <c r="J41" s="260">
        <f t="shared" si="3"/>
        <v>0</v>
      </c>
      <c r="K41" s="260">
        <f t="shared" si="4"/>
        <v>0</v>
      </c>
      <c r="L41" s="260">
        <f t="shared" si="4"/>
        <v>0</v>
      </c>
      <c r="M41" s="294" t="s">
        <v>623</v>
      </c>
      <c r="N41" s="255" t="s">
        <v>1842</v>
      </c>
      <c r="O41" s="255" t="s">
        <v>50</v>
      </c>
      <c r="P41" s="255" t="s">
        <v>50</v>
      </c>
      <c r="Q41" s="255" t="s">
        <v>1752</v>
      </c>
      <c r="R41" s="255" t="s">
        <v>598</v>
      </c>
      <c r="S41" s="255" t="s">
        <v>599</v>
      </c>
      <c r="T41" s="255" t="s">
        <v>599</v>
      </c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5" t="s">
        <v>50</v>
      </c>
      <c r="AS41" s="255" t="s">
        <v>50</v>
      </c>
      <c r="AT41" s="256"/>
      <c r="AU41" s="255" t="s">
        <v>1843</v>
      </c>
      <c r="AV41" s="256">
        <v>60</v>
      </c>
    </row>
    <row r="42" spans="1:48" ht="29.25" customHeight="1">
      <c r="A42" s="294" t="s">
        <v>670</v>
      </c>
      <c r="B42" s="294" t="s">
        <v>671</v>
      </c>
      <c r="C42" s="294" t="s">
        <v>650</v>
      </c>
      <c r="D42" s="259">
        <v>39</v>
      </c>
      <c r="E42" s="260">
        <f>TRUNC(단가산출목록!E4,0)</f>
        <v>0</v>
      </c>
      <c r="F42" s="260">
        <f t="shared" si="1"/>
        <v>0</v>
      </c>
      <c r="G42" s="260">
        <f>TRUNC(단가산출목록!F4,0)</f>
        <v>0</v>
      </c>
      <c r="H42" s="260">
        <f t="shared" si="2"/>
        <v>0</v>
      </c>
      <c r="I42" s="260">
        <f>TRUNC(단가산출목록!G4,0)</f>
        <v>0</v>
      </c>
      <c r="J42" s="260">
        <f t="shared" si="3"/>
        <v>0</v>
      </c>
      <c r="K42" s="260">
        <f t="shared" si="4"/>
        <v>0</v>
      </c>
      <c r="L42" s="260">
        <f t="shared" si="4"/>
        <v>0</v>
      </c>
      <c r="M42" s="294" t="s">
        <v>672</v>
      </c>
      <c r="N42" s="255" t="s">
        <v>1844</v>
      </c>
      <c r="O42" s="255" t="s">
        <v>50</v>
      </c>
      <c r="P42" s="255" t="s">
        <v>50</v>
      </c>
      <c r="Q42" s="255" t="s">
        <v>1752</v>
      </c>
      <c r="R42" s="255" t="s">
        <v>599</v>
      </c>
      <c r="S42" s="255" t="s">
        <v>598</v>
      </c>
      <c r="T42" s="255" t="s">
        <v>599</v>
      </c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  <c r="AR42" s="255" t="s">
        <v>50</v>
      </c>
      <c r="AS42" s="255" t="s">
        <v>50</v>
      </c>
      <c r="AT42" s="256"/>
      <c r="AU42" s="255" t="s">
        <v>1845</v>
      </c>
      <c r="AV42" s="256">
        <v>61</v>
      </c>
    </row>
    <row r="43" spans="1:48" ht="29.25" customHeight="1">
      <c r="A43" s="294" t="s">
        <v>673</v>
      </c>
      <c r="B43" s="294" t="s">
        <v>674</v>
      </c>
      <c r="C43" s="294" t="s">
        <v>650</v>
      </c>
      <c r="D43" s="259">
        <v>253</v>
      </c>
      <c r="E43" s="260">
        <f>TRUNC(일위대가목록!E23,0)</f>
        <v>0</v>
      </c>
      <c r="F43" s="260">
        <f t="shared" si="1"/>
        <v>0</v>
      </c>
      <c r="G43" s="260">
        <f>TRUNC(일위대가목록!F23,0)</f>
        <v>0</v>
      </c>
      <c r="H43" s="260">
        <f t="shared" si="2"/>
        <v>0</v>
      </c>
      <c r="I43" s="260">
        <f>TRUNC(일위대가목록!G23,0)</f>
        <v>0</v>
      </c>
      <c r="J43" s="260">
        <f t="shared" si="3"/>
        <v>0</v>
      </c>
      <c r="K43" s="260">
        <f t="shared" si="4"/>
        <v>0</v>
      </c>
      <c r="L43" s="260">
        <f t="shared" si="4"/>
        <v>0</v>
      </c>
      <c r="M43" s="294" t="s">
        <v>624</v>
      </c>
      <c r="N43" s="255" t="s">
        <v>1846</v>
      </c>
      <c r="O43" s="255" t="s">
        <v>50</v>
      </c>
      <c r="P43" s="255" t="s">
        <v>50</v>
      </c>
      <c r="Q43" s="255" t="s">
        <v>1752</v>
      </c>
      <c r="R43" s="255" t="s">
        <v>598</v>
      </c>
      <c r="S43" s="255" t="s">
        <v>599</v>
      </c>
      <c r="T43" s="255" t="s">
        <v>599</v>
      </c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5" t="s">
        <v>50</v>
      </c>
      <c r="AS43" s="255" t="s">
        <v>50</v>
      </c>
      <c r="AT43" s="256"/>
      <c r="AU43" s="255" t="s">
        <v>1847</v>
      </c>
      <c r="AV43" s="256">
        <v>1141</v>
      </c>
    </row>
    <row r="44" spans="1:48" ht="29.25" customHeight="1">
      <c r="A44" s="294" t="s">
        <v>676</v>
      </c>
      <c r="B44" s="294" t="s">
        <v>677</v>
      </c>
      <c r="C44" s="294" t="s">
        <v>678</v>
      </c>
      <c r="D44" s="259">
        <v>1</v>
      </c>
      <c r="E44" s="260">
        <f>TRUNC(일위대가목록!E24,0)</f>
        <v>0</v>
      </c>
      <c r="F44" s="260">
        <f t="shared" si="1"/>
        <v>0</v>
      </c>
      <c r="G44" s="260">
        <f>TRUNC(일위대가목록!F24,0)</f>
        <v>0</v>
      </c>
      <c r="H44" s="260">
        <f t="shared" si="2"/>
        <v>0</v>
      </c>
      <c r="I44" s="260">
        <f>TRUNC(일위대가목록!G24,0)</f>
        <v>0</v>
      </c>
      <c r="J44" s="260">
        <f t="shared" si="3"/>
        <v>0</v>
      </c>
      <c r="K44" s="260">
        <f t="shared" si="4"/>
        <v>0</v>
      </c>
      <c r="L44" s="260">
        <f t="shared" si="4"/>
        <v>0</v>
      </c>
      <c r="M44" s="294" t="s">
        <v>625</v>
      </c>
      <c r="N44" s="255" t="s">
        <v>1848</v>
      </c>
      <c r="O44" s="255" t="s">
        <v>50</v>
      </c>
      <c r="P44" s="255" t="s">
        <v>50</v>
      </c>
      <c r="Q44" s="255" t="s">
        <v>1752</v>
      </c>
      <c r="R44" s="255" t="s">
        <v>598</v>
      </c>
      <c r="S44" s="255" t="s">
        <v>599</v>
      </c>
      <c r="T44" s="255" t="s">
        <v>599</v>
      </c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5" t="s">
        <v>50</v>
      </c>
      <c r="AS44" s="255" t="s">
        <v>50</v>
      </c>
      <c r="AT44" s="256"/>
      <c r="AU44" s="255" t="s">
        <v>1849</v>
      </c>
      <c r="AV44" s="256">
        <v>63</v>
      </c>
    </row>
    <row r="45" spans="1:48" ht="29.25" customHeight="1">
      <c r="A45" s="294" t="s">
        <v>680</v>
      </c>
      <c r="B45" s="294" t="s">
        <v>677</v>
      </c>
      <c r="C45" s="294" t="s">
        <v>678</v>
      </c>
      <c r="D45" s="259">
        <v>1</v>
      </c>
      <c r="E45" s="260">
        <f>TRUNC(일위대가목록!E25,0)</f>
        <v>0</v>
      </c>
      <c r="F45" s="260">
        <f t="shared" si="1"/>
        <v>0</v>
      </c>
      <c r="G45" s="260">
        <f>TRUNC(일위대가목록!F25,0)</f>
        <v>0</v>
      </c>
      <c r="H45" s="260">
        <f t="shared" si="2"/>
        <v>0</v>
      </c>
      <c r="I45" s="260">
        <f>TRUNC(일위대가목록!G25,0)</f>
        <v>0</v>
      </c>
      <c r="J45" s="260">
        <f t="shared" si="3"/>
        <v>0</v>
      </c>
      <c r="K45" s="260">
        <f t="shared" si="4"/>
        <v>0</v>
      </c>
      <c r="L45" s="260">
        <f t="shared" si="4"/>
        <v>0</v>
      </c>
      <c r="M45" s="294" t="s">
        <v>626</v>
      </c>
      <c r="N45" s="255" t="s">
        <v>1850</v>
      </c>
      <c r="O45" s="255" t="s">
        <v>50</v>
      </c>
      <c r="P45" s="255" t="s">
        <v>50</v>
      </c>
      <c r="Q45" s="255" t="s">
        <v>1752</v>
      </c>
      <c r="R45" s="255" t="s">
        <v>598</v>
      </c>
      <c r="S45" s="255" t="s">
        <v>599</v>
      </c>
      <c r="T45" s="255" t="s">
        <v>599</v>
      </c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5" t="s">
        <v>50</v>
      </c>
      <c r="AS45" s="255" t="s">
        <v>50</v>
      </c>
      <c r="AT45" s="256"/>
      <c r="AU45" s="255" t="s">
        <v>1851</v>
      </c>
      <c r="AV45" s="256">
        <v>64</v>
      </c>
    </row>
    <row r="46" spans="1:48" ht="29.25" customHeight="1">
      <c r="A46" s="294" t="s">
        <v>676</v>
      </c>
      <c r="B46" s="294" t="s">
        <v>682</v>
      </c>
      <c r="C46" s="294" t="s">
        <v>678</v>
      </c>
      <c r="D46" s="259">
        <v>1</v>
      </c>
      <c r="E46" s="260">
        <f>TRUNC(일위대가목록!E26,0)</f>
        <v>0</v>
      </c>
      <c r="F46" s="260">
        <f t="shared" si="1"/>
        <v>0</v>
      </c>
      <c r="G46" s="260">
        <f>TRUNC(일위대가목록!F26,0)</f>
        <v>0</v>
      </c>
      <c r="H46" s="260">
        <f t="shared" si="2"/>
        <v>0</v>
      </c>
      <c r="I46" s="260">
        <f>TRUNC(일위대가목록!G26,0)</f>
        <v>0</v>
      </c>
      <c r="J46" s="260">
        <f t="shared" si="3"/>
        <v>0</v>
      </c>
      <c r="K46" s="260">
        <f t="shared" si="4"/>
        <v>0</v>
      </c>
      <c r="L46" s="260">
        <f t="shared" si="4"/>
        <v>0</v>
      </c>
      <c r="M46" s="294" t="s">
        <v>627</v>
      </c>
      <c r="N46" s="255" t="s">
        <v>1852</v>
      </c>
      <c r="O46" s="255" t="s">
        <v>50</v>
      </c>
      <c r="P46" s="255" t="s">
        <v>50</v>
      </c>
      <c r="Q46" s="255" t="s">
        <v>1752</v>
      </c>
      <c r="R46" s="255" t="s">
        <v>598</v>
      </c>
      <c r="S46" s="255" t="s">
        <v>599</v>
      </c>
      <c r="T46" s="255" t="s">
        <v>599</v>
      </c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5" t="s">
        <v>50</v>
      </c>
      <c r="AS46" s="255" t="s">
        <v>50</v>
      </c>
      <c r="AT46" s="256"/>
      <c r="AU46" s="255" t="s">
        <v>1853</v>
      </c>
      <c r="AV46" s="256">
        <v>65</v>
      </c>
    </row>
    <row r="47" spans="1:48" ht="29.25" customHeight="1">
      <c r="A47" s="294" t="s">
        <v>680</v>
      </c>
      <c r="B47" s="294" t="s">
        <v>682</v>
      </c>
      <c r="C47" s="294" t="s">
        <v>678</v>
      </c>
      <c r="D47" s="259">
        <v>1</v>
      </c>
      <c r="E47" s="260">
        <f>TRUNC(일위대가목록!E27,0)</f>
        <v>0</v>
      </c>
      <c r="F47" s="260">
        <f t="shared" si="1"/>
        <v>0</v>
      </c>
      <c r="G47" s="260">
        <f>TRUNC(일위대가목록!F27,0)</f>
        <v>0</v>
      </c>
      <c r="H47" s="260">
        <f t="shared" si="2"/>
        <v>0</v>
      </c>
      <c r="I47" s="260">
        <f>TRUNC(일위대가목록!G27,0)</f>
        <v>0</v>
      </c>
      <c r="J47" s="260">
        <f t="shared" si="3"/>
        <v>0</v>
      </c>
      <c r="K47" s="260">
        <f t="shared" si="4"/>
        <v>0</v>
      </c>
      <c r="L47" s="260">
        <f t="shared" si="4"/>
        <v>0</v>
      </c>
      <c r="M47" s="294" t="s">
        <v>628</v>
      </c>
      <c r="N47" s="255" t="s">
        <v>1854</v>
      </c>
      <c r="O47" s="255" t="s">
        <v>50</v>
      </c>
      <c r="P47" s="255" t="s">
        <v>50</v>
      </c>
      <c r="Q47" s="255" t="s">
        <v>1752</v>
      </c>
      <c r="R47" s="255" t="s">
        <v>598</v>
      </c>
      <c r="S47" s="255" t="s">
        <v>599</v>
      </c>
      <c r="T47" s="255" t="s">
        <v>599</v>
      </c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5" t="s">
        <v>50</v>
      </c>
      <c r="AS47" s="255" t="s">
        <v>50</v>
      </c>
      <c r="AT47" s="256"/>
      <c r="AU47" s="255" t="s">
        <v>1855</v>
      </c>
      <c r="AV47" s="256">
        <v>66</v>
      </c>
    </row>
    <row r="48" spans="1:48" ht="29.25" customHeight="1">
      <c r="A48" s="294" t="s">
        <v>1507</v>
      </c>
      <c r="B48" s="294" t="s">
        <v>663</v>
      </c>
      <c r="C48" s="294" t="s">
        <v>596</v>
      </c>
      <c r="D48" s="259">
        <v>4627</v>
      </c>
      <c r="E48" s="260">
        <f>TRUNC(일위대가목록!E28,0)</f>
        <v>0</v>
      </c>
      <c r="F48" s="260">
        <f t="shared" si="1"/>
        <v>0</v>
      </c>
      <c r="G48" s="260">
        <f>TRUNC(일위대가목록!F28,0)</f>
        <v>0</v>
      </c>
      <c r="H48" s="260">
        <f t="shared" si="2"/>
        <v>0</v>
      </c>
      <c r="I48" s="260">
        <f>TRUNC(일위대가목록!G28,0)</f>
        <v>0</v>
      </c>
      <c r="J48" s="260">
        <f t="shared" si="3"/>
        <v>0</v>
      </c>
      <c r="K48" s="260">
        <f t="shared" si="4"/>
        <v>0</v>
      </c>
      <c r="L48" s="260">
        <f t="shared" si="4"/>
        <v>0</v>
      </c>
      <c r="M48" s="294" t="s">
        <v>629</v>
      </c>
      <c r="N48" s="255" t="s">
        <v>1856</v>
      </c>
      <c r="O48" s="255" t="s">
        <v>50</v>
      </c>
      <c r="P48" s="255" t="s">
        <v>50</v>
      </c>
      <c r="Q48" s="255" t="s">
        <v>1752</v>
      </c>
      <c r="R48" s="255" t="s">
        <v>598</v>
      </c>
      <c r="S48" s="255" t="s">
        <v>599</v>
      </c>
      <c r="T48" s="255" t="s">
        <v>599</v>
      </c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5" t="s">
        <v>50</v>
      </c>
      <c r="AS48" s="255" t="s">
        <v>50</v>
      </c>
      <c r="AT48" s="256"/>
      <c r="AU48" s="255" t="s">
        <v>1857</v>
      </c>
      <c r="AV48" s="256">
        <v>2243</v>
      </c>
    </row>
    <row r="49" spans="1:48" ht="29.25" customHeight="1">
      <c r="A49" s="259"/>
      <c r="B49" s="259"/>
      <c r="C49" s="259"/>
      <c r="D49" s="259"/>
      <c r="E49" s="260"/>
      <c r="F49" s="260"/>
      <c r="G49" s="260"/>
      <c r="H49" s="260"/>
      <c r="I49" s="260"/>
      <c r="J49" s="260"/>
      <c r="K49" s="260"/>
      <c r="L49" s="260"/>
      <c r="M49" s="259"/>
      <c r="Q49" s="464" t="s">
        <v>1752</v>
      </c>
    </row>
    <row r="50" spans="1:48" ht="29.25" customHeight="1">
      <c r="A50" s="259"/>
      <c r="B50" s="259"/>
      <c r="C50" s="259"/>
      <c r="D50" s="259"/>
      <c r="E50" s="260"/>
      <c r="F50" s="260"/>
      <c r="G50" s="260"/>
      <c r="H50" s="260"/>
      <c r="I50" s="260"/>
      <c r="J50" s="260"/>
      <c r="K50" s="260"/>
      <c r="L50" s="260"/>
      <c r="M50" s="259"/>
      <c r="Q50" s="464" t="s">
        <v>1752</v>
      </c>
    </row>
    <row r="51" spans="1:48" ht="29.25" customHeight="1">
      <c r="A51" s="259"/>
      <c r="B51" s="259"/>
      <c r="C51" s="259"/>
      <c r="D51" s="259"/>
      <c r="E51" s="260"/>
      <c r="F51" s="260"/>
      <c r="G51" s="260"/>
      <c r="H51" s="260"/>
      <c r="I51" s="260"/>
      <c r="J51" s="260"/>
      <c r="K51" s="260"/>
      <c r="L51" s="260"/>
      <c r="M51" s="259"/>
      <c r="Q51" s="464" t="s">
        <v>1752</v>
      </c>
    </row>
    <row r="52" spans="1:48" ht="29.25" customHeight="1">
      <c r="A52" s="259"/>
      <c r="B52" s="259"/>
      <c r="C52" s="259"/>
      <c r="D52" s="259"/>
      <c r="E52" s="260"/>
      <c r="F52" s="260"/>
      <c r="G52" s="260"/>
      <c r="H52" s="260"/>
      <c r="I52" s="260"/>
      <c r="J52" s="260"/>
      <c r="K52" s="260"/>
      <c r="L52" s="260"/>
      <c r="M52" s="259"/>
      <c r="Q52" s="464" t="s">
        <v>1752</v>
      </c>
    </row>
    <row r="53" spans="1:48" ht="29.25" customHeight="1">
      <c r="A53" s="252" t="s">
        <v>564</v>
      </c>
      <c r="B53" s="253"/>
      <c r="C53" s="253"/>
      <c r="D53" s="253"/>
      <c r="E53" s="254"/>
      <c r="F53" s="254">
        <f>SUMIF(Q30:Q52,"01010102",F30:F52)</f>
        <v>0</v>
      </c>
      <c r="G53" s="254"/>
      <c r="H53" s="254">
        <f>SUMIF(Q30:Q52,"01010102",H30:H52)</f>
        <v>0</v>
      </c>
      <c r="I53" s="254"/>
      <c r="J53" s="254">
        <f>SUMIF(Q30:Q52,"01010102",J30:J52)</f>
        <v>0</v>
      </c>
      <c r="K53" s="254"/>
      <c r="L53" s="254">
        <f>SUMIF(Q30:Q52,"01010102",L30:L52)</f>
        <v>0</v>
      </c>
      <c r="M53" s="253"/>
      <c r="N53" t="s">
        <v>617</v>
      </c>
    </row>
    <row r="54" spans="1:48" ht="29.25" customHeight="1">
      <c r="A54" s="294" t="s">
        <v>1753</v>
      </c>
      <c r="B54" s="294" t="s">
        <v>1795</v>
      </c>
      <c r="C54" s="259"/>
      <c r="D54" s="259"/>
      <c r="E54" s="260"/>
      <c r="F54" s="260"/>
      <c r="G54" s="260"/>
      <c r="H54" s="260"/>
      <c r="I54" s="260"/>
      <c r="J54" s="260"/>
      <c r="K54" s="260"/>
      <c r="L54" s="260"/>
      <c r="M54" s="259"/>
      <c r="N54" s="256"/>
      <c r="O54" s="256"/>
      <c r="P54" s="256"/>
      <c r="Q54" s="255" t="s">
        <v>1754</v>
      </c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</row>
    <row r="55" spans="1:48" ht="29.25" customHeight="1">
      <c r="A55" s="294" t="s">
        <v>706</v>
      </c>
      <c r="B55" s="294" t="s">
        <v>707</v>
      </c>
      <c r="C55" s="294" t="s">
        <v>650</v>
      </c>
      <c r="D55" s="259">
        <v>8</v>
      </c>
      <c r="E55" s="260">
        <f>TRUNC(단가대비표!O27,0)</f>
        <v>0</v>
      </c>
      <c r="F55" s="260">
        <f>TRUNC(E55*D55, 0)</f>
        <v>0</v>
      </c>
      <c r="G55" s="260">
        <f>TRUNC(단가대비표!P27,0)</f>
        <v>0</v>
      </c>
      <c r="H55" s="260">
        <f>TRUNC(G55*D55, 0)</f>
        <v>0</v>
      </c>
      <c r="I55" s="260">
        <f>TRUNC(단가대비표!V27,0)</f>
        <v>0</v>
      </c>
      <c r="J55" s="260">
        <f>TRUNC(I55*D55, 0)</f>
        <v>0</v>
      </c>
      <c r="K55" s="260">
        <f>TRUNC(E55+G55+I55, 0)</f>
        <v>0</v>
      </c>
      <c r="L55" s="260">
        <f>TRUNC(F55+H55+J55, 0)</f>
        <v>0</v>
      </c>
      <c r="M55" s="294" t="s">
        <v>50</v>
      </c>
      <c r="N55" s="255" t="s">
        <v>1858</v>
      </c>
      <c r="O55" s="255" t="s">
        <v>50</v>
      </c>
      <c r="P55" s="255" t="s">
        <v>50</v>
      </c>
      <c r="Q55" s="255" t="s">
        <v>1754</v>
      </c>
      <c r="R55" s="255" t="s">
        <v>599</v>
      </c>
      <c r="S55" s="255" t="s">
        <v>599</v>
      </c>
      <c r="T55" s="255" t="s">
        <v>598</v>
      </c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5" t="s">
        <v>50</v>
      </c>
      <c r="AS55" s="255" t="s">
        <v>50</v>
      </c>
      <c r="AT55" s="256"/>
      <c r="AU55" s="255" t="s">
        <v>1859</v>
      </c>
      <c r="AV55" s="256">
        <v>1710</v>
      </c>
    </row>
    <row r="56" spans="1:48" ht="29.25" customHeight="1">
      <c r="A56" s="294" t="s">
        <v>708</v>
      </c>
      <c r="B56" s="294" t="s">
        <v>709</v>
      </c>
      <c r="C56" s="294" t="s">
        <v>650</v>
      </c>
      <c r="D56" s="259">
        <v>7</v>
      </c>
      <c r="E56" s="260">
        <f>TRUNC(단가대비표!O29,0)</f>
        <v>0</v>
      </c>
      <c r="F56" s="260">
        <f>TRUNC(E56*D56, 0)</f>
        <v>0</v>
      </c>
      <c r="G56" s="260">
        <f>TRUNC(단가대비표!P29,0)</f>
        <v>0</v>
      </c>
      <c r="H56" s="260">
        <f>TRUNC(G56*D56, 0)</f>
        <v>0</v>
      </c>
      <c r="I56" s="260">
        <f>TRUNC(단가대비표!V29,0)</f>
        <v>0</v>
      </c>
      <c r="J56" s="260">
        <f>TRUNC(I56*D56, 0)</f>
        <v>0</v>
      </c>
      <c r="K56" s="260">
        <f>TRUNC(E56+G56+I56, 0)</f>
        <v>0</v>
      </c>
      <c r="L56" s="260">
        <f>TRUNC(F56+H56+J56, 0)</f>
        <v>0</v>
      </c>
      <c r="M56" s="294" t="s">
        <v>50</v>
      </c>
      <c r="N56" s="255" t="s">
        <v>1860</v>
      </c>
      <c r="O56" s="255" t="s">
        <v>50</v>
      </c>
      <c r="P56" s="255" t="s">
        <v>50</v>
      </c>
      <c r="Q56" s="255" t="s">
        <v>1754</v>
      </c>
      <c r="R56" s="255" t="s">
        <v>599</v>
      </c>
      <c r="S56" s="255" t="s">
        <v>599</v>
      </c>
      <c r="T56" s="255" t="s">
        <v>598</v>
      </c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5" t="s">
        <v>50</v>
      </c>
      <c r="AS56" s="255" t="s">
        <v>50</v>
      </c>
      <c r="AT56" s="256"/>
      <c r="AU56" s="255" t="s">
        <v>1861</v>
      </c>
      <c r="AV56" s="256">
        <v>1713</v>
      </c>
    </row>
    <row r="57" spans="1:48" ht="29.25" customHeight="1">
      <c r="A57" s="259"/>
      <c r="B57" s="259"/>
      <c r="C57" s="259"/>
      <c r="D57" s="259"/>
      <c r="E57" s="260"/>
      <c r="F57" s="260"/>
      <c r="G57" s="260"/>
      <c r="H57" s="260"/>
      <c r="I57" s="260"/>
      <c r="J57" s="260"/>
      <c r="K57" s="260"/>
      <c r="L57" s="260"/>
      <c r="M57" s="259"/>
      <c r="Q57" s="464" t="s">
        <v>1754</v>
      </c>
    </row>
    <row r="58" spans="1:48" ht="29.25" customHeight="1">
      <c r="A58" s="259"/>
      <c r="B58" s="259"/>
      <c r="C58" s="259"/>
      <c r="D58" s="259"/>
      <c r="E58" s="260"/>
      <c r="F58" s="260"/>
      <c r="G58" s="260"/>
      <c r="H58" s="260"/>
      <c r="I58" s="260"/>
      <c r="J58" s="260"/>
      <c r="K58" s="260"/>
      <c r="L58" s="260"/>
      <c r="M58" s="259"/>
      <c r="Q58" s="464" t="s">
        <v>1754</v>
      </c>
    </row>
    <row r="59" spans="1:48" ht="29.25" customHeight="1">
      <c r="A59" s="259"/>
      <c r="B59" s="259"/>
      <c r="C59" s="259"/>
      <c r="D59" s="259"/>
      <c r="E59" s="260"/>
      <c r="F59" s="260"/>
      <c r="G59" s="260"/>
      <c r="H59" s="260"/>
      <c r="I59" s="260"/>
      <c r="J59" s="260"/>
      <c r="K59" s="260"/>
      <c r="L59" s="260"/>
      <c r="M59" s="259"/>
      <c r="Q59" s="464" t="s">
        <v>1754</v>
      </c>
    </row>
    <row r="60" spans="1:48" ht="29.25" customHeight="1">
      <c r="A60" s="259"/>
      <c r="B60" s="259"/>
      <c r="C60" s="259"/>
      <c r="D60" s="259"/>
      <c r="E60" s="260"/>
      <c r="F60" s="260"/>
      <c r="G60" s="260"/>
      <c r="H60" s="260"/>
      <c r="I60" s="260"/>
      <c r="J60" s="260"/>
      <c r="K60" s="260"/>
      <c r="L60" s="260"/>
      <c r="M60" s="259"/>
      <c r="Q60" s="464" t="s">
        <v>1754</v>
      </c>
    </row>
    <row r="61" spans="1:48" ht="29.25" customHeight="1">
      <c r="A61" s="259"/>
      <c r="B61" s="259"/>
      <c r="C61" s="259"/>
      <c r="D61" s="259"/>
      <c r="E61" s="260"/>
      <c r="F61" s="260"/>
      <c r="G61" s="260"/>
      <c r="H61" s="260"/>
      <c r="I61" s="260"/>
      <c r="J61" s="260"/>
      <c r="K61" s="260"/>
      <c r="L61" s="260"/>
      <c r="M61" s="259"/>
      <c r="Q61" s="464" t="s">
        <v>1754</v>
      </c>
    </row>
    <row r="62" spans="1:48" ht="29.25" customHeight="1">
      <c r="A62" s="259"/>
      <c r="B62" s="259"/>
      <c r="C62" s="259"/>
      <c r="D62" s="259"/>
      <c r="E62" s="260"/>
      <c r="F62" s="260"/>
      <c r="G62" s="260"/>
      <c r="H62" s="260"/>
      <c r="I62" s="260"/>
      <c r="J62" s="260"/>
      <c r="K62" s="260"/>
      <c r="L62" s="260"/>
      <c r="M62" s="259"/>
      <c r="Q62" s="464" t="s">
        <v>1754</v>
      </c>
    </row>
    <row r="63" spans="1:48" ht="29.25" customHeight="1">
      <c r="A63" s="259"/>
      <c r="B63" s="259"/>
      <c r="C63" s="259"/>
      <c r="D63" s="259"/>
      <c r="E63" s="260"/>
      <c r="F63" s="260"/>
      <c r="G63" s="260"/>
      <c r="H63" s="260"/>
      <c r="I63" s="260"/>
      <c r="J63" s="260"/>
      <c r="K63" s="260"/>
      <c r="L63" s="260"/>
      <c r="M63" s="259"/>
      <c r="Q63" s="464" t="s">
        <v>1754</v>
      </c>
    </row>
    <row r="64" spans="1:48" ht="29.25" customHeight="1">
      <c r="A64" s="259"/>
      <c r="B64" s="259"/>
      <c r="C64" s="259"/>
      <c r="D64" s="259"/>
      <c r="E64" s="260"/>
      <c r="F64" s="260"/>
      <c r="G64" s="260"/>
      <c r="H64" s="260"/>
      <c r="I64" s="260"/>
      <c r="J64" s="260"/>
      <c r="K64" s="260"/>
      <c r="L64" s="260"/>
      <c r="M64" s="259"/>
      <c r="Q64" s="464" t="s">
        <v>1754</v>
      </c>
    </row>
    <row r="65" spans="1:48" ht="29.25" customHeight="1">
      <c r="A65" s="259"/>
      <c r="B65" s="259"/>
      <c r="C65" s="259"/>
      <c r="D65" s="259"/>
      <c r="E65" s="260"/>
      <c r="F65" s="260"/>
      <c r="G65" s="260"/>
      <c r="H65" s="260"/>
      <c r="I65" s="260"/>
      <c r="J65" s="260"/>
      <c r="K65" s="260"/>
      <c r="L65" s="260"/>
      <c r="M65" s="259"/>
      <c r="Q65" s="464" t="s">
        <v>1754</v>
      </c>
    </row>
    <row r="66" spans="1:48" ht="29.25" customHeight="1">
      <c r="A66" s="259"/>
      <c r="B66" s="259"/>
      <c r="C66" s="259"/>
      <c r="D66" s="259"/>
      <c r="E66" s="260"/>
      <c r="F66" s="260"/>
      <c r="G66" s="260"/>
      <c r="H66" s="260"/>
      <c r="I66" s="260"/>
      <c r="J66" s="260"/>
      <c r="K66" s="260"/>
      <c r="L66" s="260"/>
      <c r="M66" s="259"/>
      <c r="Q66" s="464" t="s">
        <v>1754</v>
      </c>
    </row>
    <row r="67" spans="1:48" ht="29.25" customHeight="1">
      <c r="A67" s="259"/>
      <c r="B67" s="259"/>
      <c r="C67" s="259"/>
      <c r="D67" s="259"/>
      <c r="E67" s="260"/>
      <c r="F67" s="260"/>
      <c r="G67" s="260"/>
      <c r="H67" s="260"/>
      <c r="I67" s="260"/>
      <c r="J67" s="260"/>
      <c r="K67" s="260"/>
      <c r="L67" s="260"/>
      <c r="M67" s="259"/>
      <c r="Q67" s="464" t="s">
        <v>1754</v>
      </c>
    </row>
    <row r="68" spans="1:48" ht="29.25" customHeight="1">
      <c r="A68" s="259"/>
      <c r="B68" s="259"/>
      <c r="C68" s="259"/>
      <c r="D68" s="259"/>
      <c r="E68" s="260"/>
      <c r="F68" s="260"/>
      <c r="G68" s="260"/>
      <c r="H68" s="260"/>
      <c r="I68" s="260"/>
      <c r="J68" s="260"/>
      <c r="K68" s="260"/>
      <c r="L68" s="260"/>
      <c r="M68" s="259"/>
      <c r="Q68" s="464" t="s">
        <v>1754</v>
      </c>
    </row>
    <row r="69" spans="1:48" ht="29.25" customHeight="1">
      <c r="A69" s="259"/>
      <c r="B69" s="259"/>
      <c r="C69" s="259"/>
      <c r="D69" s="259"/>
      <c r="E69" s="260"/>
      <c r="F69" s="260"/>
      <c r="G69" s="260"/>
      <c r="H69" s="260"/>
      <c r="I69" s="260"/>
      <c r="J69" s="260"/>
      <c r="K69" s="260"/>
      <c r="L69" s="260"/>
      <c r="M69" s="259"/>
      <c r="Q69" s="464" t="s">
        <v>1754</v>
      </c>
    </row>
    <row r="70" spans="1:48" ht="29.25" customHeight="1">
      <c r="A70" s="259"/>
      <c r="B70" s="259"/>
      <c r="C70" s="259"/>
      <c r="D70" s="259"/>
      <c r="E70" s="260"/>
      <c r="F70" s="260"/>
      <c r="G70" s="260"/>
      <c r="H70" s="260"/>
      <c r="I70" s="260"/>
      <c r="J70" s="260"/>
      <c r="K70" s="260"/>
      <c r="L70" s="260"/>
      <c r="M70" s="259"/>
      <c r="Q70" s="464" t="s">
        <v>1754</v>
      </c>
    </row>
    <row r="71" spans="1:48" ht="29.25" customHeight="1">
      <c r="A71" s="259"/>
      <c r="B71" s="259"/>
      <c r="C71" s="259"/>
      <c r="D71" s="259"/>
      <c r="E71" s="260"/>
      <c r="F71" s="260"/>
      <c r="G71" s="260"/>
      <c r="H71" s="260"/>
      <c r="I71" s="260"/>
      <c r="J71" s="260"/>
      <c r="K71" s="260"/>
      <c r="L71" s="260"/>
      <c r="M71" s="259"/>
      <c r="Q71" s="464" t="s">
        <v>1754</v>
      </c>
    </row>
    <row r="72" spans="1:48" ht="29.25" customHeight="1">
      <c r="A72" s="259"/>
      <c r="B72" s="259"/>
      <c r="C72" s="259"/>
      <c r="D72" s="259"/>
      <c r="E72" s="260"/>
      <c r="F72" s="260"/>
      <c r="G72" s="260"/>
      <c r="H72" s="260"/>
      <c r="I72" s="260"/>
      <c r="J72" s="260"/>
      <c r="K72" s="260"/>
      <c r="L72" s="260"/>
      <c r="M72" s="259"/>
      <c r="Q72" s="464" t="s">
        <v>1754</v>
      </c>
    </row>
    <row r="73" spans="1:48" ht="29.25" customHeight="1">
      <c r="A73" s="259"/>
      <c r="B73" s="259"/>
      <c r="C73" s="259"/>
      <c r="D73" s="259"/>
      <c r="E73" s="260"/>
      <c r="F73" s="260"/>
      <c r="G73" s="260"/>
      <c r="H73" s="260"/>
      <c r="I73" s="260"/>
      <c r="J73" s="260"/>
      <c r="K73" s="260"/>
      <c r="L73" s="260"/>
      <c r="M73" s="259"/>
      <c r="Q73" s="464" t="s">
        <v>1754</v>
      </c>
    </row>
    <row r="74" spans="1:48" ht="29.25" customHeight="1">
      <c r="A74" s="259"/>
      <c r="B74" s="259"/>
      <c r="C74" s="259"/>
      <c r="D74" s="259"/>
      <c r="E74" s="260"/>
      <c r="F74" s="260"/>
      <c r="G74" s="260"/>
      <c r="H74" s="260"/>
      <c r="I74" s="260"/>
      <c r="J74" s="260"/>
      <c r="K74" s="260"/>
      <c r="L74" s="260"/>
      <c r="M74" s="259"/>
      <c r="Q74" s="464" t="s">
        <v>1754</v>
      </c>
    </row>
    <row r="75" spans="1:48" ht="29.25" customHeight="1">
      <c r="A75" s="259"/>
      <c r="B75" s="259"/>
      <c r="C75" s="259"/>
      <c r="D75" s="259"/>
      <c r="E75" s="260"/>
      <c r="F75" s="260"/>
      <c r="G75" s="260"/>
      <c r="H75" s="260"/>
      <c r="I75" s="260"/>
      <c r="J75" s="260"/>
      <c r="K75" s="260"/>
      <c r="L75" s="260"/>
      <c r="M75" s="259"/>
      <c r="Q75" s="464" t="s">
        <v>1754</v>
      </c>
    </row>
    <row r="76" spans="1:48" ht="29.25" customHeight="1">
      <c r="A76" s="259"/>
      <c r="B76" s="259"/>
      <c r="C76" s="259"/>
      <c r="D76" s="259"/>
      <c r="E76" s="260"/>
      <c r="F76" s="260"/>
      <c r="G76" s="260"/>
      <c r="H76" s="260"/>
      <c r="I76" s="260"/>
      <c r="J76" s="260"/>
      <c r="K76" s="260"/>
      <c r="L76" s="260"/>
      <c r="M76" s="259"/>
      <c r="Q76" s="464" t="s">
        <v>1754</v>
      </c>
    </row>
    <row r="77" spans="1:48" ht="29.25" customHeight="1">
      <c r="A77" s="259"/>
      <c r="B77" s="259"/>
      <c r="C77" s="259"/>
      <c r="D77" s="259"/>
      <c r="E77" s="260"/>
      <c r="F77" s="260"/>
      <c r="G77" s="260"/>
      <c r="H77" s="260"/>
      <c r="I77" s="260"/>
      <c r="J77" s="260"/>
      <c r="K77" s="260"/>
      <c r="L77" s="260"/>
      <c r="M77" s="259"/>
      <c r="Q77" s="464" t="s">
        <v>1754</v>
      </c>
    </row>
    <row r="78" spans="1:48" ht="29.25" customHeight="1">
      <c r="A78" s="252" t="s">
        <v>564</v>
      </c>
      <c r="B78" s="253"/>
      <c r="C78" s="253"/>
      <c r="D78" s="253"/>
      <c r="E78" s="254"/>
      <c r="F78" s="254">
        <f>SUMIF(Q55:Q77,"01010103",F55:F77)</f>
        <v>0</v>
      </c>
      <c r="G78" s="254"/>
      <c r="H78" s="254">
        <f>SUMIF(Q55:Q77,"01010103",H55:H77)</f>
        <v>0</v>
      </c>
      <c r="I78" s="254"/>
      <c r="J78" s="254">
        <f>SUMIF(Q55:Q77,"01010103",J55:J77)</f>
        <v>0</v>
      </c>
      <c r="K78" s="254"/>
      <c r="L78" s="254">
        <f>SUMIF(Q55:Q77,"01010103",L55:L77)</f>
        <v>0</v>
      </c>
      <c r="M78" s="253"/>
      <c r="N78" t="s">
        <v>617</v>
      </c>
    </row>
    <row r="79" spans="1:48" ht="29.25" customHeight="1">
      <c r="A79" s="294" t="s">
        <v>1755</v>
      </c>
      <c r="B79" s="294" t="s">
        <v>1795</v>
      </c>
      <c r="C79" s="259"/>
      <c r="D79" s="259"/>
      <c r="E79" s="260"/>
      <c r="F79" s="260"/>
      <c r="G79" s="260"/>
      <c r="H79" s="260"/>
      <c r="I79" s="260"/>
      <c r="J79" s="260"/>
      <c r="K79" s="260"/>
      <c r="L79" s="260"/>
      <c r="M79" s="259"/>
      <c r="N79" s="256"/>
      <c r="O79" s="256"/>
      <c r="P79" s="256"/>
      <c r="Q79" s="255" t="s">
        <v>1756</v>
      </c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</row>
    <row r="80" spans="1:48" ht="29.25" customHeight="1">
      <c r="A80" s="294" t="s">
        <v>710</v>
      </c>
      <c r="B80" s="294" t="s">
        <v>711</v>
      </c>
      <c r="C80" s="294" t="s">
        <v>685</v>
      </c>
      <c r="D80" s="259">
        <v>89</v>
      </c>
      <c r="E80" s="260">
        <f>TRUNC(단가대비표!O74,0)</f>
        <v>0</v>
      </c>
      <c r="F80" s="260">
        <f>TRUNC(E80*D80, 0)</f>
        <v>0</v>
      </c>
      <c r="G80" s="260">
        <f>TRUNC(단가대비표!P74,0)</f>
        <v>0</v>
      </c>
      <c r="H80" s="260">
        <f>TRUNC(G80*D80, 0)</f>
        <v>0</v>
      </c>
      <c r="I80" s="260">
        <f>TRUNC(단가대비표!V74,0)</f>
        <v>0</v>
      </c>
      <c r="J80" s="260">
        <f>TRUNC(I80*D80, 0)</f>
        <v>0</v>
      </c>
      <c r="K80" s="260">
        <f t="shared" ref="K80:L83" si="5">TRUNC(E80+G80+I80, 0)</f>
        <v>0</v>
      </c>
      <c r="L80" s="260">
        <f t="shared" si="5"/>
        <v>0</v>
      </c>
      <c r="M80" s="294" t="s">
        <v>50</v>
      </c>
      <c r="N80" s="255" t="s">
        <v>1862</v>
      </c>
      <c r="O80" s="255" t="s">
        <v>50</v>
      </c>
      <c r="P80" s="255" t="s">
        <v>50</v>
      </c>
      <c r="Q80" s="255" t="s">
        <v>1756</v>
      </c>
      <c r="R80" s="255" t="s">
        <v>599</v>
      </c>
      <c r="S80" s="255" t="s">
        <v>599</v>
      </c>
      <c r="T80" s="255" t="s">
        <v>598</v>
      </c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  <c r="AI80" s="256"/>
      <c r="AJ80" s="256"/>
      <c r="AK80" s="256"/>
      <c r="AL80" s="256"/>
      <c r="AM80" s="256"/>
      <c r="AN80" s="256"/>
      <c r="AO80" s="256"/>
      <c r="AP80" s="256"/>
      <c r="AQ80" s="256"/>
      <c r="AR80" s="255" t="s">
        <v>50</v>
      </c>
      <c r="AS80" s="255" t="s">
        <v>50</v>
      </c>
      <c r="AT80" s="256"/>
      <c r="AU80" s="255" t="s">
        <v>1863</v>
      </c>
      <c r="AV80" s="256">
        <v>468</v>
      </c>
    </row>
    <row r="81" spans="1:48" ht="29.25" customHeight="1">
      <c r="A81" s="294" t="s">
        <v>712</v>
      </c>
      <c r="B81" s="294" t="s">
        <v>713</v>
      </c>
      <c r="C81" s="294" t="s">
        <v>685</v>
      </c>
      <c r="D81" s="259">
        <v>1269</v>
      </c>
      <c r="E81" s="260">
        <f>TRUNC(단가산출목록!E5,0)</f>
        <v>0</v>
      </c>
      <c r="F81" s="260">
        <f>TRUNC(E81*D81, 0)</f>
        <v>0</v>
      </c>
      <c r="G81" s="260">
        <f>TRUNC(단가산출목록!F5,0)</f>
        <v>0</v>
      </c>
      <c r="H81" s="260">
        <f>TRUNC(G81*D81, 0)</f>
        <v>0</v>
      </c>
      <c r="I81" s="260">
        <f>TRUNC(단가산출목록!G5,0)</f>
        <v>0</v>
      </c>
      <c r="J81" s="260">
        <f>TRUNC(I81*D81, 0)</f>
        <v>0</v>
      </c>
      <c r="K81" s="260">
        <f t="shared" si="5"/>
        <v>0</v>
      </c>
      <c r="L81" s="260">
        <f t="shared" si="5"/>
        <v>0</v>
      </c>
      <c r="M81" s="294" t="s">
        <v>714</v>
      </c>
      <c r="N81" s="255" t="s">
        <v>1864</v>
      </c>
      <c r="O81" s="255" t="s">
        <v>50</v>
      </c>
      <c r="P81" s="255" t="s">
        <v>50</v>
      </c>
      <c r="Q81" s="255" t="s">
        <v>1756</v>
      </c>
      <c r="R81" s="255" t="s">
        <v>599</v>
      </c>
      <c r="S81" s="255" t="s">
        <v>598</v>
      </c>
      <c r="T81" s="255" t="s">
        <v>599</v>
      </c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5" t="s">
        <v>50</v>
      </c>
      <c r="AS81" s="255" t="s">
        <v>50</v>
      </c>
      <c r="AT81" s="256"/>
      <c r="AU81" s="255" t="s">
        <v>1865</v>
      </c>
      <c r="AV81" s="256">
        <v>471</v>
      </c>
    </row>
    <row r="82" spans="1:48" ht="29.25" customHeight="1">
      <c r="A82" s="294" t="s">
        <v>715</v>
      </c>
      <c r="B82" s="294" t="s">
        <v>716</v>
      </c>
      <c r="C82" s="294" t="s">
        <v>678</v>
      </c>
      <c r="D82" s="259">
        <v>1</v>
      </c>
      <c r="E82" s="260">
        <f>TRUNC(단가산출목록!E6,0)</f>
        <v>0</v>
      </c>
      <c r="F82" s="260">
        <f>TRUNC(E82*D82, 0)</f>
        <v>0</v>
      </c>
      <c r="G82" s="260">
        <f>TRUNC(단가산출목록!F6,0)</f>
        <v>0</v>
      </c>
      <c r="H82" s="260">
        <f>TRUNC(G82*D82, 0)</f>
        <v>0</v>
      </c>
      <c r="I82" s="260">
        <f>TRUNC(단가산출목록!G6,0)</f>
        <v>0</v>
      </c>
      <c r="J82" s="260">
        <f>TRUNC(I82*D82, 0)</f>
        <v>0</v>
      </c>
      <c r="K82" s="260">
        <f t="shared" si="5"/>
        <v>0</v>
      </c>
      <c r="L82" s="260">
        <f t="shared" si="5"/>
        <v>0</v>
      </c>
      <c r="M82" s="294" t="s">
        <v>717</v>
      </c>
      <c r="N82" s="255" t="s">
        <v>1866</v>
      </c>
      <c r="O82" s="255" t="s">
        <v>50</v>
      </c>
      <c r="P82" s="255" t="s">
        <v>50</v>
      </c>
      <c r="Q82" s="255" t="s">
        <v>1756</v>
      </c>
      <c r="R82" s="255" t="s">
        <v>599</v>
      </c>
      <c r="S82" s="255" t="s">
        <v>598</v>
      </c>
      <c r="T82" s="255" t="s">
        <v>599</v>
      </c>
      <c r="U82" s="256"/>
      <c r="V82" s="256"/>
      <c r="W82" s="256"/>
      <c r="X82" s="256"/>
      <c r="Y82" s="256"/>
      <c r="Z82" s="256"/>
      <c r="AA82" s="256"/>
      <c r="AB82" s="256"/>
      <c r="AC82" s="256"/>
      <c r="AD82" s="256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5" t="s">
        <v>50</v>
      </c>
      <c r="AS82" s="255" t="s">
        <v>50</v>
      </c>
      <c r="AT82" s="256"/>
      <c r="AU82" s="255" t="s">
        <v>1867</v>
      </c>
      <c r="AV82" s="256">
        <v>472</v>
      </c>
    </row>
    <row r="83" spans="1:48" ht="29.25" customHeight="1">
      <c r="A83" s="294" t="s">
        <v>721</v>
      </c>
      <c r="B83" s="294" t="s">
        <v>722</v>
      </c>
      <c r="C83" s="294" t="s">
        <v>723</v>
      </c>
      <c r="D83" s="259">
        <v>10038</v>
      </c>
      <c r="E83" s="260">
        <f>TRUNC(단가산출목록!E7,0)</f>
        <v>0</v>
      </c>
      <c r="F83" s="260">
        <f>TRUNC(E83*D83, 0)</f>
        <v>0</v>
      </c>
      <c r="G83" s="260">
        <f>TRUNC(단가산출목록!F7,0)</f>
        <v>0</v>
      </c>
      <c r="H83" s="260">
        <f>TRUNC(G83*D83, 0)</f>
        <v>0</v>
      </c>
      <c r="I83" s="260">
        <f>TRUNC(단가산출목록!G7,0)</f>
        <v>0</v>
      </c>
      <c r="J83" s="260">
        <f>TRUNC(I83*D83, 0)</f>
        <v>0</v>
      </c>
      <c r="K83" s="260">
        <f t="shared" si="5"/>
        <v>0</v>
      </c>
      <c r="L83" s="260">
        <f t="shared" si="5"/>
        <v>0</v>
      </c>
      <c r="M83" s="294" t="s">
        <v>718</v>
      </c>
      <c r="N83" s="255" t="s">
        <v>1868</v>
      </c>
      <c r="O83" s="255" t="s">
        <v>50</v>
      </c>
      <c r="P83" s="255" t="s">
        <v>50</v>
      </c>
      <c r="Q83" s="255" t="s">
        <v>1756</v>
      </c>
      <c r="R83" s="255" t="s">
        <v>599</v>
      </c>
      <c r="S83" s="255" t="s">
        <v>598</v>
      </c>
      <c r="T83" s="255" t="s">
        <v>599</v>
      </c>
      <c r="U83" s="256"/>
      <c r="V83" s="256"/>
      <c r="W83" s="256"/>
      <c r="X83" s="256"/>
      <c r="Y83" s="256"/>
      <c r="Z83" s="256"/>
      <c r="AA83" s="256"/>
      <c r="AB83" s="256"/>
      <c r="AC83" s="256"/>
      <c r="AD83" s="256"/>
      <c r="AE83" s="256"/>
      <c r="AF83" s="256"/>
      <c r="AG83" s="256"/>
      <c r="AH83" s="256"/>
      <c r="AI83" s="256"/>
      <c r="AJ83" s="256"/>
      <c r="AK83" s="256"/>
      <c r="AL83" s="256"/>
      <c r="AM83" s="256"/>
      <c r="AN83" s="256"/>
      <c r="AO83" s="256"/>
      <c r="AP83" s="256"/>
      <c r="AQ83" s="256"/>
      <c r="AR83" s="255" t="s">
        <v>50</v>
      </c>
      <c r="AS83" s="255" t="s">
        <v>50</v>
      </c>
      <c r="AT83" s="256"/>
      <c r="AU83" s="255" t="s">
        <v>1869</v>
      </c>
      <c r="AV83" s="256">
        <v>1719</v>
      </c>
    </row>
    <row r="84" spans="1:48" ht="29.25" customHeight="1">
      <c r="A84" s="259"/>
      <c r="B84" s="259"/>
      <c r="C84" s="259"/>
      <c r="D84" s="259"/>
      <c r="E84" s="260"/>
      <c r="F84" s="260"/>
      <c r="G84" s="260"/>
      <c r="H84" s="260"/>
      <c r="I84" s="260"/>
      <c r="J84" s="260"/>
      <c r="K84" s="260"/>
      <c r="L84" s="260"/>
      <c r="M84" s="259"/>
      <c r="Q84" s="464" t="s">
        <v>1756</v>
      </c>
    </row>
    <row r="85" spans="1:48" ht="29.25" customHeight="1">
      <c r="A85" s="259"/>
      <c r="B85" s="259"/>
      <c r="C85" s="259"/>
      <c r="D85" s="259"/>
      <c r="E85" s="260"/>
      <c r="F85" s="260"/>
      <c r="G85" s="260"/>
      <c r="H85" s="260"/>
      <c r="I85" s="260"/>
      <c r="J85" s="260"/>
      <c r="K85" s="260"/>
      <c r="L85" s="260"/>
      <c r="M85" s="259"/>
      <c r="Q85" s="464" t="s">
        <v>1756</v>
      </c>
    </row>
    <row r="86" spans="1:48" ht="29.25" customHeight="1">
      <c r="A86" s="259"/>
      <c r="B86" s="259"/>
      <c r="C86" s="259"/>
      <c r="D86" s="259"/>
      <c r="E86" s="260"/>
      <c r="F86" s="260"/>
      <c r="G86" s="260"/>
      <c r="H86" s="260"/>
      <c r="I86" s="260"/>
      <c r="J86" s="260"/>
      <c r="K86" s="260"/>
      <c r="L86" s="260"/>
      <c r="M86" s="259"/>
      <c r="Q86" s="464" t="s">
        <v>1756</v>
      </c>
    </row>
    <row r="87" spans="1:48" ht="29.25" customHeight="1">
      <c r="A87" s="259"/>
      <c r="B87" s="259"/>
      <c r="C87" s="259"/>
      <c r="D87" s="259"/>
      <c r="E87" s="260"/>
      <c r="F87" s="260"/>
      <c r="G87" s="260"/>
      <c r="H87" s="260"/>
      <c r="I87" s="260"/>
      <c r="J87" s="260"/>
      <c r="K87" s="260"/>
      <c r="L87" s="260"/>
      <c r="M87" s="259"/>
      <c r="Q87" s="464" t="s">
        <v>1756</v>
      </c>
    </row>
    <row r="88" spans="1:48" ht="29.25" customHeight="1">
      <c r="A88" s="259"/>
      <c r="B88" s="259"/>
      <c r="C88" s="259"/>
      <c r="D88" s="259"/>
      <c r="E88" s="260"/>
      <c r="F88" s="260"/>
      <c r="G88" s="260"/>
      <c r="H88" s="260"/>
      <c r="I88" s="260"/>
      <c r="J88" s="260"/>
      <c r="K88" s="260"/>
      <c r="L88" s="260"/>
      <c r="M88" s="259"/>
      <c r="Q88" s="464" t="s">
        <v>1756</v>
      </c>
    </row>
    <row r="89" spans="1:48" ht="29.25" customHeight="1">
      <c r="A89" s="259"/>
      <c r="B89" s="259"/>
      <c r="C89" s="259"/>
      <c r="D89" s="259"/>
      <c r="E89" s="260"/>
      <c r="F89" s="260"/>
      <c r="G89" s="260"/>
      <c r="H89" s="260"/>
      <c r="I89" s="260"/>
      <c r="J89" s="260"/>
      <c r="K89" s="260"/>
      <c r="L89" s="260"/>
      <c r="M89" s="259"/>
      <c r="Q89" s="464" t="s">
        <v>1756</v>
      </c>
    </row>
    <row r="90" spans="1:48" ht="29.25" customHeight="1">
      <c r="A90" s="259"/>
      <c r="B90" s="259"/>
      <c r="C90" s="259"/>
      <c r="D90" s="259"/>
      <c r="E90" s="260"/>
      <c r="F90" s="260"/>
      <c r="G90" s="260"/>
      <c r="H90" s="260"/>
      <c r="I90" s="260"/>
      <c r="J90" s="260"/>
      <c r="K90" s="260"/>
      <c r="L90" s="260"/>
      <c r="M90" s="259"/>
      <c r="Q90" s="464" t="s">
        <v>1756</v>
      </c>
    </row>
    <row r="91" spans="1:48" ht="29.25" customHeight="1">
      <c r="A91" s="259"/>
      <c r="B91" s="259"/>
      <c r="C91" s="259"/>
      <c r="D91" s="259"/>
      <c r="E91" s="260"/>
      <c r="F91" s="260"/>
      <c r="G91" s="260"/>
      <c r="H91" s="260"/>
      <c r="I91" s="260"/>
      <c r="J91" s="260"/>
      <c r="K91" s="260"/>
      <c r="L91" s="260"/>
      <c r="M91" s="259"/>
      <c r="Q91" s="464" t="s">
        <v>1756</v>
      </c>
    </row>
    <row r="92" spans="1:48" ht="29.25" customHeight="1">
      <c r="A92" s="259"/>
      <c r="B92" s="259"/>
      <c r="C92" s="259"/>
      <c r="D92" s="259"/>
      <c r="E92" s="260"/>
      <c r="F92" s="260"/>
      <c r="G92" s="260"/>
      <c r="H92" s="260"/>
      <c r="I92" s="260"/>
      <c r="J92" s="260"/>
      <c r="K92" s="260"/>
      <c r="L92" s="260"/>
      <c r="M92" s="259"/>
      <c r="Q92" s="464" t="s">
        <v>1756</v>
      </c>
    </row>
    <row r="93" spans="1:48" ht="29.25" customHeight="1">
      <c r="A93" s="259"/>
      <c r="B93" s="259"/>
      <c r="C93" s="259"/>
      <c r="D93" s="259"/>
      <c r="E93" s="260"/>
      <c r="F93" s="260"/>
      <c r="G93" s="260"/>
      <c r="H93" s="260"/>
      <c r="I93" s="260"/>
      <c r="J93" s="260"/>
      <c r="K93" s="260"/>
      <c r="L93" s="260"/>
      <c r="M93" s="259"/>
      <c r="Q93" s="464" t="s">
        <v>1756</v>
      </c>
    </row>
    <row r="94" spans="1:48" ht="29.25" customHeight="1">
      <c r="A94" s="259"/>
      <c r="B94" s="259"/>
      <c r="C94" s="259"/>
      <c r="D94" s="259"/>
      <c r="E94" s="260"/>
      <c r="F94" s="260"/>
      <c r="G94" s="260"/>
      <c r="H94" s="260"/>
      <c r="I94" s="260"/>
      <c r="J94" s="260"/>
      <c r="K94" s="260"/>
      <c r="L94" s="260"/>
      <c r="M94" s="259"/>
      <c r="Q94" s="464" t="s">
        <v>1756</v>
      </c>
    </row>
    <row r="95" spans="1:48" ht="29.25" customHeight="1">
      <c r="A95" s="259"/>
      <c r="B95" s="259"/>
      <c r="C95" s="259"/>
      <c r="D95" s="259"/>
      <c r="E95" s="260"/>
      <c r="F95" s="260"/>
      <c r="G95" s="260"/>
      <c r="H95" s="260"/>
      <c r="I95" s="260"/>
      <c r="J95" s="260"/>
      <c r="K95" s="260"/>
      <c r="L95" s="260"/>
      <c r="M95" s="259"/>
      <c r="Q95" s="464" t="s">
        <v>1756</v>
      </c>
    </row>
    <row r="96" spans="1:48" ht="29.25" customHeight="1">
      <c r="A96" s="259"/>
      <c r="B96" s="259"/>
      <c r="C96" s="259"/>
      <c r="D96" s="259"/>
      <c r="E96" s="260"/>
      <c r="F96" s="260"/>
      <c r="G96" s="260"/>
      <c r="H96" s="260"/>
      <c r="I96" s="260"/>
      <c r="J96" s="260"/>
      <c r="K96" s="260"/>
      <c r="L96" s="260"/>
      <c r="M96" s="259"/>
      <c r="Q96" s="464" t="s">
        <v>1756</v>
      </c>
    </row>
    <row r="97" spans="1:48" ht="29.25" customHeight="1">
      <c r="A97" s="259"/>
      <c r="B97" s="259"/>
      <c r="C97" s="259"/>
      <c r="D97" s="259"/>
      <c r="E97" s="260"/>
      <c r="F97" s="260"/>
      <c r="G97" s="260"/>
      <c r="H97" s="260"/>
      <c r="I97" s="260"/>
      <c r="J97" s="260"/>
      <c r="K97" s="260"/>
      <c r="L97" s="260"/>
      <c r="M97" s="259"/>
      <c r="Q97" s="464" t="s">
        <v>1756</v>
      </c>
    </row>
    <row r="98" spans="1:48" ht="29.25" customHeight="1">
      <c r="A98" s="259"/>
      <c r="B98" s="259"/>
      <c r="C98" s="259"/>
      <c r="D98" s="259"/>
      <c r="E98" s="260"/>
      <c r="F98" s="260"/>
      <c r="G98" s="260"/>
      <c r="H98" s="260"/>
      <c r="I98" s="260"/>
      <c r="J98" s="260"/>
      <c r="K98" s="260"/>
      <c r="L98" s="260"/>
      <c r="M98" s="259"/>
      <c r="Q98" s="464" t="s">
        <v>1756</v>
      </c>
    </row>
    <row r="99" spans="1:48" ht="29.25" customHeight="1">
      <c r="A99" s="259"/>
      <c r="B99" s="259"/>
      <c r="C99" s="259"/>
      <c r="D99" s="259"/>
      <c r="E99" s="260"/>
      <c r="F99" s="260"/>
      <c r="G99" s="260"/>
      <c r="H99" s="260"/>
      <c r="I99" s="260"/>
      <c r="J99" s="260"/>
      <c r="K99" s="260"/>
      <c r="L99" s="260"/>
      <c r="M99" s="259"/>
      <c r="Q99" s="464" t="s">
        <v>1756</v>
      </c>
    </row>
    <row r="100" spans="1:48" ht="29.25" customHeight="1">
      <c r="A100" s="259"/>
      <c r="B100" s="259"/>
      <c r="C100" s="259"/>
      <c r="D100" s="259"/>
      <c r="E100" s="260"/>
      <c r="F100" s="260"/>
      <c r="G100" s="260"/>
      <c r="H100" s="260"/>
      <c r="I100" s="260"/>
      <c r="J100" s="260"/>
      <c r="K100" s="260"/>
      <c r="L100" s="260"/>
      <c r="M100" s="259"/>
      <c r="Q100" s="464" t="s">
        <v>1756</v>
      </c>
    </row>
    <row r="101" spans="1:48" ht="29.25" customHeight="1">
      <c r="A101" s="259"/>
      <c r="B101" s="259"/>
      <c r="C101" s="259"/>
      <c r="D101" s="259"/>
      <c r="E101" s="260"/>
      <c r="F101" s="260"/>
      <c r="G101" s="260"/>
      <c r="H101" s="260"/>
      <c r="I101" s="260"/>
      <c r="J101" s="260"/>
      <c r="K101" s="260"/>
      <c r="L101" s="260"/>
      <c r="M101" s="259"/>
      <c r="Q101" s="464" t="s">
        <v>1756</v>
      </c>
    </row>
    <row r="102" spans="1:48" ht="29.25" customHeight="1">
      <c r="A102" s="259"/>
      <c r="B102" s="259"/>
      <c r="C102" s="259"/>
      <c r="D102" s="259"/>
      <c r="E102" s="260"/>
      <c r="F102" s="260"/>
      <c r="G102" s="260"/>
      <c r="H102" s="260"/>
      <c r="I102" s="260"/>
      <c r="J102" s="260"/>
      <c r="K102" s="260"/>
      <c r="L102" s="260"/>
      <c r="M102" s="259"/>
      <c r="Q102" s="464" t="s">
        <v>1756</v>
      </c>
    </row>
    <row r="103" spans="1:48" ht="29.25" customHeight="1">
      <c r="A103" s="252" t="s">
        <v>564</v>
      </c>
      <c r="B103" s="253"/>
      <c r="C103" s="253"/>
      <c r="D103" s="253"/>
      <c r="E103" s="254"/>
      <c r="F103" s="254">
        <f>SUMIF(Q80:Q102,"01010104",F80:F102)</f>
        <v>0</v>
      </c>
      <c r="G103" s="254"/>
      <c r="H103" s="254">
        <f>SUMIF(Q80:Q102,"01010104",H80:H102)</f>
        <v>0</v>
      </c>
      <c r="I103" s="254"/>
      <c r="J103" s="254">
        <f>SUMIF(Q80:Q102,"01010104",J80:J102)</f>
        <v>0</v>
      </c>
      <c r="K103" s="254"/>
      <c r="L103" s="254">
        <f>SUMIF(Q80:Q102,"01010104",L80:L102)</f>
        <v>0</v>
      </c>
      <c r="M103" s="253"/>
      <c r="N103" t="s">
        <v>617</v>
      </c>
    </row>
    <row r="104" spans="1:48" ht="29.25" customHeight="1">
      <c r="A104" s="294" t="s">
        <v>1757</v>
      </c>
      <c r="B104" s="294" t="s">
        <v>1795</v>
      </c>
      <c r="C104" s="259"/>
      <c r="D104" s="259"/>
      <c r="E104" s="260"/>
      <c r="F104" s="260"/>
      <c r="G104" s="260"/>
      <c r="H104" s="260"/>
      <c r="I104" s="260"/>
      <c r="J104" s="260"/>
      <c r="K104" s="260"/>
      <c r="L104" s="260"/>
      <c r="M104" s="259"/>
      <c r="N104" s="256"/>
      <c r="O104" s="256"/>
      <c r="P104" s="256"/>
      <c r="Q104" s="255" t="s">
        <v>557</v>
      </c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  <c r="AN104" s="256"/>
      <c r="AO104" s="256"/>
      <c r="AP104" s="256"/>
      <c r="AQ104" s="256"/>
      <c r="AR104" s="256"/>
      <c r="AS104" s="256"/>
      <c r="AT104" s="256"/>
      <c r="AU104" s="256"/>
      <c r="AV104" s="256"/>
    </row>
    <row r="105" spans="1:48" ht="29.25" customHeight="1">
      <c r="A105" s="294" t="s">
        <v>725</v>
      </c>
      <c r="B105" s="294" t="s">
        <v>726</v>
      </c>
      <c r="C105" s="294" t="s">
        <v>678</v>
      </c>
      <c r="D105" s="259">
        <v>3</v>
      </c>
      <c r="E105" s="260">
        <f>TRUNC(일위대가목록!E29,0)</f>
        <v>0</v>
      </c>
      <c r="F105" s="260">
        <f>TRUNC(E105*D105, 0)</f>
        <v>0</v>
      </c>
      <c r="G105" s="260">
        <f>TRUNC(일위대가목록!F29,0)</f>
        <v>0</v>
      </c>
      <c r="H105" s="260">
        <f>TRUNC(G105*D105, 0)</f>
        <v>0</v>
      </c>
      <c r="I105" s="260">
        <f>TRUNC(일위대가목록!G29,0)</f>
        <v>0</v>
      </c>
      <c r="J105" s="260">
        <f>TRUNC(I105*D105, 0)</f>
        <v>0</v>
      </c>
      <c r="K105" s="260">
        <f t="shared" ref="K105:L107" si="6">TRUNC(E105+G105+I105, 0)</f>
        <v>0</v>
      </c>
      <c r="L105" s="260">
        <f t="shared" si="6"/>
        <v>0</v>
      </c>
      <c r="M105" s="294" t="s">
        <v>630</v>
      </c>
      <c r="N105" s="255" t="s">
        <v>1870</v>
      </c>
      <c r="O105" s="255" t="s">
        <v>50</v>
      </c>
      <c r="P105" s="255" t="s">
        <v>50</v>
      </c>
      <c r="Q105" s="255" t="s">
        <v>557</v>
      </c>
      <c r="R105" s="255" t="s">
        <v>598</v>
      </c>
      <c r="S105" s="255" t="s">
        <v>599</v>
      </c>
      <c r="T105" s="255" t="s">
        <v>599</v>
      </c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5" t="s">
        <v>50</v>
      </c>
      <c r="AS105" s="255" t="s">
        <v>50</v>
      </c>
      <c r="AT105" s="256"/>
      <c r="AU105" s="255" t="s">
        <v>1871</v>
      </c>
      <c r="AV105" s="256">
        <v>484</v>
      </c>
    </row>
    <row r="106" spans="1:48" ht="29.25" customHeight="1">
      <c r="A106" s="294" t="s">
        <v>725</v>
      </c>
      <c r="B106" s="294" t="s">
        <v>727</v>
      </c>
      <c r="C106" s="294" t="s">
        <v>678</v>
      </c>
      <c r="D106" s="259">
        <v>3</v>
      </c>
      <c r="E106" s="260">
        <f>TRUNC(일위대가목록!E30,0)</f>
        <v>0</v>
      </c>
      <c r="F106" s="260">
        <f>TRUNC(E106*D106, 0)</f>
        <v>0</v>
      </c>
      <c r="G106" s="260">
        <f>TRUNC(일위대가목록!F30,0)</f>
        <v>0</v>
      </c>
      <c r="H106" s="260">
        <f>TRUNC(G106*D106, 0)</f>
        <v>0</v>
      </c>
      <c r="I106" s="260">
        <f>TRUNC(일위대가목록!G30,0)</f>
        <v>0</v>
      </c>
      <c r="J106" s="260">
        <f>TRUNC(I106*D106, 0)</f>
        <v>0</v>
      </c>
      <c r="K106" s="260">
        <f t="shared" si="6"/>
        <v>0</v>
      </c>
      <c r="L106" s="260">
        <f t="shared" si="6"/>
        <v>0</v>
      </c>
      <c r="M106" s="294" t="s">
        <v>631</v>
      </c>
      <c r="N106" s="255" t="s">
        <v>1872</v>
      </c>
      <c r="O106" s="255" t="s">
        <v>50</v>
      </c>
      <c r="P106" s="255" t="s">
        <v>50</v>
      </c>
      <c r="Q106" s="255" t="s">
        <v>557</v>
      </c>
      <c r="R106" s="255" t="s">
        <v>598</v>
      </c>
      <c r="S106" s="255" t="s">
        <v>599</v>
      </c>
      <c r="T106" s="255" t="s">
        <v>599</v>
      </c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  <c r="AN106" s="256"/>
      <c r="AO106" s="256"/>
      <c r="AP106" s="256"/>
      <c r="AQ106" s="256"/>
      <c r="AR106" s="255" t="s">
        <v>50</v>
      </c>
      <c r="AS106" s="255" t="s">
        <v>50</v>
      </c>
      <c r="AT106" s="256"/>
      <c r="AU106" s="255" t="s">
        <v>1873</v>
      </c>
      <c r="AV106" s="256">
        <v>485</v>
      </c>
    </row>
    <row r="107" spans="1:48" ht="29.25" customHeight="1">
      <c r="A107" s="294" t="s">
        <v>728</v>
      </c>
      <c r="B107" s="294" t="s">
        <v>729</v>
      </c>
      <c r="C107" s="294" t="s">
        <v>678</v>
      </c>
      <c r="D107" s="259">
        <v>6</v>
      </c>
      <c r="E107" s="260">
        <f>TRUNC(일위대가목록!E31,0)</f>
        <v>0</v>
      </c>
      <c r="F107" s="260">
        <f>TRUNC(E107*D107, 0)</f>
        <v>0</v>
      </c>
      <c r="G107" s="260">
        <f>TRUNC(일위대가목록!F31,0)</f>
        <v>0</v>
      </c>
      <c r="H107" s="260">
        <f>TRUNC(G107*D107, 0)</f>
        <v>0</v>
      </c>
      <c r="I107" s="260">
        <f>TRUNC(일위대가목록!G31,0)</f>
        <v>0</v>
      </c>
      <c r="J107" s="260">
        <f>TRUNC(I107*D107, 0)</f>
        <v>0</v>
      </c>
      <c r="K107" s="260">
        <f t="shared" si="6"/>
        <v>0</v>
      </c>
      <c r="L107" s="260">
        <f t="shared" si="6"/>
        <v>0</v>
      </c>
      <c r="M107" s="294" t="s">
        <v>632</v>
      </c>
      <c r="N107" s="255" t="s">
        <v>1874</v>
      </c>
      <c r="O107" s="255" t="s">
        <v>50</v>
      </c>
      <c r="P107" s="255" t="s">
        <v>50</v>
      </c>
      <c r="Q107" s="255" t="s">
        <v>557</v>
      </c>
      <c r="R107" s="255" t="s">
        <v>598</v>
      </c>
      <c r="S107" s="255" t="s">
        <v>599</v>
      </c>
      <c r="T107" s="255" t="s">
        <v>599</v>
      </c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256"/>
      <c r="AN107" s="256"/>
      <c r="AO107" s="256"/>
      <c r="AP107" s="256"/>
      <c r="AQ107" s="256"/>
      <c r="AR107" s="255" t="s">
        <v>50</v>
      </c>
      <c r="AS107" s="255" t="s">
        <v>50</v>
      </c>
      <c r="AT107" s="256"/>
      <c r="AU107" s="255" t="s">
        <v>1875</v>
      </c>
      <c r="AV107" s="256">
        <v>493</v>
      </c>
    </row>
    <row r="108" spans="1:48" ht="29.25" customHeight="1">
      <c r="A108" s="259"/>
      <c r="B108" s="259"/>
      <c r="C108" s="259"/>
      <c r="D108" s="259"/>
      <c r="E108" s="260"/>
      <c r="F108" s="260"/>
      <c r="G108" s="260"/>
      <c r="H108" s="260"/>
      <c r="I108" s="260"/>
      <c r="J108" s="260"/>
      <c r="K108" s="260"/>
      <c r="L108" s="260"/>
      <c r="M108" s="259"/>
      <c r="Q108" s="464" t="s">
        <v>557</v>
      </c>
    </row>
    <row r="109" spans="1:48" ht="29.25" customHeight="1">
      <c r="A109" s="259"/>
      <c r="B109" s="259"/>
      <c r="C109" s="259"/>
      <c r="D109" s="259"/>
      <c r="E109" s="260"/>
      <c r="F109" s="260"/>
      <c r="G109" s="260"/>
      <c r="H109" s="260"/>
      <c r="I109" s="260"/>
      <c r="J109" s="260"/>
      <c r="K109" s="260"/>
      <c r="L109" s="260"/>
      <c r="M109" s="259"/>
      <c r="Q109" s="464" t="s">
        <v>557</v>
      </c>
    </row>
    <row r="110" spans="1:48" ht="29.25" customHeight="1">
      <c r="A110" s="259"/>
      <c r="B110" s="259"/>
      <c r="C110" s="259"/>
      <c r="D110" s="259"/>
      <c r="E110" s="260"/>
      <c r="F110" s="260"/>
      <c r="G110" s="260"/>
      <c r="H110" s="260"/>
      <c r="I110" s="260"/>
      <c r="J110" s="260"/>
      <c r="K110" s="260"/>
      <c r="L110" s="260"/>
      <c r="M110" s="259"/>
      <c r="Q110" s="464" t="s">
        <v>557</v>
      </c>
    </row>
    <row r="111" spans="1:48" ht="29.25" customHeight="1">
      <c r="A111" s="259"/>
      <c r="B111" s="259"/>
      <c r="C111" s="259"/>
      <c r="D111" s="259"/>
      <c r="E111" s="260"/>
      <c r="F111" s="260"/>
      <c r="G111" s="260"/>
      <c r="H111" s="260"/>
      <c r="I111" s="260"/>
      <c r="J111" s="260"/>
      <c r="K111" s="260"/>
      <c r="L111" s="260"/>
      <c r="M111" s="259"/>
      <c r="Q111" s="464" t="s">
        <v>557</v>
      </c>
    </row>
    <row r="112" spans="1:48" ht="29.25" customHeight="1">
      <c r="A112" s="259"/>
      <c r="B112" s="259"/>
      <c r="C112" s="259"/>
      <c r="D112" s="259"/>
      <c r="E112" s="260"/>
      <c r="F112" s="260"/>
      <c r="G112" s="260"/>
      <c r="H112" s="260"/>
      <c r="I112" s="260"/>
      <c r="J112" s="260"/>
      <c r="K112" s="260"/>
      <c r="L112" s="260"/>
      <c r="M112" s="259"/>
      <c r="Q112" s="464" t="s">
        <v>557</v>
      </c>
    </row>
    <row r="113" spans="1:17" ht="29.25" customHeight="1">
      <c r="A113" s="259"/>
      <c r="B113" s="259"/>
      <c r="C113" s="259"/>
      <c r="D113" s="259"/>
      <c r="E113" s="260"/>
      <c r="F113" s="260"/>
      <c r="G113" s="260"/>
      <c r="H113" s="260"/>
      <c r="I113" s="260"/>
      <c r="J113" s="260"/>
      <c r="K113" s="260"/>
      <c r="L113" s="260"/>
      <c r="M113" s="259"/>
      <c r="Q113" s="464" t="s">
        <v>557</v>
      </c>
    </row>
    <row r="114" spans="1:17" ht="29.25" customHeight="1">
      <c r="A114" s="259"/>
      <c r="B114" s="259"/>
      <c r="C114" s="259"/>
      <c r="D114" s="259"/>
      <c r="E114" s="260"/>
      <c r="F114" s="260"/>
      <c r="G114" s="260"/>
      <c r="H114" s="260"/>
      <c r="I114" s="260"/>
      <c r="J114" s="260"/>
      <c r="K114" s="260"/>
      <c r="L114" s="260"/>
      <c r="M114" s="259"/>
      <c r="Q114" s="464" t="s">
        <v>557</v>
      </c>
    </row>
    <row r="115" spans="1:17" ht="29.25" customHeight="1">
      <c r="A115" s="259"/>
      <c r="B115" s="259"/>
      <c r="C115" s="259"/>
      <c r="D115" s="259"/>
      <c r="E115" s="260"/>
      <c r="F115" s="260"/>
      <c r="G115" s="260"/>
      <c r="H115" s="260"/>
      <c r="I115" s="260"/>
      <c r="J115" s="260"/>
      <c r="K115" s="260"/>
      <c r="L115" s="260"/>
      <c r="M115" s="259"/>
      <c r="Q115" s="464" t="s">
        <v>557</v>
      </c>
    </row>
    <row r="116" spans="1:17" ht="29.25" customHeight="1">
      <c r="A116" s="259"/>
      <c r="B116" s="259"/>
      <c r="C116" s="259"/>
      <c r="D116" s="259"/>
      <c r="E116" s="260"/>
      <c r="F116" s="260"/>
      <c r="G116" s="260"/>
      <c r="H116" s="260"/>
      <c r="I116" s="260"/>
      <c r="J116" s="260"/>
      <c r="K116" s="260"/>
      <c r="L116" s="260"/>
      <c r="M116" s="259"/>
      <c r="Q116" s="464" t="s">
        <v>557</v>
      </c>
    </row>
    <row r="117" spans="1:17" ht="29.25" customHeight="1">
      <c r="A117" s="259"/>
      <c r="B117" s="259"/>
      <c r="C117" s="259"/>
      <c r="D117" s="259"/>
      <c r="E117" s="260"/>
      <c r="F117" s="260"/>
      <c r="G117" s="260"/>
      <c r="H117" s="260"/>
      <c r="I117" s="260"/>
      <c r="J117" s="260"/>
      <c r="K117" s="260"/>
      <c r="L117" s="260"/>
      <c r="M117" s="259"/>
      <c r="Q117" s="464" t="s">
        <v>557</v>
      </c>
    </row>
    <row r="118" spans="1:17" ht="29.25" customHeight="1">
      <c r="A118" s="259"/>
      <c r="B118" s="259"/>
      <c r="C118" s="259"/>
      <c r="D118" s="259"/>
      <c r="E118" s="260"/>
      <c r="F118" s="260"/>
      <c r="G118" s="260"/>
      <c r="H118" s="260"/>
      <c r="I118" s="260"/>
      <c r="J118" s="260"/>
      <c r="K118" s="260"/>
      <c r="L118" s="260"/>
      <c r="M118" s="259"/>
      <c r="Q118" s="464" t="s">
        <v>557</v>
      </c>
    </row>
    <row r="119" spans="1:17" ht="29.25" customHeight="1">
      <c r="A119" s="259"/>
      <c r="B119" s="259"/>
      <c r="C119" s="259"/>
      <c r="D119" s="259"/>
      <c r="E119" s="260"/>
      <c r="F119" s="260"/>
      <c r="G119" s="260"/>
      <c r="H119" s="260"/>
      <c r="I119" s="260"/>
      <c r="J119" s="260"/>
      <c r="K119" s="260"/>
      <c r="L119" s="260"/>
      <c r="M119" s="259"/>
      <c r="Q119" s="464" t="s">
        <v>557</v>
      </c>
    </row>
    <row r="120" spans="1:17" ht="29.25" customHeight="1">
      <c r="A120" s="259"/>
      <c r="B120" s="259"/>
      <c r="C120" s="259"/>
      <c r="D120" s="259"/>
      <c r="E120" s="260"/>
      <c r="F120" s="260"/>
      <c r="G120" s="260"/>
      <c r="H120" s="260"/>
      <c r="I120" s="260"/>
      <c r="J120" s="260"/>
      <c r="K120" s="260"/>
      <c r="L120" s="260"/>
      <c r="M120" s="259"/>
      <c r="Q120" s="464" t="s">
        <v>557</v>
      </c>
    </row>
    <row r="121" spans="1:17" ht="29.25" customHeight="1">
      <c r="A121" s="259"/>
      <c r="B121" s="259"/>
      <c r="C121" s="259"/>
      <c r="D121" s="259"/>
      <c r="E121" s="260"/>
      <c r="F121" s="260"/>
      <c r="G121" s="260"/>
      <c r="H121" s="260"/>
      <c r="I121" s="260"/>
      <c r="J121" s="260"/>
      <c r="K121" s="260"/>
      <c r="L121" s="260"/>
      <c r="M121" s="259"/>
      <c r="Q121" s="464" t="s">
        <v>557</v>
      </c>
    </row>
    <row r="122" spans="1:17" ht="29.25" customHeight="1">
      <c r="A122" s="259"/>
      <c r="B122" s="259"/>
      <c r="C122" s="259"/>
      <c r="D122" s="259"/>
      <c r="E122" s="260"/>
      <c r="F122" s="260"/>
      <c r="G122" s="260"/>
      <c r="H122" s="260"/>
      <c r="I122" s="260"/>
      <c r="J122" s="260"/>
      <c r="K122" s="260"/>
      <c r="L122" s="260"/>
      <c r="M122" s="259"/>
      <c r="Q122" s="464" t="s">
        <v>557</v>
      </c>
    </row>
    <row r="123" spans="1:17" ht="29.25" customHeight="1">
      <c r="A123" s="259"/>
      <c r="B123" s="259"/>
      <c r="C123" s="259"/>
      <c r="D123" s="259"/>
      <c r="E123" s="260"/>
      <c r="F123" s="260"/>
      <c r="G123" s="260"/>
      <c r="H123" s="260"/>
      <c r="I123" s="260"/>
      <c r="J123" s="260"/>
      <c r="K123" s="260"/>
      <c r="L123" s="260"/>
      <c r="M123" s="259"/>
      <c r="Q123" s="464" t="s">
        <v>557</v>
      </c>
    </row>
    <row r="124" spans="1:17" ht="29.25" customHeight="1">
      <c r="A124" s="259"/>
      <c r="B124" s="259"/>
      <c r="C124" s="259"/>
      <c r="D124" s="259"/>
      <c r="E124" s="260"/>
      <c r="F124" s="260"/>
      <c r="G124" s="260"/>
      <c r="H124" s="260"/>
      <c r="I124" s="260"/>
      <c r="J124" s="260"/>
      <c r="K124" s="260"/>
      <c r="L124" s="260"/>
      <c r="M124" s="259"/>
      <c r="Q124" s="464" t="s">
        <v>557</v>
      </c>
    </row>
    <row r="125" spans="1:17" ht="29.25" customHeight="1">
      <c r="A125" s="259"/>
      <c r="B125" s="259"/>
      <c r="C125" s="259"/>
      <c r="D125" s="259"/>
      <c r="E125" s="260"/>
      <c r="F125" s="260"/>
      <c r="G125" s="260"/>
      <c r="H125" s="260"/>
      <c r="I125" s="260"/>
      <c r="J125" s="260"/>
      <c r="K125" s="260"/>
      <c r="L125" s="260"/>
      <c r="M125" s="259"/>
      <c r="Q125" s="464" t="s">
        <v>557</v>
      </c>
    </row>
    <row r="126" spans="1:17" ht="29.25" customHeight="1">
      <c r="A126" s="259"/>
      <c r="B126" s="259"/>
      <c r="C126" s="259"/>
      <c r="D126" s="259"/>
      <c r="E126" s="260"/>
      <c r="F126" s="260"/>
      <c r="G126" s="260"/>
      <c r="H126" s="260"/>
      <c r="I126" s="260"/>
      <c r="J126" s="260"/>
      <c r="K126" s="260"/>
      <c r="L126" s="260"/>
      <c r="M126" s="259"/>
      <c r="Q126" s="464" t="s">
        <v>557</v>
      </c>
    </row>
    <row r="127" spans="1:17" ht="29.25" customHeight="1">
      <c r="A127" s="259"/>
      <c r="B127" s="259"/>
      <c r="C127" s="259"/>
      <c r="D127" s="259"/>
      <c r="E127" s="260"/>
      <c r="F127" s="260"/>
      <c r="G127" s="260"/>
      <c r="H127" s="260"/>
      <c r="I127" s="260"/>
      <c r="J127" s="260"/>
      <c r="K127" s="260"/>
      <c r="L127" s="260"/>
      <c r="M127" s="259"/>
      <c r="Q127" s="464" t="s">
        <v>557</v>
      </c>
    </row>
    <row r="128" spans="1:17" ht="29.25" customHeight="1">
      <c r="A128" s="252" t="s">
        <v>564</v>
      </c>
      <c r="B128" s="253"/>
      <c r="C128" s="253"/>
      <c r="D128" s="253"/>
      <c r="E128" s="254"/>
      <c r="F128" s="254">
        <f>SUMIF(Q105:Q127,"010102",F105:F127)</f>
        <v>0</v>
      </c>
      <c r="G128" s="254"/>
      <c r="H128" s="254">
        <f>SUMIF(Q105:Q127,"010102",H105:H127)</f>
        <v>0</v>
      </c>
      <c r="I128" s="254"/>
      <c r="J128" s="254">
        <f>SUMIF(Q105:Q127,"010102",J105:J127)</f>
        <v>0</v>
      </c>
      <c r="K128" s="254"/>
      <c r="L128" s="254">
        <f>SUMIF(Q105:Q127,"010102",L105:L127)</f>
        <v>0</v>
      </c>
      <c r="M128" s="253"/>
      <c r="N128" t="s">
        <v>617</v>
      </c>
    </row>
    <row r="129" spans="1:48" ht="29.25" customHeight="1">
      <c r="A129" s="294" t="s">
        <v>1758</v>
      </c>
      <c r="B129" s="294" t="s">
        <v>1795</v>
      </c>
      <c r="C129" s="259"/>
      <c r="D129" s="259"/>
      <c r="E129" s="260"/>
      <c r="F129" s="260"/>
      <c r="G129" s="260"/>
      <c r="H129" s="260"/>
      <c r="I129" s="260"/>
      <c r="J129" s="260"/>
      <c r="K129" s="260"/>
      <c r="L129" s="260"/>
      <c r="M129" s="259"/>
      <c r="N129" s="256"/>
      <c r="O129" s="256"/>
      <c r="P129" s="256"/>
      <c r="Q129" s="255" t="s">
        <v>558</v>
      </c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</row>
    <row r="130" spans="1:48" ht="29.25" customHeight="1">
      <c r="A130" s="294" t="s">
        <v>1774</v>
      </c>
      <c r="B130" s="294" t="s">
        <v>50</v>
      </c>
      <c r="C130" s="294" t="s">
        <v>146</v>
      </c>
      <c r="D130" s="259">
        <v>1</v>
      </c>
      <c r="E130" s="260">
        <f>TRUNC(단가대비표!O83,0)</f>
        <v>0</v>
      </c>
      <c r="F130" s="260">
        <f t="shared" ref="F130:F135" si="7">TRUNC(E130*D130, 0)</f>
        <v>0</v>
      </c>
      <c r="G130" s="260">
        <f>TRUNC(단가대비표!P83,0)</f>
        <v>0</v>
      </c>
      <c r="H130" s="260">
        <f t="shared" ref="H130:H135" si="8">TRUNC(G130*D130, 0)</f>
        <v>0</v>
      </c>
      <c r="I130" s="260">
        <f>TRUNC(단가대비표!V83,0)</f>
        <v>0</v>
      </c>
      <c r="J130" s="260">
        <f t="shared" ref="J130:J135" si="9">TRUNC(I130*D130, 0)</f>
        <v>0</v>
      </c>
      <c r="K130" s="260">
        <f t="shared" ref="K130:L135" si="10">TRUNC(E130+G130+I130, 0)</f>
        <v>0</v>
      </c>
      <c r="L130" s="260">
        <f t="shared" si="10"/>
        <v>0</v>
      </c>
      <c r="M130" s="294" t="s">
        <v>50</v>
      </c>
      <c r="N130" s="255" t="s">
        <v>1876</v>
      </c>
      <c r="O130" s="255" t="s">
        <v>50</v>
      </c>
      <c r="P130" s="255" t="s">
        <v>50</v>
      </c>
      <c r="Q130" s="255" t="s">
        <v>558</v>
      </c>
      <c r="R130" s="255" t="s">
        <v>599</v>
      </c>
      <c r="S130" s="255" t="s">
        <v>599</v>
      </c>
      <c r="T130" s="255" t="s">
        <v>598</v>
      </c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  <c r="AN130" s="256"/>
      <c r="AO130" s="256"/>
      <c r="AP130" s="256"/>
      <c r="AQ130" s="256"/>
      <c r="AR130" s="255" t="s">
        <v>50</v>
      </c>
      <c r="AS130" s="255" t="s">
        <v>50</v>
      </c>
      <c r="AT130" s="256"/>
      <c r="AU130" s="255" t="s">
        <v>1877</v>
      </c>
      <c r="AV130" s="256">
        <v>2504</v>
      </c>
    </row>
    <row r="131" spans="1:48" ht="29.25" customHeight="1">
      <c r="A131" s="294" t="s">
        <v>1775</v>
      </c>
      <c r="B131" s="294" t="s">
        <v>50</v>
      </c>
      <c r="C131" s="294" t="s">
        <v>146</v>
      </c>
      <c r="D131" s="259">
        <v>1</v>
      </c>
      <c r="E131" s="260">
        <f>TRUNC(단가대비표!O84,0)</f>
        <v>0</v>
      </c>
      <c r="F131" s="260">
        <f t="shared" si="7"/>
        <v>0</v>
      </c>
      <c r="G131" s="260">
        <f>TRUNC(단가대비표!P84,0)</f>
        <v>0</v>
      </c>
      <c r="H131" s="260">
        <f t="shared" si="8"/>
        <v>0</v>
      </c>
      <c r="I131" s="260">
        <f>TRUNC(단가대비표!V84,0)</f>
        <v>0</v>
      </c>
      <c r="J131" s="260">
        <f t="shared" si="9"/>
        <v>0</v>
      </c>
      <c r="K131" s="260">
        <f t="shared" si="10"/>
        <v>0</v>
      </c>
      <c r="L131" s="260">
        <f t="shared" si="10"/>
        <v>0</v>
      </c>
      <c r="M131" s="294" t="s">
        <v>50</v>
      </c>
      <c r="N131" s="255" t="s">
        <v>1878</v>
      </c>
      <c r="O131" s="255" t="s">
        <v>50</v>
      </c>
      <c r="P131" s="255" t="s">
        <v>50</v>
      </c>
      <c r="Q131" s="255" t="s">
        <v>558</v>
      </c>
      <c r="R131" s="255" t="s">
        <v>599</v>
      </c>
      <c r="S131" s="255" t="s">
        <v>599</v>
      </c>
      <c r="T131" s="255" t="s">
        <v>598</v>
      </c>
      <c r="U131" s="256"/>
      <c r="V131" s="256"/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  <c r="AM131" s="256"/>
      <c r="AN131" s="256"/>
      <c r="AO131" s="256"/>
      <c r="AP131" s="256"/>
      <c r="AQ131" s="256"/>
      <c r="AR131" s="255" t="s">
        <v>50</v>
      </c>
      <c r="AS131" s="255" t="s">
        <v>50</v>
      </c>
      <c r="AT131" s="256"/>
      <c r="AU131" s="255" t="s">
        <v>1879</v>
      </c>
      <c r="AV131" s="256">
        <v>2505</v>
      </c>
    </row>
    <row r="132" spans="1:48" ht="29.25" customHeight="1">
      <c r="A132" s="294" t="s">
        <v>1776</v>
      </c>
      <c r="B132" s="294" t="s">
        <v>1777</v>
      </c>
      <c r="C132" s="294" t="s">
        <v>678</v>
      </c>
      <c r="D132" s="259">
        <v>2</v>
      </c>
      <c r="E132" s="260">
        <f>TRUNC(단가대비표!O85,0)</f>
        <v>0</v>
      </c>
      <c r="F132" s="260">
        <f t="shared" si="7"/>
        <v>0</v>
      </c>
      <c r="G132" s="260">
        <f>TRUNC(단가대비표!P85,0)</f>
        <v>0</v>
      </c>
      <c r="H132" s="260">
        <f t="shared" si="8"/>
        <v>0</v>
      </c>
      <c r="I132" s="260">
        <f>TRUNC(단가대비표!V85,0)</f>
        <v>0</v>
      </c>
      <c r="J132" s="260">
        <f t="shared" si="9"/>
        <v>0</v>
      </c>
      <c r="K132" s="260">
        <f t="shared" si="10"/>
        <v>0</v>
      </c>
      <c r="L132" s="260">
        <f t="shared" si="10"/>
        <v>0</v>
      </c>
      <c r="M132" s="294" t="s">
        <v>50</v>
      </c>
      <c r="N132" s="255" t="s">
        <v>1880</v>
      </c>
      <c r="O132" s="255" t="s">
        <v>50</v>
      </c>
      <c r="P132" s="255" t="s">
        <v>50</v>
      </c>
      <c r="Q132" s="255" t="s">
        <v>558</v>
      </c>
      <c r="R132" s="255" t="s">
        <v>599</v>
      </c>
      <c r="S132" s="255" t="s">
        <v>599</v>
      </c>
      <c r="T132" s="255" t="s">
        <v>598</v>
      </c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5" t="s">
        <v>50</v>
      </c>
      <c r="AS132" s="255" t="s">
        <v>50</v>
      </c>
      <c r="AT132" s="256"/>
      <c r="AU132" s="255" t="s">
        <v>1881</v>
      </c>
      <c r="AV132" s="256">
        <v>2506</v>
      </c>
    </row>
    <row r="133" spans="1:48" ht="29.25" customHeight="1">
      <c r="A133" s="294" t="s">
        <v>1778</v>
      </c>
      <c r="B133" s="294" t="s">
        <v>50</v>
      </c>
      <c r="C133" s="294" t="s">
        <v>146</v>
      </c>
      <c r="D133" s="259">
        <v>1</v>
      </c>
      <c r="E133" s="260">
        <f>TRUNC(단가대비표!O86,0)</f>
        <v>0</v>
      </c>
      <c r="F133" s="260">
        <f t="shared" si="7"/>
        <v>0</v>
      </c>
      <c r="G133" s="260">
        <f>TRUNC(단가대비표!P86,0)</f>
        <v>0</v>
      </c>
      <c r="H133" s="260">
        <f t="shared" si="8"/>
        <v>0</v>
      </c>
      <c r="I133" s="260">
        <f>TRUNC(단가대비표!V86,0)</f>
        <v>0</v>
      </c>
      <c r="J133" s="260">
        <f t="shared" si="9"/>
        <v>0</v>
      </c>
      <c r="K133" s="260">
        <f t="shared" si="10"/>
        <v>0</v>
      </c>
      <c r="L133" s="260">
        <f t="shared" si="10"/>
        <v>0</v>
      </c>
      <c r="M133" s="294" t="s">
        <v>50</v>
      </c>
      <c r="N133" s="255" t="s">
        <v>1882</v>
      </c>
      <c r="O133" s="255" t="s">
        <v>50</v>
      </c>
      <c r="P133" s="255" t="s">
        <v>50</v>
      </c>
      <c r="Q133" s="255" t="s">
        <v>558</v>
      </c>
      <c r="R133" s="255" t="s">
        <v>599</v>
      </c>
      <c r="S133" s="255" t="s">
        <v>599</v>
      </c>
      <c r="T133" s="255" t="s">
        <v>598</v>
      </c>
      <c r="U133" s="256"/>
      <c r="V133" s="256"/>
      <c r="W133" s="256"/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  <c r="AM133" s="256"/>
      <c r="AN133" s="256"/>
      <c r="AO133" s="256"/>
      <c r="AP133" s="256"/>
      <c r="AQ133" s="256"/>
      <c r="AR133" s="255" t="s">
        <v>50</v>
      </c>
      <c r="AS133" s="255" t="s">
        <v>50</v>
      </c>
      <c r="AT133" s="256"/>
      <c r="AU133" s="255" t="s">
        <v>1883</v>
      </c>
      <c r="AV133" s="256">
        <v>2507</v>
      </c>
    </row>
    <row r="134" spans="1:48" ht="29.25" customHeight="1">
      <c r="A134" s="294" t="s">
        <v>1779</v>
      </c>
      <c r="B134" s="294" t="s">
        <v>50</v>
      </c>
      <c r="C134" s="294" t="s">
        <v>146</v>
      </c>
      <c r="D134" s="259">
        <v>1</v>
      </c>
      <c r="E134" s="260">
        <f>TRUNC(단가대비표!O87,0)</f>
        <v>0</v>
      </c>
      <c r="F134" s="260">
        <f t="shared" si="7"/>
        <v>0</v>
      </c>
      <c r="G134" s="260">
        <f>TRUNC(단가대비표!P87,0)</f>
        <v>0</v>
      </c>
      <c r="H134" s="260">
        <f t="shared" si="8"/>
        <v>0</v>
      </c>
      <c r="I134" s="260">
        <f>TRUNC(단가대비표!V87,0)</f>
        <v>0</v>
      </c>
      <c r="J134" s="260">
        <f t="shared" si="9"/>
        <v>0</v>
      </c>
      <c r="K134" s="260">
        <f t="shared" si="10"/>
        <v>0</v>
      </c>
      <c r="L134" s="260">
        <f t="shared" si="10"/>
        <v>0</v>
      </c>
      <c r="M134" s="294" t="s">
        <v>50</v>
      </c>
      <c r="N134" s="255" t="s">
        <v>1884</v>
      </c>
      <c r="O134" s="255" t="s">
        <v>50</v>
      </c>
      <c r="P134" s="255" t="s">
        <v>50</v>
      </c>
      <c r="Q134" s="255" t="s">
        <v>558</v>
      </c>
      <c r="R134" s="255" t="s">
        <v>599</v>
      </c>
      <c r="S134" s="255" t="s">
        <v>599</v>
      </c>
      <c r="T134" s="255" t="s">
        <v>598</v>
      </c>
      <c r="U134" s="256"/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56"/>
      <c r="AH134" s="256"/>
      <c r="AI134" s="256"/>
      <c r="AJ134" s="256"/>
      <c r="AK134" s="256"/>
      <c r="AL134" s="256"/>
      <c r="AM134" s="256"/>
      <c r="AN134" s="256"/>
      <c r="AO134" s="256"/>
      <c r="AP134" s="256"/>
      <c r="AQ134" s="256"/>
      <c r="AR134" s="255" t="s">
        <v>50</v>
      </c>
      <c r="AS134" s="255" t="s">
        <v>50</v>
      </c>
      <c r="AT134" s="256"/>
      <c r="AU134" s="255" t="s">
        <v>1885</v>
      </c>
      <c r="AV134" s="256">
        <v>2508</v>
      </c>
    </row>
    <row r="135" spans="1:48" ht="29.25" customHeight="1">
      <c r="A135" s="294" t="s">
        <v>1780</v>
      </c>
      <c r="B135" s="294" t="s">
        <v>50</v>
      </c>
      <c r="C135" s="294" t="s">
        <v>146</v>
      </c>
      <c r="D135" s="259">
        <v>1</v>
      </c>
      <c r="E135" s="260">
        <f>TRUNC(단가대비표!O88,0)</f>
        <v>0</v>
      </c>
      <c r="F135" s="260">
        <f t="shared" si="7"/>
        <v>0</v>
      </c>
      <c r="G135" s="260">
        <f>TRUNC(단가대비표!P88,0)</f>
        <v>0</v>
      </c>
      <c r="H135" s="260">
        <f t="shared" si="8"/>
        <v>0</v>
      </c>
      <c r="I135" s="260">
        <f>TRUNC(단가대비표!V88,0)</f>
        <v>0</v>
      </c>
      <c r="J135" s="260">
        <f t="shared" si="9"/>
        <v>0</v>
      </c>
      <c r="K135" s="260">
        <f t="shared" si="10"/>
        <v>0</v>
      </c>
      <c r="L135" s="260">
        <f t="shared" si="10"/>
        <v>0</v>
      </c>
      <c r="M135" s="294" t="s">
        <v>50</v>
      </c>
      <c r="N135" s="255" t="s">
        <v>1886</v>
      </c>
      <c r="O135" s="255" t="s">
        <v>50</v>
      </c>
      <c r="P135" s="255" t="s">
        <v>50</v>
      </c>
      <c r="Q135" s="255" t="s">
        <v>558</v>
      </c>
      <c r="R135" s="255" t="s">
        <v>599</v>
      </c>
      <c r="S135" s="255" t="s">
        <v>599</v>
      </c>
      <c r="T135" s="255" t="s">
        <v>598</v>
      </c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5" t="s">
        <v>50</v>
      </c>
      <c r="AS135" s="255" t="s">
        <v>50</v>
      </c>
      <c r="AT135" s="256"/>
      <c r="AU135" s="255" t="s">
        <v>1887</v>
      </c>
      <c r="AV135" s="256">
        <v>2509</v>
      </c>
    </row>
    <row r="136" spans="1:48" ht="29.25" customHeight="1">
      <c r="A136" s="259"/>
      <c r="B136" s="259"/>
      <c r="C136" s="259"/>
      <c r="D136" s="259"/>
      <c r="E136" s="260"/>
      <c r="F136" s="260"/>
      <c r="G136" s="260"/>
      <c r="H136" s="260"/>
      <c r="I136" s="260"/>
      <c r="J136" s="260"/>
      <c r="K136" s="260"/>
      <c r="L136" s="260"/>
      <c r="M136" s="259"/>
      <c r="Q136" s="464" t="s">
        <v>558</v>
      </c>
    </row>
    <row r="137" spans="1:48" ht="29.25" customHeight="1">
      <c r="A137" s="259"/>
      <c r="B137" s="259"/>
      <c r="C137" s="259"/>
      <c r="D137" s="259"/>
      <c r="E137" s="260"/>
      <c r="F137" s="260"/>
      <c r="G137" s="260"/>
      <c r="H137" s="260"/>
      <c r="I137" s="260"/>
      <c r="J137" s="260"/>
      <c r="K137" s="260"/>
      <c r="L137" s="260"/>
      <c r="M137" s="259"/>
      <c r="Q137" s="464" t="s">
        <v>558</v>
      </c>
    </row>
    <row r="138" spans="1:48" ht="29.25" customHeight="1">
      <c r="A138" s="259"/>
      <c r="B138" s="259"/>
      <c r="C138" s="259"/>
      <c r="D138" s="259"/>
      <c r="E138" s="260"/>
      <c r="F138" s="260"/>
      <c r="G138" s="260"/>
      <c r="H138" s="260"/>
      <c r="I138" s="260"/>
      <c r="J138" s="260"/>
      <c r="K138" s="260"/>
      <c r="L138" s="260"/>
      <c r="M138" s="259"/>
      <c r="Q138" s="464" t="s">
        <v>558</v>
      </c>
    </row>
    <row r="139" spans="1:48" ht="29.25" customHeight="1">
      <c r="A139" s="259"/>
      <c r="B139" s="259"/>
      <c r="C139" s="259"/>
      <c r="D139" s="259"/>
      <c r="E139" s="260"/>
      <c r="F139" s="260"/>
      <c r="G139" s="260"/>
      <c r="H139" s="260"/>
      <c r="I139" s="260"/>
      <c r="J139" s="260"/>
      <c r="K139" s="260"/>
      <c r="L139" s="260"/>
      <c r="M139" s="259"/>
      <c r="Q139" s="464" t="s">
        <v>558</v>
      </c>
    </row>
    <row r="140" spans="1:48" ht="29.25" customHeight="1">
      <c r="A140" s="259"/>
      <c r="B140" s="259"/>
      <c r="C140" s="259"/>
      <c r="D140" s="259"/>
      <c r="E140" s="260"/>
      <c r="F140" s="260"/>
      <c r="G140" s="260"/>
      <c r="H140" s="260"/>
      <c r="I140" s="260"/>
      <c r="J140" s="260"/>
      <c r="K140" s="260"/>
      <c r="L140" s="260"/>
      <c r="M140" s="259"/>
      <c r="Q140" s="464" t="s">
        <v>558</v>
      </c>
    </row>
    <row r="141" spans="1:48" ht="29.25" customHeight="1">
      <c r="A141" s="259"/>
      <c r="B141" s="259"/>
      <c r="C141" s="259"/>
      <c r="D141" s="259"/>
      <c r="E141" s="260"/>
      <c r="F141" s="260"/>
      <c r="G141" s="260"/>
      <c r="H141" s="260"/>
      <c r="I141" s="260"/>
      <c r="J141" s="260"/>
      <c r="K141" s="260"/>
      <c r="L141" s="260"/>
      <c r="M141" s="259"/>
      <c r="Q141" s="464" t="s">
        <v>558</v>
      </c>
    </row>
    <row r="142" spans="1:48" ht="29.25" customHeight="1">
      <c r="A142" s="259"/>
      <c r="B142" s="259"/>
      <c r="C142" s="259"/>
      <c r="D142" s="259"/>
      <c r="E142" s="260"/>
      <c r="F142" s="260"/>
      <c r="G142" s="260"/>
      <c r="H142" s="260"/>
      <c r="I142" s="260"/>
      <c r="J142" s="260"/>
      <c r="K142" s="260"/>
      <c r="L142" s="260"/>
      <c r="M142" s="259"/>
      <c r="Q142" s="464" t="s">
        <v>558</v>
      </c>
    </row>
    <row r="143" spans="1:48" ht="29.25" customHeight="1">
      <c r="A143" s="259"/>
      <c r="B143" s="259"/>
      <c r="C143" s="259"/>
      <c r="D143" s="259"/>
      <c r="E143" s="260"/>
      <c r="F143" s="260"/>
      <c r="G143" s="260"/>
      <c r="H143" s="260"/>
      <c r="I143" s="260"/>
      <c r="J143" s="260"/>
      <c r="K143" s="260"/>
      <c r="L143" s="260"/>
      <c r="M143" s="259"/>
      <c r="Q143" s="464" t="s">
        <v>558</v>
      </c>
    </row>
    <row r="144" spans="1:48" ht="29.25" customHeight="1">
      <c r="A144" s="259"/>
      <c r="B144" s="259"/>
      <c r="C144" s="259"/>
      <c r="D144" s="259"/>
      <c r="E144" s="260"/>
      <c r="F144" s="260"/>
      <c r="G144" s="260"/>
      <c r="H144" s="260"/>
      <c r="I144" s="260"/>
      <c r="J144" s="260"/>
      <c r="K144" s="260"/>
      <c r="L144" s="260"/>
      <c r="M144" s="259"/>
      <c r="Q144" s="464" t="s">
        <v>558</v>
      </c>
    </row>
    <row r="145" spans="1:48" ht="29.25" customHeight="1">
      <c r="A145" s="259"/>
      <c r="B145" s="259"/>
      <c r="C145" s="259"/>
      <c r="D145" s="259"/>
      <c r="E145" s="260"/>
      <c r="F145" s="260"/>
      <c r="G145" s="260"/>
      <c r="H145" s="260"/>
      <c r="I145" s="260"/>
      <c r="J145" s="260"/>
      <c r="K145" s="260"/>
      <c r="L145" s="260"/>
      <c r="M145" s="259"/>
      <c r="Q145" s="464" t="s">
        <v>558</v>
      </c>
    </row>
    <row r="146" spans="1:48" ht="29.25" customHeight="1">
      <c r="A146" s="259"/>
      <c r="B146" s="259"/>
      <c r="C146" s="259"/>
      <c r="D146" s="259"/>
      <c r="E146" s="260"/>
      <c r="F146" s="260"/>
      <c r="G146" s="260"/>
      <c r="H146" s="260"/>
      <c r="I146" s="260"/>
      <c r="J146" s="260"/>
      <c r="K146" s="260"/>
      <c r="L146" s="260"/>
      <c r="M146" s="259"/>
      <c r="Q146" s="464" t="s">
        <v>558</v>
      </c>
    </row>
    <row r="147" spans="1:48" ht="29.25" customHeight="1">
      <c r="A147" s="259"/>
      <c r="B147" s="259"/>
      <c r="C147" s="259"/>
      <c r="D147" s="259"/>
      <c r="E147" s="260"/>
      <c r="F147" s="260"/>
      <c r="G147" s="260"/>
      <c r="H147" s="260"/>
      <c r="I147" s="260"/>
      <c r="J147" s="260"/>
      <c r="K147" s="260"/>
      <c r="L147" s="260"/>
      <c r="M147" s="259"/>
      <c r="Q147" s="464" t="s">
        <v>558</v>
      </c>
    </row>
    <row r="148" spans="1:48" ht="29.25" customHeight="1">
      <c r="A148" s="259"/>
      <c r="B148" s="259"/>
      <c r="C148" s="259"/>
      <c r="D148" s="259"/>
      <c r="E148" s="260"/>
      <c r="F148" s="260"/>
      <c r="G148" s="260"/>
      <c r="H148" s="260"/>
      <c r="I148" s="260"/>
      <c r="J148" s="260"/>
      <c r="K148" s="260"/>
      <c r="L148" s="260"/>
      <c r="M148" s="259"/>
      <c r="Q148" s="464" t="s">
        <v>558</v>
      </c>
    </row>
    <row r="149" spans="1:48" ht="29.25" customHeight="1">
      <c r="A149" s="259"/>
      <c r="B149" s="259"/>
      <c r="C149" s="259"/>
      <c r="D149" s="259"/>
      <c r="E149" s="260"/>
      <c r="F149" s="260"/>
      <c r="G149" s="260"/>
      <c r="H149" s="260"/>
      <c r="I149" s="260"/>
      <c r="J149" s="260"/>
      <c r="K149" s="260"/>
      <c r="L149" s="260"/>
      <c r="M149" s="259"/>
      <c r="Q149" s="464" t="s">
        <v>558</v>
      </c>
    </row>
    <row r="150" spans="1:48" ht="29.25" customHeight="1">
      <c r="A150" s="259"/>
      <c r="B150" s="259"/>
      <c r="C150" s="259"/>
      <c r="D150" s="259"/>
      <c r="E150" s="260"/>
      <c r="F150" s="260"/>
      <c r="G150" s="260"/>
      <c r="H150" s="260"/>
      <c r="I150" s="260"/>
      <c r="J150" s="260"/>
      <c r="K150" s="260"/>
      <c r="L150" s="260"/>
      <c r="M150" s="259"/>
      <c r="Q150" s="464" t="s">
        <v>558</v>
      </c>
    </row>
    <row r="151" spans="1:48" ht="29.25" customHeight="1">
      <c r="A151" s="259"/>
      <c r="B151" s="259"/>
      <c r="C151" s="259"/>
      <c r="D151" s="259"/>
      <c r="E151" s="260"/>
      <c r="F151" s="260"/>
      <c r="G151" s="260"/>
      <c r="H151" s="260"/>
      <c r="I151" s="260"/>
      <c r="J151" s="260"/>
      <c r="K151" s="260"/>
      <c r="L151" s="260"/>
      <c r="M151" s="259"/>
      <c r="Q151" s="464" t="s">
        <v>558</v>
      </c>
    </row>
    <row r="152" spans="1:48" ht="29.25" customHeight="1">
      <c r="A152" s="259"/>
      <c r="B152" s="259"/>
      <c r="C152" s="259"/>
      <c r="D152" s="259"/>
      <c r="E152" s="260"/>
      <c r="F152" s="260"/>
      <c r="G152" s="260"/>
      <c r="H152" s="260"/>
      <c r="I152" s="260"/>
      <c r="J152" s="260"/>
      <c r="K152" s="260"/>
      <c r="L152" s="260"/>
      <c r="M152" s="259"/>
      <c r="Q152" s="464" t="s">
        <v>558</v>
      </c>
    </row>
    <row r="153" spans="1:48" ht="29.25" customHeight="1">
      <c r="A153" s="252" t="s">
        <v>564</v>
      </c>
      <c r="B153" s="253"/>
      <c r="C153" s="253"/>
      <c r="D153" s="253"/>
      <c r="E153" s="254"/>
      <c r="F153" s="254">
        <f>SUMIF(Q130:Q152,"010103",F130:F152)</f>
        <v>0</v>
      </c>
      <c r="G153" s="254"/>
      <c r="H153" s="254">
        <f>SUMIF(Q130:Q152,"010103",H130:H152)</f>
        <v>0</v>
      </c>
      <c r="I153" s="254"/>
      <c r="J153" s="254">
        <f>SUMIF(Q130:Q152,"010103",J130:J152)</f>
        <v>0</v>
      </c>
      <c r="K153" s="254"/>
      <c r="L153" s="254">
        <f>SUMIF(Q130:Q152,"010103",L130:L152)</f>
        <v>0</v>
      </c>
      <c r="M153" s="253"/>
      <c r="N153" t="s">
        <v>617</v>
      </c>
    </row>
    <row r="154" spans="1:48" ht="29.25" customHeight="1">
      <c r="A154" s="294" t="s">
        <v>1760</v>
      </c>
      <c r="B154" s="294" t="s">
        <v>1795</v>
      </c>
      <c r="C154" s="259"/>
      <c r="D154" s="259"/>
      <c r="E154" s="260"/>
      <c r="F154" s="260"/>
      <c r="G154" s="260"/>
      <c r="H154" s="260"/>
      <c r="I154" s="260"/>
      <c r="J154" s="260"/>
      <c r="K154" s="260"/>
      <c r="L154" s="260"/>
      <c r="M154" s="259"/>
      <c r="N154" s="256"/>
      <c r="O154" s="256"/>
      <c r="P154" s="256"/>
      <c r="Q154" s="255" t="s">
        <v>559</v>
      </c>
      <c r="R154" s="256"/>
      <c r="S154" s="256"/>
      <c r="T154" s="256"/>
      <c r="U154" s="256"/>
      <c r="V154" s="256"/>
      <c r="W154" s="256"/>
      <c r="X154" s="256"/>
      <c r="Y154" s="256"/>
      <c r="Z154" s="256"/>
      <c r="AA154" s="256"/>
      <c r="AB154" s="256"/>
      <c r="AC154" s="256"/>
      <c r="AD154" s="256"/>
      <c r="AE154" s="256"/>
      <c r="AF154" s="256"/>
      <c r="AG154" s="256"/>
      <c r="AH154" s="256"/>
      <c r="AI154" s="256"/>
      <c r="AJ154" s="256"/>
      <c r="AK154" s="256"/>
      <c r="AL154" s="256"/>
      <c r="AM154" s="256"/>
      <c r="AN154" s="256"/>
      <c r="AO154" s="256"/>
      <c r="AP154" s="256"/>
      <c r="AQ154" s="256"/>
      <c r="AR154" s="256"/>
      <c r="AS154" s="256"/>
      <c r="AT154" s="256"/>
      <c r="AU154" s="256"/>
      <c r="AV154" s="256"/>
    </row>
    <row r="155" spans="1:48" ht="29.25" customHeight="1">
      <c r="A155" s="294" t="s">
        <v>730</v>
      </c>
      <c r="B155" s="294" t="s">
        <v>50</v>
      </c>
      <c r="C155" s="294" t="s">
        <v>50</v>
      </c>
      <c r="D155" s="259"/>
      <c r="E155" s="260">
        <v>0</v>
      </c>
      <c r="F155" s="260">
        <f t="shared" ref="F155:F162" si="11">TRUNC(E155*D155, 0)</f>
        <v>0</v>
      </c>
      <c r="G155" s="260">
        <v>0</v>
      </c>
      <c r="H155" s="260">
        <f t="shared" ref="H155:H162" si="12">TRUNC(G155*D155, 0)</f>
        <v>0</v>
      </c>
      <c r="I155" s="260">
        <v>0</v>
      </c>
      <c r="J155" s="260">
        <f t="shared" ref="J155:J162" si="13">TRUNC(I155*D155, 0)</f>
        <v>0</v>
      </c>
      <c r="K155" s="260">
        <f t="shared" ref="K155:L162" si="14">TRUNC(E155+G155+I155, 0)</f>
        <v>0</v>
      </c>
      <c r="L155" s="260">
        <f t="shared" si="14"/>
        <v>0</v>
      </c>
      <c r="M155" s="294" t="s">
        <v>50</v>
      </c>
      <c r="N155" s="255" t="s">
        <v>50</v>
      </c>
      <c r="O155" s="255" t="s">
        <v>50</v>
      </c>
      <c r="P155" s="255" t="s">
        <v>50</v>
      </c>
      <c r="Q155" s="255" t="s">
        <v>559</v>
      </c>
      <c r="R155" s="255" t="s">
        <v>599</v>
      </c>
      <c r="S155" s="255" t="s">
        <v>599</v>
      </c>
      <c r="T155" s="255" t="s">
        <v>599</v>
      </c>
      <c r="U155" s="256"/>
      <c r="V155" s="256"/>
      <c r="W155" s="256"/>
      <c r="X155" s="256"/>
      <c r="Y155" s="256"/>
      <c r="Z155" s="256"/>
      <c r="AA155" s="256"/>
      <c r="AB155" s="256"/>
      <c r="AC155" s="256"/>
      <c r="AD155" s="256"/>
      <c r="AE155" s="256"/>
      <c r="AF155" s="256"/>
      <c r="AG155" s="256"/>
      <c r="AH155" s="256"/>
      <c r="AI155" s="256"/>
      <c r="AJ155" s="256"/>
      <c r="AK155" s="256"/>
      <c r="AL155" s="256"/>
      <c r="AM155" s="256"/>
      <c r="AN155" s="256"/>
      <c r="AO155" s="256"/>
      <c r="AP155" s="256"/>
      <c r="AQ155" s="256"/>
      <c r="AR155" s="255" t="s">
        <v>50</v>
      </c>
      <c r="AS155" s="255" t="s">
        <v>50</v>
      </c>
      <c r="AT155" s="256"/>
      <c r="AU155" s="255" t="s">
        <v>559</v>
      </c>
      <c r="AV155" s="256">
        <v>1722</v>
      </c>
    </row>
    <row r="156" spans="1:48" ht="29.25" customHeight="1">
      <c r="A156" s="294" t="s">
        <v>731</v>
      </c>
      <c r="B156" s="294" t="s">
        <v>732</v>
      </c>
      <c r="C156" s="294" t="s">
        <v>723</v>
      </c>
      <c r="D156" s="259">
        <v>10038</v>
      </c>
      <c r="E156" s="260">
        <f>TRUNC(단가대비표!O41,0)</f>
        <v>0</v>
      </c>
      <c r="F156" s="260">
        <f t="shared" si="11"/>
        <v>0</v>
      </c>
      <c r="G156" s="260">
        <f>TRUNC(단가대비표!P41,0)</f>
        <v>0</v>
      </c>
      <c r="H156" s="260">
        <f t="shared" si="12"/>
        <v>0</v>
      </c>
      <c r="I156" s="260">
        <f>TRUNC(단가대비표!V41,0)</f>
        <v>0</v>
      </c>
      <c r="J156" s="260">
        <f t="shared" si="13"/>
        <v>0</v>
      </c>
      <c r="K156" s="260">
        <f t="shared" si="14"/>
        <v>0</v>
      </c>
      <c r="L156" s="260">
        <f t="shared" si="14"/>
        <v>0</v>
      </c>
      <c r="M156" s="294" t="s">
        <v>733</v>
      </c>
      <c r="N156" s="255" t="s">
        <v>1888</v>
      </c>
      <c r="O156" s="255" t="s">
        <v>50</v>
      </c>
      <c r="P156" s="255" t="s">
        <v>50</v>
      </c>
      <c r="Q156" s="255" t="s">
        <v>559</v>
      </c>
      <c r="R156" s="255" t="s">
        <v>599</v>
      </c>
      <c r="S156" s="255" t="s">
        <v>599</v>
      </c>
      <c r="T156" s="255" t="s">
        <v>598</v>
      </c>
      <c r="U156" s="256"/>
      <c r="V156" s="256"/>
      <c r="W156" s="256"/>
      <c r="X156" s="256">
        <v>1</v>
      </c>
      <c r="Y156" s="256"/>
      <c r="Z156" s="256"/>
      <c r="AA156" s="256"/>
      <c r="AB156" s="256"/>
      <c r="AC156" s="256"/>
      <c r="AD156" s="256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5" t="s">
        <v>50</v>
      </c>
      <c r="AS156" s="255" t="s">
        <v>50</v>
      </c>
      <c r="AT156" s="256"/>
      <c r="AU156" s="255" t="s">
        <v>1889</v>
      </c>
      <c r="AV156" s="256">
        <v>1723</v>
      </c>
    </row>
    <row r="157" spans="1:48" ht="29.25" customHeight="1">
      <c r="A157" s="294" t="s">
        <v>736</v>
      </c>
      <c r="B157" s="294" t="s">
        <v>737</v>
      </c>
      <c r="C157" s="294" t="s">
        <v>650</v>
      </c>
      <c r="D157" s="259">
        <v>28</v>
      </c>
      <c r="E157" s="260">
        <f>TRUNC(단가대비표!O40,0)</f>
        <v>0</v>
      </c>
      <c r="F157" s="260">
        <f t="shared" si="11"/>
        <v>0</v>
      </c>
      <c r="G157" s="260">
        <f>TRUNC(단가대비표!P40,0)</f>
        <v>0</v>
      </c>
      <c r="H157" s="260">
        <f t="shared" si="12"/>
        <v>0</v>
      </c>
      <c r="I157" s="260">
        <f>TRUNC(단가대비표!V40,0)</f>
        <v>0</v>
      </c>
      <c r="J157" s="260">
        <f t="shared" si="13"/>
        <v>0</v>
      </c>
      <c r="K157" s="260">
        <f t="shared" si="14"/>
        <v>0</v>
      </c>
      <c r="L157" s="260">
        <f t="shared" si="14"/>
        <v>0</v>
      </c>
      <c r="M157" s="294" t="s">
        <v>1538</v>
      </c>
      <c r="N157" s="255" t="s">
        <v>1890</v>
      </c>
      <c r="O157" s="255" t="s">
        <v>50</v>
      </c>
      <c r="P157" s="255" t="s">
        <v>50</v>
      </c>
      <c r="Q157" s="255" t="s">
        <v>559</v>
      </c>
      <c r="R157" s="255" t="s">
        <v>599</v>
      </c>
      <c r="S157" s="255" t="s">
        <v>599</v>
      </c>
      <c r="T157" s="255" t="s">
        <v>598</v>
      </c>
      <c r="U157" s="256"/>
      <c r="V157" s="256"/>
      <c r="W157" s="256"/>
      <c r="X157" s="256">
        <v>1</v>
      </c>
      <c r="Y157" s="256"/>
      <c r="Z157" s="256"/>
      <c r="AA157" s="256"/>
      <c r="AB157" s="256"/>
      <c r="AC157" s="256"/>
      <c r="AD157" s="256"/>
      <c r="AE157" s="256"/>
      <c r="AF157" s="256"/>
      <c r="AG157" s="256"/>
      <c r="AH157" s="256"/>
      <c r="AI157" s="256"/>
      <c r="AJ157" s="256"/>
      <c r="AK157" s="256"/>
      <c r="AL157" s="256"/>
      <c r="AM157" s="256"/>
      <c r="AN157" s="256"/>
      <c r="AO157" s="256"/>
      <c r="AP157" s="256"/>
      <c r="AQ157" s="256"/>
      <c r="AR157" s="255" t="s">
        <v>50</v>
      </c>
      <c r="AS157" s="255" t="s">
        <v>50</v>
      </c>
      <c r="AT157" s="256"/>
      <c r="AU157" s="255" t="s">
        <v>1891</v>
      </c>
      <c r="AV157" s="256">
        <v>1946</v>
      </c>
    </row>
    <row r="158" spans="1:48" ht="29.25" customHeight="1">
      <c r="A158" s="294" t="s">
        <v>738</v>
      </c>
      <c r="B158" s="294" t="s">
        <v>643</v>
      </c>
      <c r="C158" s="294" t="s">
        <v>644</v>
      </c>
      <c r="D158" s="259">
        <v>88</v>
      </c>
      <c r="E158" s="260">
        <f>TRUNC(단가대비표!O62,0)</f>
        <v>0</v>
      </c>
      <c r="F158" s="260">
        <f t="shared" si="11"/>
        <v>0</v>
      </c>
      <c r="G158" s="260">
        <f>TRUNC(단가대비표!P62,0)</f>
        <v>0</v>
      </c>
      <c r="H158" s="260">
        <f t="shared" si="12"/>
        <v>0</v>
      </c>
      <c r="I158" s="260">
        <f>TRUNC(단가대비표!V62,0)</f>
        <v>0</v>
      </c>
      <c r="J158" s="260">
        <f t="shared" si="13"/>
        <v>0</v>
      </c>
      <c r="K158" s="260">
        <f t="shared" si="14"/>
        <v>0</v>
      </c>
      <c r="L158" s="260">
        <f t="shared" si="14"/>
        <v>0</v>
      </c>
      <c r="M158" s="294" t="s">
        <v>50</v>
      </c>
      <c r="N158" s="255" t="s">
        <v>1892</v>
      </c>
      <c r="O158" s="255" t="s">
        <v>50</v>
      </c>
      <c r="P158" s="255" t="s">
        <v>50</v>
      </c>
      <c r="Q158" s="255" t="s">
        <v>559</v>
      </c>
      <c r="R158" s="255" t="s">
        <v>599</v>
      </c>
      <c r="S158" s="255" t="s">
        <v>599</v>
      </c>
      <c r="T158" s="255" t="s">
        <v>598</v>
      </c>
      <c r="U158" s="256"/>
      <c r="V158" s="256"/>
      <c r="W158" s="256"/>
      <c r="X158" s="256">
        <v>1</v>
      </c>
      <c r="Y158" s="256"/>
      <c r="Z158" s="256"/>
      <c r="AA158" s="256"/>
      <c r="AB158" s="256"/>
      <c r="AC158" s="256"/>
      <c r="AD158" s="256"/>
      <c r="AE158" s="256"/>
      <c r="AF158" s="256"/>
      <c r="AG158" s="256"/>
      <c r="AH158" s="256"/>
      <c r="AI158" s="256"/>
      <c r="AJ158" s="256"/>
      <c r="AK158" s="256"/>
      <c r="AL158" s="256"/>
      <c r="AM158" s="256"/>
      <c r="AN158" s="256"/>
      <c r="AO158" s="256"/>
      <c r="AP158" s="256"/>
      <c r="AQ158" s="256"/>
      <c r="AR158" s="255" t="s">
        <v>50</v>
      </c>
      <c r="AS158" s="255" t="s">
        <v>50</v>
      </c>
      <c r="AT158" s="256"/>
      <c r="AU158" s="255" t="s">
        <v>1893</v>
      </c>
      <c r="AV158" s="256">
        <v>1952</v>
      </c>
    </row>
    <row r="159" spans="1:48" ht="29.25" customHeight="1">
      <c r="A159" s="294" t="s">
        <v>738</v>
      </c>
      <c r="B159" s="294" t="s">
        <v>646</v>
      </c>
      <c r="C159" s="294" t="s">
        <v>644</v>
      </c>
      <c r="D159" s="259">
        <v>166</v>
      </c>
      <c r="E159" s="260">
        <f>TRUNC(단가대비표!O63,0)</f>
        <v>0</v>
      </c>
      <c r="F159" s="260">
        <f t="shared" si="11"/>
        <v>0</v>
      </c>
      <c r="G159" s="260">
        <f>TRUNC(단가대비표!P63,0)</f>
        <v>0</v>
      </c>
      <c r="H159" s="260">
        <f t="shared" si="12"/>
        <v>0</v>
      </c>
      <c r="I159" s="260">
        <f>TRUNC(단가대비표!V63,0)</f>
        <v>0</v>
      </c>
      <c r="J159" s="260">
        <f t="shared" si="13"/>
        <v>0</v>
      </c>
      <c r="K159" s="260">
        <f t="shared" si="14"/>
        <v>0</v>
      </c>
      <c r="L159" s="260">
        <f t="shared" si="14"/>
        <v>0</v>
      </c>
      <c r="M159" s="294" t="s">
        <v>50</v>
      </c>
      <c r="N159" s="255" t="s">
        <v>1894</v>
      </c>
      <c r="O159" s="255" t="s">
        <v>50</v>
      </c>
      <c r="P159" s="255" t="s">
        <v>50</v>
      </c>
      <c r="Q159" s="255" t="s">
        <v>559</v>
      </c>
      <c r="R159" s="255" t="s">
        <v>599</v>
      </c>
      <c r="S159" s="255" t="s">
        <v>599</v>
      </c>
      <c r="T159" s="255" t="s">
        <v>598</v>
      </c>
      <c r="U159" s="256"/>
      <c r="V159" s="256"/>
      <c r="W159" s="256"/>
      <c r="X159" s="256">
        <v>1</v>
      </c>
      <c r="Y159" s="256"/>
      <c r="Z159" s="256"/>
      <c r="AA159" s="256"/>
      <c r="AB159" s="256"/>
      <c r="AC159" s="256"/>
      <c r="AD159" s="256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5" t="s">
        <v>50</v>
      </c>
      <c r="AS159" s="255" t="s">
        <v>50</v>
      </c>
      <c r="AT159" s="256"/>
      <c r="AU159" s="255" t="s">
        <v>1895</v>
      </c>
      <c r="AV159" s="256">
        <v>2349</v>
      </c>
    </row>
    <row r="160" spans="1:48" ht="29.25" customHeight="1">
      <c r="A160" s="294" t="s">
        <v>738</v>
      </c>
      <c r="B160" s="294" t="s">
        <v>1505</v>
      </c>
      <c r="C160" s="294" t="s">
        <v>644</v>
      </c>
      <c r="D160" s="259">
        <v>113</v>
      </c>
      <c r="E160" s="260">
        <f>TRUNC(단가대비표!O66,0)</f>
        <v>0</v>
      </c>
      <c r="F160" s="260">
        <f t="shared" si="11"/>
        <v>0</v>
      </c>
      <c r="G160" s="260">
        <f>TRUNC(단가대비표!P66,0)</f>
        <v>0</v>
      </c>
      <c r="H160" s="260">
        <f t="shared" si="12"/>
        <v>0</v>
      </c>
      <c r="I160" s="260">
        <f>TRUNC(단가대비표!V66,0)</f>
        <v>0</v>
      </c>
      <c r="J160" s="260">
        <f t="shared" si="13"/>
        <v>0</v>
      </c>
      <c r="K160" s="260">
        <f t="shared" si="14"/>
        <v>0</v>
      </c>
      <c r="L160" s="260">
        <f t="shared" si="14"/>
        <v>0</v>
      </c>
      <c r="M160" s="294" t="s">
        <v>50</v>
      </c>
      <c r="N160" s="255" t="s">
        <v>1896</v>
      </c>
      <c r="O160" s="255" t="s">
        <v>50</v>
      </c>
      <c r="P160" s="255" t="s">
        <v>50</v>
      </c>
      <c r="Q160" s="255" t="s">
        <v>559</v>
      </c>
      <c r="R160" s="255" t="s">
        <v>599</v>
      </c>
      <c r="S160" s="255" t="s">
        <v>599</v>
      </c>
      <c r="T160" s="255" t="s">
        <v>598</v>
      </c>
      <c r="U160" s="256"/>
      <c r="V160" s="256"/>
      <c r="W160" s="256"/>
      <c r="X160" s="256">
        <v>1</v>
      </c>
      <c r="Y160" s="256"/>
      <c r="Z160" s="256"/>
      <c r="AA160" s="256"/>
      <c r="AB160" s="256"/>
      <c r="AC160" s="256"/>
      <c r="AD160" s="256"/>
      <c r="AE160" s="256"/>
      <c r="AF160" s="256"/>
      <c r="AG160" s="256"/>
      <c r="AH160" s="256"/>
      <c r="AI160" s="256"/>
      <c r="AJ160" s="256"/>
      <c r="AK160" s="256"/>
      <c r="AL160" s="256"/>
      <c r="AM160" s="256"/>
      <c r="AN160" s="256"/>
      <c r="AO160" s="256"/>
      <c r="AP160" s="256"/>
      <c r="AQ160" s="256"/>
      <c r="AR160" s="255" t="s">
        <v>50</v>
      </c>
      <c r="AS160" s="255" t="s">
        <v>50</v>
      </c>
      <c r="AT160" s="256"/>
      <c r="AU160" s="255" t="s">
        <v>1897</v>
      </c>
      <c r="AV160" s="256">
        <v>2241</v>
      </c>
    </row>
    <row r="161" spans="1:48" ht="29.25" customHeight="1">
      <c r="A161" s="294" t="s">
        <v>738</v>
      </c>
      <c r="B161" s="294" t="s">
        <v>1506</v>
      </c>
      <c r="C161" s="294" t="s">
        <v>644</v>
      </c>
      <c r="D161" s="259">
        <v>64</v>
      </c>
      <c r="E161" s="260">
        <f>TRUNC(단가대비표!O67,0)</f>
        <v>0</v>
      </c>
      <c r="F161" s="260">
        <f t="shared" si="11"/>
        <v>0</v>
      </c>
      <c r="G161" s="260">
        <f>TRUNC(단가대비표!P67,0)</f>
        <v>0</v>
      </c>
      <c r="H161" s="260">
        <f t="shared" si="12"/>
        <v>0</v>
      </c>
      <c r="I161" s="260">
        <f>TRUNC(단가대비표!V67,0)</f>
        <v>0</v>
      </c>
      <c r="J161" s="260">
        <f t="shared" si="13"/>
        <v>0</v>
      </c>
      <c r="K161" s="260">
        <f t="shared" si="14"/>
        <v>0</v>
      </c>
      <c r="L161" s="260">
        <f t="shared" si="14"/>
        <v>0</v>
      </c>
      <c r="M161" s="294" t="s">
        <v>50</v>
      </c>
      <c r="N161" s="255" t="s">
        <v>1898</v>
      </c>
      <c r="O161" s="255" t="s">
        <v>50</v>
      </c>
      <c r="P161" s="255" t="s">
        <v>50</v>
      </c>
      <c r="Q161" s="255" t="s">
        <v>559</v>
      </c>
      <c r="R161" s="255" t="s">
        <v>599</v>
      </c>
      <c r="S161" s="255" t="s">
        <v>599</v>
      </c>
      <c r="T161" s="255" t="s">
        <v>598</v>
      </c>
      <c r="U161" s="256"/>
      <c r="V161" s="256"/>
      <c r="W161" s="256"/>
      <c r="X161" s="256">
        <v>1</v>
      </c>
      <c r="Y161" s="256"/>
      <c r="Z161" s="256"/>
      <c r="AA161" s="256"/>
      <c r="AB161" s="256"/>
      <c r="AC161" s="256"/>
      <c r="AD161" s="256"/>
      <c r="AE161" s="256"/>
      <c r="AF161" s="256"/>
      <c r="AG161" s="256"/>
      <c r="AH161" s="256"/>
      <c r="AI161" s="256"/>
      <c r="AJ161" s="256"/>
      <c r="AK161" s="256"/>
      <c r="AL161" s="256"/>
      <c r="AM161" s="256"/>
      <c r="AN161" s="256"/>
      <c r="AO161" s="256"/>
      <c r="AP161" s="256"/>
      <c r="AQ161" s="256"/>
      <c r="AR161" s="255" t="s">
        <v>50</v>
      </c>
      <c r="AS161" s="255" t="s">
        <v>50</v>
      </c>
      <c r="AT161" s="256"/>
      <c r="AU161" s="255" t="s">
        <v>1899</v>
      </c>
      <c r="AV161" s="256">
        <v>2242</v>
      </c>
    </row>
    <row r="162" spans="1:48" ht="29.25" customHeight="1">
      <c r="A162" s="294" t="s">
        <v>734</v>
      </c>
      <c r="B162" s="294" t="s">
        <v>735</v>
      </c>
      <c r="C162" s="294" t="s">
        <v>146</v>
      </c>
      <c r="D162" s="259">
        <v>1</v>
      </c>
      <c r="E162" s="260">
        <v>0</v>
      </c>
      <c r="F162" s="260">
        <f t="shared" si="11"/>
        <v>0</v>
      </c>
      <c r="G162" s="260">
        <v>0</v>
      </c>
      <c r="H162" s="260">
        <f t="shared" si="12"/>
        <v>0</v>
      </c>
      <c r="I162" s="260">
        <f>ROUNDDOWN(SUMIF(X155:X162, RIGHTB(N162, 1), F155:F162)*W162, 0)</f>
        <v>0</v>
      </c>
      <c r="J162" s="260">
        <f t="shared" si="13"/>
        <v>0</v>
      </c>
      <c r="K162" s="260">
        <f t="shared" si="14"/>
        <v>0</v>
      </c>
      <c r="L162" s="260">
        <f t="shared" si="14"/>
        <v>0</v>
      </c>
      <c r="M162" s="294" t="s">
        <v>50</v>
      </c>
      <c r="N162" s="255" t="s">
        <v>1900</v>
      </c>
      <c r="O162" s="255" t="s">
        <v>50</v>
      </c>
      <c r="P162" s="255" t="s">
        <v>50</v>
      </c>
      <c r="Q162" s="255" t="s">
        <v>559</v>
      </c>
      <c r="R162" s="255" t="s">
        <v>599</v>
      </c>
      <c r="S162" s="255" t="s">
        <v>599</v>
      </c>
      <c r="T162" s="255" t="s">
        <v>599</v>
      </c>
      <c r="U162" s="256">
        <v>0</v>
      </c>
      <c r="V162" s="256">
        <v>2</v>
      </c>
      <c r="W162" s="256">
        <v>5.4000000000000003E-3</v>
      </c>
      <c r="X162" s="256"/>
      <c r="Y162" s="256"/>
      <c r="Z162" s="256"/>
      <c r="AA162" s="256"/>
      <c r="AB162" s="256"/>
      <c r="AC162" s="256"/>
      <c r="AD162" s="256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5" t="s">
        <v>50</v>
      </c>
      <c r="AS162" s="255" t="s">
        <v>50</v>
      </c>
      <c r="AT162" s="256"/>
      <c r="AU162" s="255" t="s">
        <v>1901</v>
      </c>
      <c r="AV162" s="256">
        <v>2353</v>
      </c>
    </row>
    <row r="163" spans="1:48" ht="29.25" customHeight="1">
      <c r="A163" s="259"/>
      <c r="B163" s="259"/>
      <c r="C163" s="259"/>
      <c r="D163" s="259"/>
      <c r="E163" s="260"/>
      <c r="F163" s="260"/>
      <c r="G163" s="260"/>
      <c r="H163" s="260"/>
      <c r="I163" s="260"/>
      <c r="J163" s="260"/>
      <c r="K163" s="260"/>
      <c r="L163" s="260"/>
      <c r="M163" s="259"/>
      <c r="Q163" s="464" t="s">
        <v>559</v>
      </c>
    </row>
    <row r="164" spans="1:48" ht="29.25" customHeight="1">
      <c r="A164" s="259"/>
      <c r="B164" s="259"/>
      <c r="C164" s="259"/>
      <c r="D164" s="259"/>
      <c r="E164" s="260"/>
      <c r="F164" s="260"/>
      <c r="G164" s="260"/>
      <c r="H164" s="260"/>
      <c r="I164" s="260"/>
      <c r="J164" s="260"/>
      <c r="K164" s="260"/>
      <c r="L164" s="260"/>
      <c r="M164" s="259"/>
      <c r="Q164" s="464" t="s">
        <v>559</v>
      </c>
    </row>
    <row r="165" spans="1:48" ht="29.25" customHeight="1">
      <c r="A165" s="259"/>
      <c r="B165" s="259"/>
      <c r="C165" s="259"/>
      <c r="D165" s="259"/>
      <c r="E165" s="260"/>
      <c r="F165" s="260"/>
      <c r="G165" s="260"/>
      <c r="H165" s="260"/>
      <c r="I165" s="260"/>
      <c r="J165" s="260"/>
      <c r="K165" s="260"/>
      <c r="L165" s="260"/>
      <c r="M165" s="259"/>
      <c r="Q165" s="464" t="s">
        <v>559</v>
      </c>
    </row>
    <row r="166" spans="1:48" ht="29.25" customHeight="1">
      <c r="A166" s="259"/>
      <c r="B166" s="259"/>
      <c r="C166" s="259"/>
      <c r="D166" s="259"/>
      <c r="E166" s="260"/>
      <c r="F166" s="260"/>
      <c r="G166" s="260"/>
      <c r="H166" s="260"/>
      <c r="I166" s="260"/>
      <c r="J166" s="260"/>
      <c r="K166" s="260"/>
      <c r="L166" s="260"/>
      <c r="M166" s="259"/>
      <c r="Q166" s="464" t="s">
        <v>559</v>
      </c>
    </row>
    <row r="167" spans="1:48" ht="29.25" customHeight="1">
      <c r="A167" s="259"/>
      <c r="B167" s="259"/>
      <c r="C167" s="259"/>
      <c r="D167" s="259"/>
      <c r="E167" s="260"/>
      <c r="F167" s="260"/>
      <c r="G167" s="260"/>
      <c r="H167" s="260"/>
      <c r="I167" s="260"/>
      <c r="J167" s="260"/>
      <c r="K167" s="260"/>
      <c r="L167" s="260"/>
      <c r="M167" s="259"/>
      <c r="Q167" s="464" t="s">
        <v>559</v>
      </c>
    </row>
    <row r="168" spans="1:48" ht="29.25" customHeight="1">
      <c r="A168" s="259"/>
      <c r="B168" s="259"/>
      <c r="C168" s="259"/>
      <c r="D168" s="259"/>
      <c r="E168" s="260"/>
      <c r="F168" s="260"/>
      <c r="G168" s="260"/>
      <c r="H168" s="260"/>
      <c r="I168" s="260"/>
      <c r="J168" s="260"/>
      <c r="K168" s="260"/>
      <c r="L168" s="260"/>
      <c r="M168" s="259"/>
      <c r="Q168" s="464" t="s">
        <v>559</v>
      </c>
    </row>
    <row r="169" spans="1:48" ht="29.25" customHeight="1">
      <c r="A169" s="259"/>
      <c r="B169" s="259"/>
      <c r="C169" s="259"/>
      <c r="D169" s="259"/>
      <c r="E169" s="260"/>
      <c r="F169" s="260"/>
      <c r="G169" s="260"/>
      <c r="H169" s="260"/>
      <c r="I169" s="260"/>
      <c r="J169" s="260"/>
      <c r="K169" s="260"/>
      <c r="L169" s="260"/>
      <c r="M169" s="259"/>
      <c r="Q169" s="464" t="s">
        <v>559</v>
      </c>
    </row>
    <row r="170" spans="1:48" ht="29.25" customHeight="1">
      <c r="A170" s="259"/>
      <c r="B170" s="259"/>
      <c r="C170" s="259"/>
      <c r="D170" s="259"/>
      <c r="E170" s="260"/>
      <c r="F170" s="260"/>
      <c r="G170" s="260"/>
      <c r="H170" s="260"/>
      <c r="I170" s="260"/>
      <c r="J170" s="260"/>
      <c r="K170" s="260"/>
      <c r="L170" s="260"/>
      <c r="M170" s="259"/>
      <c r="Q170" s="464" t="s">
        <v>559</v>
      </c>
    </row>
    <row r="171" spans="1:48" ht="29.25" customHeight="1">
      <c r="A171" s="259"/>
      <c r="B171" s="259"/>
      <c r="C171" s="259"/>
      <c r="D171" s="259"/>
      <c r="E171" s="260"/>
      <c r="F171" s="260"/>
      <c r="G171" s="260"/>
      <c r="H171" s="260"/>
      <c r="I171" s="260"/>
      <c r="J171" s="260"/>
      <c r="K171" s="260"/>
      <c r="L171" s="260"/>
      <c r="M171" s="259"/>
      <c r="Q171" s="464" t="s">
        <v>559</v>
      </c>
    </row>
    <row r="172" spans="1:48" ht="29.25" customHeight="1">
      <c r="A172" s="259"/>
      <c r="B172" s="259"/>
      <c r="C172" s="259"/>
      <c r="D172" s="259"/>
      <c r="E172" s="260"/>
      <c r="F172" s="260"/>
      <c r="G172" s="260"/>
      <c r="H172" s="260"/>
      <c r="I172" s="260"/>
      <c r="J172" s="260"/>
      <c r="K172" s="260"/>
      <c r="L172" s="260"/>
      <c r="M172" s="259"/>
      <c r="Q172" s="464" t="s">
        <v>559</v>
      </c>
    </row>
    <row r="173" spans="1:48" ht="29.25" customHeight="1">
      <c r="A173" s="259"/>
      <c r="B173" s="259"/>
      <c r="C173" s="259"/>
      <c r="D173" s="259"/>
      <c r="E173" s="260"/>
      <c r="F173" s="260"/>
      <c r="G173" s="260"/>
      <c r="H173" s="260"/>
      <c r="I173" s="260"/>
      <c r="J173" s="260"/>
      <c r="K173" s="260"/>
      <c r="L173" s="260"/>
      <c r="M173" s="259"/>
      <c r="Q173" s="464" t="s">
        <v>559</v>
      </c>
    </row>
    <row r="174" spans="1:48" ht="29.25" customHeight="1">
      <c r="A174" s="259"/>
      <c r="B174" s="259"/>
      <c r="C174" s="259"/>
      <c r="D174" s="259"/>
      <c r="E174" s="260"/>
      <c r="F174" s="260"/>
      <c r="G174" s="260"/>
      <c r="H174" s="260"/>
      <c r="I174" s="260"/>
      <c r="J174" s="260"/>
      <c r="K174" s="260"/>
      <c r="L174" s="260"/>
      <c r="M174" s="259"/>
      <c r="Q174" s="464" t="s">
        <v>559</v>
      </c>
    </row>
    <row r="175" spans="1:48" ht="29.25" customHeight="1">
      <c r="A175" s="259"/>
      <c r="B175" s="259"/>
      <c r="C175" s="259"/>
      <c r="D175" s="259"/>
      <c r="E175" s="260"/>
      <c r="F175" s="260"/>
      <c r="G175" s="260"/>
      <c r="H175" s="260"/>
      <c r="I175" s="260"/>
      <c r="J175" s="260"/>
      <c r="K175" s="260"/>
      <c r="L175" s="260"/>
      <c r="M175" s="259"/>
      <c r="Q175" s="464" t="s">
        <v>559</v>
      </c>
    </row>
    <row r="176" spans="1:48" ht="29.25" customHeight="1">
      <c r="A176" s="259"/>
      <c r="B176" s="259"/>
      <c r="C176" s="259"/>
      <c r="D176" s="259"/>
      <c r="E176" s="260"/>
      <c r="F176" s="260"/>
      <c r="G176" s="260"/>
      <c r="H176" s="260"/>
      <c r="I176" s="260"/>
      <c r="J176" s="260"/>
      <c r="K176" s="260"/>
      <c r="L176" s="260"/>
      <c r="M176" s="259"/>
      <c r="Q176" s="464" t="s">
        <v>559</v>
      </c>
    </row>
    <row r="177" spans="1:48" ht="29.25" customHeight="1">
      <c r="A177" s="259"/>
      <c r="B177" s="259"/>
      <c r="C177" s="259"/>
      <c r="D177" s="259"/>
      <c r="E177" s="260"/>
      <c r="F177" s="260"/>
      <c r="G177" s="260"/>
      <c r="H177" s="260"/>
      <c r="I177" s="260"/>
      <c r="J177" s="260"/>
      <c r="K177" s="260"/>
      <c r="L177" s="260"/>
      <c r="M177" s="259"/>
      <c r="Q177" s="464" t="s">
        <v>559</v>
      </c>
    </row>
    <row r="178" spans="1:48" ht="29.25" customHeight="1">
      <c r="A178" s="252" t="s">
        <v>564</v>
      </c>
      <c r="B178" s="253"/>
      <c r="C178" s="253"/>
      <c r="D178" s="253"/>
      <c r="E178" s="254"/>
      <c r="F178" s="254">
        <f>SUMIF(Q155:Q177,"010104",F155:F177)</f>
        <v>0</v>
      </c>
      <c r="G178" s="254"/>
      <c r="H178" s="254">
        <f>SUMIF(Q155:Q177,"010104",H155:H177)</f>
        <v>0</v>
      </c>
      <c r="I178" s="254"/>
      <c r="J178" s="254">
        <f>SUMIF(Q155:Q177,"010104",J155:J177)</f>
        <v>0</v>
      </c>
      <c r="K178" s="254"/>
      <c r="L178" s="254">
        <f>SUMIF(Q155:Q177,"010104",L155:L177)</f>
        <v>0</v>
      </c>
      <c r="M178" s="253"/>
      <c r="N178" t="s">
        <v>617</v>
      </c>
    </row>
    <row r="179" spans="1:48" ht="29.25" customHeight="1">
      <c r="A179" s="294" t="s">
        <v>1763</v>
      </c>
      <c r="B179" s="294" t="s">
        <v>1902</v>
      </c>
      <c r="C179" s="259"/>
      <c r="D179" s="259"/>
      <c r="E179" s="260"/>
      <c r="F179" s="260"/>
      <c r="G179" s="260"/>
      <c r="H179" s="260"/>
      <c r="I179" s="260"/>
      <c r="J179" s="260"/>
      <c r="K179" s="260"/>
      <c r="L179" s="260"/>
      <c r="M179" s="259"/>
      <c r="N179" s="256"/>
      <c r="O179" s="256"/>
      <c r="P179" s="256"/>
      <c r="Q179" s="255" t="s">
        <v>1764</v>
      </c>
      <c r="R179" s="256"/>
      <c r="S179" s="256"/>
      <c r="T179" s="256"/>
      <c r="U179" s="256"/>
      <c r="V179" s="256"/>
      <c r="W179" s="256"/>
      <c r="X179" s="256"/>
      <c r="Y179" s="256"/>
      <c r="Z179" s="256"/>
      <c r="AA179" s="256"/>
      <c r="AB179" s="256"/>
      <c r="AC179" s="256"/>
      <c r="AD179" s="256"/>
      <c r="AE179" s="256"/>
      <c r="AF179" s="256"/>
      <c r="AG179" s="256"/>
      <c r="AH179" s="256"/>
      <c r="AI179" s="256"/>
      <c r="AJ179" s="256"/>
      <c r="AK179" s="256"/>
      <c r="AL179" s="256"/>
      <c r="AM179" s="256"/>
      <c r="AN179" s="256"/>
      <c r="AO179" s="256"/>
      <c r="AP179" s="256"/>
      <c r="AQ179" s="256"/>
      <c r="AR179" s="256"/>
      <c r="AS179" s="256"/>
      <c r="AT179" s="256"/>
      <c r="AU179" s="256"/>
      <c r="AV179" s="256"/>
    </row>
    <row r="180" spans="1:48" ht="29.25" customHeight="1">
      <c r="A180" s="294" t="s">
        <v>642</v>
      </c>
      <c r="B180" s="294" t="s">
        <v>643</v>
      </c>
      <c r="C180" s="294" t="s">
        <v>644</v>
      </c>
      <c r="D180" s="259">
        <v>3</v>
      </c>
      <c r="E180" s="260">
        <f>TRUNC(단가대비표!O33,0)</f>
        <v>0</v>
      </c>
      <c r="F180" s="260">
        <f t="shared" ref="F180:F197" si="15">TRUNC(E180*D180, 0)</f>
        <v>0</v>
      </c>
      <c r="G180" s="260">
        <f>TRUNC(단가대비표!P33,0)</f>
        <v>0</v>
      </c>
      <c r="H180" s="260">
        <f t="shared" ref="H180:H197" si="16">TRUNC(G180*D180, 0)</f>
        <v>0</v>
      </c>
      <c r="I180" s="260">
        <f>TRUNC(단가대비표!V33,0)</f>
        <v>0</v>
      </c>
      <c r="J180" s="260">
        <f t="shared" ref="J180:J197" si="17">TRUNC(I180*D180, 0)</f>
        <v>0</v>
      </c>
      <c r="K180" s="260">
        <f t="shared" ref="K180:L197" si="18">TRUNC(E180+G180+I180, 0)</f>
        <v>0</v>
      </c>
      <c r="L180" s="260">
        <f t="shared" si="18"/>
        <v>0</v>
      </c>
      <c r="M180" s="294" t="s">
        <v>645</v>
      </c>
      <c r="N180" s="255" t="s">
        <v>1820</v>
      </c>
      <c r="O180" s="255" t="s">
        <v>50</v>
      </c>
      <c r="P180" s="255" t="s">
        <v>50</v>
      </c>
      <c r="Q180" s="255" t="s">
        <v>1764</v>
      </c>
      <c r="R180" s="255" t="s">
        <v>599</v>
      </c>
      <c r="S180" s="255" t="s">
        <v>599</v>
      </c>
      <c r="T180" s="255" t="s">
        <v>598</v>
      </c>
      <c r="U180" s="256"/>
      <c r="V180" s="256"/>
      <c r="W180" s="256"/>
      <c r="X180" s="256"/>
      <c r="Y180" s="256"/>
      <c r="Z180" s="256"/>
      <c r="AA180" s="256"/>
      <c r="AB180" s="256"/>
      <c r="AC180" s="256"/>
      <c r="AD180" s="256"/>
      <c r="AE180" s="256"/>
      <c r="AF180" s="256"/>
      <c r="AG180" s="256"/>
      <c r="AH180" s="256"/>
      <c r="AI180" s="256"/>
      <c r="AJ180" s="256"/>
      <c r="AK180" s="256"/>
      <c r="AL180" s="256"/>
      <c r="AM180" s="256"/>
      <c r="AN180" s="256"/>
      <c r="AO180" s="256"/>
      <c r="AP180" s="256"/>
      <c r="AQ180" s="256"/>
      <c r="AR180" s="255" t="s">
        <v>50</v>
      </c>
      <c r="AS180" s="255" t="s">
        <v>50</v>
      </c>
      <c r="AT180" s="256"/>
      <c r="AU180" s="255" t="s">
        <v>1903</v>
      </c>
      <c r="AV180" s="256">
        <v>2261</v>
      </c>
    </row>
    <row r="181" spans="1:48" ht="29.25" customHeight="1">
      <c r="A181" s="294" t="s">
        <v>642</v>
      </c>
      <c r="B181" s="294" t="s">
        <v>646</v>
      </c>
      <c r="C181" s="294" t="s">
        <v>644</v>
      </c>
      <c r="D181" s="259">
        <v>3</v>
      </c>
      <c r="E181" s="260">
        <f>TRUNC(단가대비표!O34,0)</f>
        <v>0</v>
      </c>
      <c r="F181" s="260">
        <f t="shared" si="15"/>
        <v>0</v>
      </c>
      <c r="G181" s="260">
        <f>TRUNC(단가대비표!P34,0)</f>
        <v>0</v>
      </c>
      <c r="H181" s="260">
        <f t="shared" si="16"/>
        <v>0</v>
      </c>
      <c r="I181" s="260">
        <f>TRUNC(단가대비표!V34,0)</f>
        <v>0</v>
      </c>
      <c r="J181" s="260">
        <f t="shared" si="17"/>
        <v>0</v>
      </c>
      <c r="K181" s="260">
        <f t="shared" si="18"/>
        <v>0</v>
      </c>
      <c r="L181" s="260">
        <f t="shared" si="18"/>
        <v>0</v>
      </c>
      <c r="M181" s="294" t="s">
        <v>645</v>
      </c>
      <c r="N181" s="255" t="s">
        <v>1822</v>
      </c>
      <c r="O181" s="255" t="s">
        <v>50</v>
      </c>
      <c r="P181" s="255" t="s">
        <v>50</v>
      </c>
      <c r="Q181" s="255" t="s">
        <v>1764</v>
      </c>
      <c r="R181" s="255" t="s">
        <v>599</v>
      </c>
      <c r="S181" s="255" t="s">
        <v>599</v>
      </c>
      <c r="T181" s="255" t="s">
        <v>598</v>
      </c>
      <c r="U181" s="256"/>
      <c r="V181" s="256"/>
      <c r="W181" s="256"/>
      <c r="X181" s="256"/>
      <c r="Y181" s="256"/>
      <c r="Z181" s="256"/>
      <c r="AA181" s="256"/>
      <c r="AB181" s="256"/>
      <c r="AC181" s="256"/>
      <c r="AD181" s="256"/>
      <c r="AE181" s="256"/>
      <c r="AF181" s="256"/>
      <c r="AG181" s="256"/>
      <c r="AH181" s="256"/>
      <c r="AI181" s="256"/>
      <c r="AJ181" s="256"/>
      <c r="AK181" s="256"/>
      <c r="AL181" s="256"/>
      <c r="AM181" s="256"/>
      <c r="AN181" s="256"/>
      <c r="AO181" s="256"/>
      <c r="AP181" s="256"/>
      <c r="AQ181" s="256"/>
      <c r="AR181" s="255" t="s">
        <v>50</v>
      </c>
      <c r="AS181" s="255" t="s">
        <v>50</v>
      </c>
      <c r="AT181" s="256"/>
      <c r="AU181" s="255" t="s">
        <v>1904</v>
      </c>
      <c r="AV181" s="256">
        <v>2289</v>
      </c>
    </row>
    <row r="182" spans="1:48" ht="29.25" customHeight="1">
      <c r="A182" s="294" t="s">
        <v>642</v>
      </c>
      <c r="B182" s="294" t="s">
        <v>647</v>
      </c>
      <c r="C182" s="294" t="s">
        <v>644</v>
      </c>
      <c r="D182" s="259">
        <v>19</v>
      </c>
      <c r="E182" s="260">
        <f>TRUNC(단가대비표!O35,0)</f>
        <v>0</v>
      </c>
      <c r="F182" s="260">
        <f t="shared" si="15"/>
        <v>0</v>
      </c>
      <c r="G182" s="260">
        <f>TRUNC(단가대비표!P35,0)</f>
        <v>0</v>
      </c>
      <c r="H182" s="260">
        <f t="shared" si="16"/>
        <v>0</v>
      </c>
      <c r="I182" s="260">
        <f>TRUNC(단가대비표!V35,0)</f>
        <v>0</v>
      </c>
      <c r="J182" s="260">
        <f t="shared" si="17"/>
        <v>0</v>
      </c>
      <c r="K182" s="260">
        <f t="shared" si="18"/>
        <v>0</v>
      </c>
      <c r="L182" s="260">
        <f t="shared" si="18"/>
        <v>0</v>
      </c>
      <c r="M182" s="294" t="s">
        <v>645</v>
      </c>
      <c r="N182" s="255" t="s">
        <v>1905</v>
      </c>
      <c r="O182" s="255" t="s">
        <v>50</v>
      </c>
      <c r="P182" s="255" t="s">
        <v>50</v>
      </c>
      <c r="Q182" s="255" t="s">
        <v>1764</v>
      </c>
      <c r="R182" s="255" t="s">
        <v>599</v>
      </c>
      <c r="S182" s="255" t="s">
        <v>599</v>
      </c>
      <c r="T182" s="255" t="s">
        <v>598</v>
      </c>
      <c r="U182" s="256"/>
      <c r="V182" s="256"/>
      <c r="W182" s="256"/>
      <c r="X182" s="256"/>
      <c r="Y182" s="256"/>
      <c r="Z182" s="256"/>
      <c r="AA182" s="256"/>
      <c r="AB182" s="256"/>
      <c r="AC182" s="256"/>
      <c r="AD182" s="256"/>
      <c r="AE182" s="256"/>
      <c r="AF182" s="256"/>
      <c r="AG182" s="256"/>
      <c r="AH182" s="256"/>
      <c r="AI182" s="256"/>
      <c r="AJ182" s="256"/>
      <c r="AK182" s="256"/>
      <c r="AL182" s="256"/>
      <c r="AM182" s="256"/>
      <c r="AN182" s="256"/>
      <c r="AO182" s="256"/>
      <c r="AP182" s="256"/>
      <c r="AQ182" s="256"/>
      <c r="AR182" s="255" t="s">
        <v>50</v>
      </c>
      <c r="AS182" s="255" t="s">
        <v>50</v>
      </c>
      <c r="AT182" s="256"/>
      <c r="AU182" s="255" t="s">
        <v>1906</v>
      </c>
      <c r="AV182" s="256">
        <v>2290</v>
      </c>
    </row>
    <row r="183" spans="1:48" ht="29.25" customHeight="1">
      <c r="A183" s="294" t="s">
        <v>642</v>
      </c>
      <c r="B183" s="294" t="s">
        <v>1508</v>
      </c>
      <c r="C183" s="294" t="s">
        <v>644</v>
      </c>
      <c r="D183" s="259">
        <v>19</v>
      </c>
      <c r="E183" s="260">
        <f>TRUNC(단가대비표!O36,0)</f>
        <v>0</v>
      </c>
      <c r="F183" s="260">
        <f t="shared" si="15"/>
        <v>0</v>
      </c>
      <c r="G183" s="260">
        <f>TRUNC(단가대비표!P36,0)</f>
        <v>0</v>
      </c>
      <c r="H183" s="260">
        <f t="shared" si="16"/>
        <v>0</v>
      </c>
      <c r="I183" s="260">
        <f>TRUNC(단가대비표!V36,0)</f>
        <v>0</v>
      </c>
      <c r="J183" s="260">
        <f t="shared" si="17"/>
        <v>0</v>
      </c>
      <c r="K183" s="260">
        <f t="shared" si="18"/>
        <v>0</v>
      </c>
      <c r="L183" s="260">
        <f t="shared" si="18"/>
        <v>0</v>
      </c>
      <c r="M183" s="294" t="s">
        <v>645</v>
      </c>
      <c r="N183" s="255" t="s">
        <v>1907</v>
      </c>
      <c r="O183" s="255" t="s">
        <v>50</v>
      </c>
      <c r="P183" s="255" t="s">
        <v>50</v>
      </c>
      <c r="Q183" s="255" t="s">
        <v>1764</v>
      </c>
      <c r="R183" s="255" t="s">
        <v>599</v>
      </c>
      <c r="S183" s="255" t="s">
        <v>599</v>
      </c>
      <c r="T183" s="255" t="s">
        <v>598</v>
      </c>
      <c r="U183" s="256"/>
      <c r="V183" s="256"/>
      <c r="W183" s="256"/>
      <c r="X183" s="256"/>
      <c r="Y183" s="256"/>
      <c r="Z183" s="256"/>
      <c r="AA183" s="256"/>
      <c r="AB183" s="256"/>
      <c r="AC183" s="256"/>
      <c r="AD183" s="256"/>
      <c r="AE183" s="256"/>
      <c r="AF183" s="256"/>
      <c r="AG183" s="256"/>
      <c r="AH183" s="256"/>
      <c r="AI183" s="256"/>
      <c r="AJ183" s="256"/>
      <c r="AK183" s="256"/>
      <c r="AL183" s="256"/>
      <c r="AM183" s="256"/>
      <c r="AN183" s="256"/>
      <c r="AO183" s="256"/>
      <c r="AP183" s="256"/>
      <c r="AQ183" s="256"/>
      <c r="AR183" s="255" t="s">
        <v>50</v>
      </c>
      <c r="AS183" s="255" t="s">
        <v>50</v>
      </c>
      <c r="AT183" s="256"/>
      <c r="AU183" s="255" t="s">
        <v>1908</v>
      </c>
      <c r="AV183" s="256">
        <v>2350</v>
      </c>
    </row>
    <row r="184" spans="1:48" ht="29.25" customHeight="1">
      <c r="A184" s="294" t="s">
        <v>642</v>
      </c>
      <c r="B184" s="294" t="s">
        <v>1506</v>
      </c>
      <c r="C184" s="294" t="s">
        <v>644</v>
      </c>
      <c r="D184" s="259">
        <v>135</v>
      </c>
      <c r="E184" s="260">
        <f>TRUNC(단가대비표!O38,0)</f>
        <v>0</v>
      </c>
      <c r="F184" s="260">
        <f t="shared" si="15"/>
        <v>0</v>
      </c>
      <c r="G184" s="260">
        <f>TRUNC(단가대비표!P38,0)</f>
        <v>0</v>
      </c>
      <c r="H184" s="260">
        <f t="shared" si="16"/>
        <v>0</v>
      </c>
      <c r="I184" s="260">
        <f>TRUNC(단가대비표!V38,0)</f>
        <v>0</v>
      </c>
      <c r="J184" s="260">
        <f t="shared" si="17"/>
        <v>0</v>
      </c>
      <c r="K184" s="260">
        <f t="shared" si="18"/>
        <v>0</v>
      </c>
      <c r="L184" s="260">
        <f t="shared" si="18"/>
        <v>0</v>
      </c>
      <c r="M184" s="294" t="s">
        <v>645</v>
      </c>
      <c r="N184" s="255" t="s">
        <v>1826</v>
      </c>
      <c r="O184" s="255" t="s">
        <v>50</v>
      </c>
      <c r="P184" s="255" t="s">
        <v>50</v>
      </c>
      <c r="Q184" s="255" t="s">
        <v>1764</v>
      </c>
      <c r="R184" s="255" t="s">
        <v>599</v>
      </c>
      <c r="S184" s="255" t="s">
        <v>599</v>
      </c>
      <c r="T184" s="255" t="s">
        <v>598</v>
      </c>
      <c r="U184" s="256"/>
      <c r="V184" s="256"/>
      <c r="W184" s="256"/>
      <c r="X184" s="256"/>
      <c r="Y184" s="256"/>
      <c r="Z184" s="256"/>
      <c r="AA184" s="256"/>
      <c r="AB184" s="256"/>
      <c r="AC184" s="256"/>
      <c r="AD184" s="256"/>
      <c r="AE184" s="256"/>
      <c r="AF184" s="256"/>
      <c r="AG184" s="256"/>
      <c r="AH184" s="256"/>
      <c r="AI184" s="256"/>
      <c r="AJ184" s="256"/>
      <c r="AK184" s="256"/>
      <c r="AL184" s="256"/>
      <c r="AM184" s="256"/>
      <c r="AN184" s="256"/>
      <c r="AO184" s="256"/>
      <c r="AP184" s="256"/>
      <c r="AQ184" s="256"/>
      <c r="AR184" s="255" t="s">
        <v>50</v>
      </c>
      <c r="AS184" s="255" t="s">
        <v>50</v>
      </c>
      <c r="AT184" s="256"/>
      <c r="AU184" s="255" t="s">
        <v>1909</v>
      </c>
      <c r="AV184" s="256">
        <v>2265</v>
      </c>
    </row>
    <row r="185" spans="1:48" ht="29.25" customHeight="1">
      <c r="A185" s="294" t="s">
        <v>648</v>
      </c>
      <c r="B185" s="294" t="s">
        <v>649</v>
      </c>
      <c r="C185" s="294" t="s">
        <v>650</v>
      </c>
      <c r="D185" s="259">
        <v>804</v>
      </c>
      <c r="E185" s="260">
        <f>TRUNC(일위대가목록!E15,0)</f>
        <v>0</v>
      </c>
      <c r="F185" s="260">
        <f t="shared" si="15"/>
        <v>0</v>
      </c>
      <c r="G185" s="260">
        <f>TRUNC(일위대가목록!F15,0)</f>
        <v>0</v>
      </c>
      <c r="H185" s="260">
        <f t="shared" si="16"/>
        <v>0</v>
      </c>
      <c r="I185" s="260">
        <f>TRUNC(일위대가목록!G15,0)</f>
        <v>0</v>
      </c>
      <c r="J185" s="260">
        <f t="shared" si="17"/>
        <v>0</v>
      </c>
      <c r="K185" s="260">
        <f t="shared" si="18"/>
        <v>0</v>
      </c>
      <c r="L185" s="260">
        <f t="shared" si="18"/>
        <v>0</v>
      </c>
      <c r="M185" s="294" t="s">
        <v>613</v>
      </c>
      <c r="N185" s="255" t="s">
        <v>1828</v>
      </c>
      <c r="O185" s="255" t="s">
        <v>50</v>
      </c>
      <c r="P185" s="255" t="s">
        <v>50</v>
      </c>
      <c r="Q185" s="255" t="s">
        <v>1764</v>
      </c>
      <c r="R185" s="255" t="s">
        <v>598</v>
      </c>
      <c r="S185" s="255" t="s">
        <v>599</v>
      </c>
      <c r="T185" s="255" t="s">
        <v>599</v>
      </c>
      <c r="U185" s="256"/>
      <c r="V185" s="256"/>
      <c r="W185" s="256"/>
      <c r="X185" s="256"/>
      <c r="Y185" s="256"/>
      <c r="Z185" s="256"/>
      <c r="AA185" s="256"/>
      <c r="AB185" s="256"/>
      <c r="AC185" s="256"/>
      <c r="AD185" s="256"/>
      <c r="AE185" s="256"/>
      <c r="AF185" s="256"/>
      <c r="AG185" s="256"/>
      <c r="AH185" s="256"/>
      <c r="AI185" s="256"/>
      <c r="AJ185" s="256"/>
      <c r="AK185" s="256"/>
      <c r="AL185" s="256"/>
      <c r="AM185" s="256"/>
      <c r="AN185" s="256"/>
      <c r="AO185" s="256"/>
      <c r="AP185" s="256"/>
      <c r="AQ185" s="256"/>
      <c r="AR185" s="255" t="s">
        <v>50</v>
      </c>
      <c r="AS185" s="255" t="s">
        <v>50</v>
      </c>
      <c r="AT185" s="256"/>
      <c r="AU185" s="255" t="s">
        <v>1910</v>
      </c>
      <c r="AV185" s="256">
        <v>2266</v>
      </c>
    </row>
    <row r="186" spans="1:48" ht="29.25" customHeight="1">
      <c r="A186" s="294" t="s">
        <v>652</v>
      </c>
      <c r="B186" s="294" t="s">
        <v>653</v>
      </c>
      <c r="C186" s="294" t="s">
        <v>602</v>
      </c>
      <c r="D186" s="259">
        <v>22</v>
      </c>
      <c r="E186" s="260">
        <f>TRUNC(일위대가목록!E16,0)</f>
        <v>0</v>
      </c>
      <c r="F186" s="260">
        <f t="shared" si="15"/>
        <v>0</v>
      </c>
      <c r="G186" s="260">
        <f>TRUNC(일위대가목록!F16,0)</f>
        <v>0</v>
      </c>
      <c r="H186" s="260">
        <f t="shared" si="16"/>
        <v>0</v>
      </c>
      <c r="I186" s="260">
        <f>TRUNC(일위대가목록!G16,0)</f>
        <v>0</v>
      </c>
      <c r="J186" s="260">
        <f t="shared" si="17"/>
        <v>0</v>
      </c>
      <c r="K186" s="260">
        <f t="shared" si="18"/>
        <v>0</v>
      </c>
      <c r="L186" s="260">
        <f t="shared" si="18"/>
        <v>0</v>
      </c>
      <c r="M186" s="294" t="s">
        <v>614</v>
      </c>
      <c r="N186" s="255" t="s">
        <v>1830</v>
      </c>
      <c r="O186" s="255" t="s">
        <v>50</v>
      </c>
      <c r="P186" s="255" t="s">
        <v>50</v>
      </c>
      <c r="Q186" s="255" t="s">
        <v>1764</v>
      </c>
      <c r="R186" s="255" t="s">
        <v>598</v>
      </c>
      <c r="S186" s="255" t="s">
        <v>599</v>
      </c>
      <c r="T186" s="255" t="s">
        <v>599</v>
      </c>
      <c r="U186" s="256"/>
      <c r="V186" s="256"/>
      <c r="W186" s="256"/>
      <c r="X186" s="256"/>
      <c r="Y186" s="256"/>
      <c r="Z186" s="256"/>
      <c r="AA186" s="256"/>
      <c r="AB186" s="256"/>
      <c r="AC186" s="256"/>
      <c r="AD186" s="256"/>
      <c r="AE186" s="256"/>
      <c r="AF186" s="256"/>
      <c r="AG186" s="256"/>
      <c r="AH186" s="256"/>
      <c r="AI186" s="256"/>
      <c r="AJ186" s="256"/>
      <c r="AK186" s="256"/>
      <c r="AL186" s="256"/>
      <c r="AM186" s="256"/>
      <c r="AN186" s="256"/>
      <c r="AO186" s="256"/>
      <c r="AP186" s="256"/>
      <c r="AQ186" s="256"/>
      <c r="AR186" s="255" t="s">
        <v>50</v>
      </c>
      <c r="AS186" s="255" t="s">
        <v>50</v>
      </c>
      <c r="AT186" s="256"/>
      <c r="AU186" s="255" t="s">
        <v>1911</v>
      </c>
      <c r="AV186" s="256">
        <v>2267</v>
      </c>
    </row>
    <row r="187" spans="1:48" ht="29.25" customHeight="1">
      <c r="A187" s="294" t="s">
        <v>655</v>
      </c>
      <c r="B187" s="294" t="s">
        <v>663</v>
      </c>
      <c r="C187" s="294" t="s">
        <v>596</v>
      </c>
      <c r="D187" s="259">
        <v>375</v>
      </c>
      <c r="E187" s="260">
        <f>TRUNC(일위대가목록!E17,0)</f>
        <v>0</v>
      </c>
      <c r="F187" s="260">
        <f t="shared" si="15"/>
        <v>0</v>
      </c>
      <c r="G187" s="260">
        <f>TRUNC(일위대가목록!F17,0)</f>
        <v>0</v>
      </c>
      <c r="H187" s="260">
        <f t="shared" si="16"/>
        <v>0</v>
      </c>
      <c r="I187" s="260">
        <f>TRUNC(일위대가목록!G17,0)</f>
        <v>0</v>
      </c>
      <c r="J187" s="260">
        <f t="shared" si="17"/>
        <v>0</v>
      </c>
      <c r="K187" s="260">
        <f t="shared" si="18"/>
        <v>0</v>
      </c>
      <c r="L187" s="260">
        <f t="shared" si="18"/>
        <v>0</v>
      </c>
      <c r="M187" s="294" t="s">
        <v>618</v>
      </c>
      <c r="N187" s="255" t="s">
        <v>1832</v>
      </c>
      <c r="O187" s="255" t="s">
        <v>50</v>
      </c>
      <c r="P187" s="255" t="s">
        <v>50</v>
      </c>
      <c r="Q187" s="255" t="s">
        <v>1764</v>
      </c>
      <c r="R187" s="255" t="s">
        <v>598</v>
      </c>
      <c r="S187" s="255" t="s">
        <v>599</v>
      </c>
      <c r="T187" s="255" t="s">
        <v>599</v>
      </c>
      <c r="U187" s="256"/>
      <c r="V187" s="256"/>
      <c r="W187" s="256"/>
      <c r="X187" s="256"/>
      <c r="Y187" s="256"/>
      <c r="Z187" s="256"/>
      <c r="AA187" s="256"/>
      <c r="AB187" s="256"/>
      <c r="AC187" s="256"/>
      <c r="AD187" s="256"/>
      <c r="AE187" s="256"/>
      <c r="AF187" s="256"/>
      <c r="AG187" s="256"/>
      <c r="AH187" s="256"/>
      <c r="AI187" s="256"/>
      <c r="AJ187" s="256"/>
      <c r="AK187" s="256"/>
      <c r="AL187" s="256"/>
      <c r="AM187" s="256"/>
      <c r="AN187" s="256"/>
      <c r="AO187" s="256"/>
      <c r="AP187" s="256"/>
      <c r="AQ187" s="256"/>
      <c r="AR187" s="255" t="s">
        <v>50</v>
      </c>
      <c r="AS187" s="255" t="s">
        <v>50</v>
      </c>
      <c r="AT187" s="256"/>
      <c r="AU187" s="255" t="s">
        <v>1912</v>
      </c>
      <c r="AV187" s="256">
        <v>2268</v>
      </c>
    </row>
    <row r="188" spans="1:48" ht="29.25" customHeight="1">
      <c r="A188" s="294" t="s">
        <v>657</v>
      </c>
      <c r="B188" s="294" t="s">
        <v>663</v>
      </c>
      <c r="C188" s="294" t="s">
        <v>644</v>
      </c>
      <c r="D188" s="259">
        <v>157</v>
      </c>
      <c r="E188" s="260">
        <f>TRUNC(일위대가목록!E18,0)</f>
        <v>0</v>
      </c>
      <c r="F188" s="260">
        <f t="shared" si="15"/>
        <v>0</v>
      </c>
      <c r="G188" s="260">
        <f>TRUNC(일위대가목록!F18,0)</f>
        <v>0</v>
      </c>
      <c r="H188" s="260">
        <f t="shared" si="16"/>
        <v>0</v>
      </c>
      <c r="I188" s="260">
        <f>TRUNC(일위대가목록!G18,0)</f>
        <v>0</v>
      </c>
      <c r="J188" s="260">
        <f t="shared" si="17"/>
        <v>0</v>
      </c>
      <c r="K188" s="260">
        <f t="shared" si="18"/>
        <v>0</v>
      </c>
      <c r="L188" s="260">
        <f t="shared" si="18"/>
        <v>0</v>
      </c>
      <c r="M188" s="294" t="s">
        <v>619</v>
      </c>
      <c r="N188" s="255" t="s">
        <v>1834</v>
      </c>
      <c r="O188" s="255" t="s">
        <v>50</v>
      </c>
      <c r="P188" s="255" t="s">
        <v>50</v>
      </c>
      <c r="Q188" s="255" t="s">
        <v>1764</v>
      </c>
      <c r="R188" s="255" t="s">
        <v>598</v>
      </c>
      <c r="S188" s="255" t="s">
        <v>599</v>
      </c>
      <c r="T188" s="255" t="s">
        <v>599</v>
      </c>
      <c r="U188" s="256"/>
      <c r="V188" s="256"/>
      <c r="W188" s="256"/>
      <c r="X188" s="256"/>
      <c r="Y188" s="256"/>
      <c r="Z188" s="256"/>
      <c r="AA188" s="256"/>
      <c r="AB188" s="256"/>
      <c r="AC188" s="256"/>
      <c r="AD188" s="256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5" t="s">
        <v>50</v>
      </c>
      <c r="AS188" s="255" t="s">
        <v>50</v>
      </c>
      <c r="AT188" s="256"/>
      <c r="AU188" s="255" t="s">
        <v>1913</v>
      </c>
      <c r="AV188" s="256">
        <v>2269</v>
      </c>
    </row>
    <row r="189" spans="1:48" ht="29.25" customHeight="1">
      <c r="A189" s="294" t="s">
        <v>659</v>
      </c>
      <c r="B189" s="294" t="s">
        <v>660</v>
      </c>
      <c r="C189" s="294" t="s">
        <v>644</v>
      </c>
      <c r="D189" s="259">
        <v>157</v>
      </c>
      <c r="E189" s="260">
        <f>TRUNC(일위대가목록!E19,0)</f>
        <v>0</v>
      </c>
      <c r="F189" s="260">
        <f t="shared" si="15"/>
        <v>0</v>
      </c>
      <c r="G189" s="260">
        <f>TRUNC(일위대가목록!F19,0)</f>
        <v>0</v>
      </c>
      <c r="H189" s="260">
        <f t="shared" si="16"/>
        <v>0</v>
      </c>
      <c r="I189" s="260">
        <f>TRUNC(일위대가목록!G19,0)</f>
        <v>0</v>
      </c>
      <c r="J189" s="260">
        <f t="shared" si="17"/>
        <v>0</v>
      </c>
      <c r="K189" s="260">
        <f t="shared" si="18"/>
        <v>0</v>
      </c>
      <c r="L189" s="260">
        <f t="shared" si="18"/>
        <v>0</v>
      </c>
      <c r="M189" s="294" t="s">
        <v>620</v>
      </c>
      <c r="N189" s="255" t="s">
        <v>1836</v>
      </c>
      <c r="O189" s="255" t="s">
        <v>50</v>
      </c>
      <c r="P189" s="255" t="s">
        <v>50</v>
      </c>
      <c r="Q189" s="255" t="s">
        <v>1764</v>
      </c>
      <c r="R189" s="255" t="s">
        <v>598</v>
      </c>
      <c r="S189" s="255" t="s">
        <v>599</v>
      </c>
      <c r="T189" s="255" t="s">
        <v>599</v>
      </c>
      <c r="U189" s="256"/>
      <c r="V189" s="256"/>
      <c r="W189" s="256"/>
      <c r="X189" s="256"/>
      <c r="Y189" s="256"/>
      <c r="Z189" s="256"/>
      <c r="AA189" s="256"/>
      <c r="AB189" s="256"/>
      <c r="AC189" s="256"/>
      <c r="AD189" s="256"/>
      <c r="AE189" s="256"/>
      <c r="AF189" s="256"/>
      <c r="AG189" s="256"/>
      <c r="AH189" s="256"/>
      <c r="AI189" s="256"/>
      <c r="AJ189" s="256"/>
      <c r="AK189" s="256"/>
      <c r="AL189" s="256"/>
      <c r="AM189" s="256"/>
      <c r="AN189" s="256"/>
      <c r="AO189" s="256"/>
      <c r="AP189" s="256"/>
      <c r="AQ189" s="256"/>
      <c r="AR189" s="255" t="s">
        <v>50</v>
      </c>
      <c r="AS189" s="255" t="s">
        <v>50</v>
      </c>
      <c r="AT189" s="256"/>
      <c r="AU189" s="255" t="s">
        <v>1914</v>
      </c>
      <c r="AV189" s="256">
        <v>2270</v>
      </c>
    </row>
    <row r="190" spans="1:48" ht="29.25" customHeight="1">
      <c r="A190" s="294" t="s">
        <v>662</v>
      </c>
      <c r="B190" s="294" t="s">
        <v>663</v>
      </c>
      <c r="C190" s="294" t="s">
        <v>644</v>
      </c>
      <c r="D190" s="259">
        <v>157</v>
      </c>
      <c r="E190" s="260">
        <f>TRUNC(일위대가목록!E20,0)</f>
        <v>0</v>
      </c>
      <c r="F190" s="260">
        <f t="shared" si="15"/>
        <v>0</v>
      </c>
      <c r="G190" s="260">
        <f>TRUNC(일위대가목록!F20,0)</f>
        <v>0</v>
      </c>
      <c r="H190" s="260">
        <f t="shared" si="16"/>
        <v>0</v>
      </c>
      <c r="I190" s="260">
        <f>TRUNC(일위대가목록!G20,0)</f>
        <v>0</v>
      </c>
      <c r="J190" s="260">
        <f t="shared" si="17"/>
        <v>0</v>
      </c>
      <c r="K190" s="260">
        <f t="shared" si="18"/>
        <v>0</v>
      </c>
      <c r="L190" s="260">
        <f t="shared" si="18"/>
        <v>0</v>
      </c>
      <c r="M190" s="294" t="s">
        <v>621</v>
      </c>
      <c r="N190" s="255" t="s">
        <v>1838</v>
      </c>
      <c r="O190" s="255" t="s">
        <v>50</v>
      </c>
      <c r="P190" s="255" t="s">
        <v>50</v>
      </c>
      <c r="Q190" s="255" t="s">
        <v>1764</v>
      </c>
      <c r="R190" s="255" t="s">
        <v>598</v>
      </c>
      <c r="S190" s="255" t="s">
        <v>599</v>
      </c>
      <c r="T190" s="255" t="s">
        <v>599</v>
      </c>
      <c r="U190" s="256"/>
      <c r="V190" s="256"/>
      <c r="W190" s="256"/>
      <c r="X190" s="256"/>
      <c r="Y190" s="256"/>
      <c r="Z190" s="256"/>
      <c r="AA190" s="256"/>
      <c r="AB190" s="256"/>
      <c r="AC190" s="256"/>
      <c r="AD190" s="256"/>
      <c r="AE190" s="256"/>
      <c r="AF190" s="256"/>
      <c r="AG190" s="256"/>
      <c r="AH190" s="256"/>
      <c r="AI190" s="256"/>
      <c r="AJ190" s="256"/>
      <c r="AK190" s="256"/>
      <c r="AL190" s="256"/>
      <c r="AM190" s="256"/>
      <c r="AN190" s="256"/>
      <c r="AO190" s="256"/>
      <c r="AP190" s="256"/>
      <c r="AQ190" s="256"/>
      <c r="AR190" s="255" t="s">
        <v>50</v>
      </c>
      <c r="AS190" s="255" t="s">
        <v>50</v>
      </c>
      <c r="AT190" s="256"/>
      <c r="AU190" s="255" t="s">
        <v>1915</v>
      </c>
      <c r="AV190" s="256">
        <v>2271</v>
      </c>
    </row>
    <row r="191" spans="1:48" ht="29.25" customHeight="1">
      <c r="A191" s="294" t="s">
        <v>665</v>
      </c>
      <c r="B191" s="294" t="s">
        <v>666</v>
      </c>
      <c r="C191" s="294" t="s">
        <v>596</v>
      </c>
      <c r="D191" s="259">
        <v>2394</v>
      </c>
      <c r="E191" s="260">
        <f>TRUNC(일위대가목록!E21,0)</f>
        <v>0</v>
      </c>
      <c r="F191" s="260">
        <f t="shared" si="15"/>
        <v>0</v>
      </c>
      <c r="G191" s="260">
        <f>TRUNC(일위대가목록!F21,0)</f>
        <v>0</v>
      </c>
      <c r="H191" s="260">
        <f t="shared" si="16"/>
        <v>0</v>
      </c>
      <c r="I191" s="260">
        <f>TRUNC(일위대가목록!G21,0)</f>
        <v>0</v>
      </c>
      <c r="J191" s="260">
        <f t="shared" si="17"/>
        <v>0</v>
      </c>
      <c r="K191" s="260">
        <f t="shared" si="18"/>
        <v>0</v>
      </c>
      <c r="L191" s="260">
        <f t="shared" si="18"/>
        <v>0</v>
      </c>
      <c r="M191" s="294" t="s">
        <v>622</v>
      </c>
      <c r="N191" s="255" t="s">
        <v>1840</v>
      </c>
      <c r="O191" s="255" t="s">
        <v>50</v>
      </c>
      <c r="P191" s="255" t="s">
        <v>50</v>
      </c>
      <c r="Q191" s="255" t="s">
        <v>1764</v>
      </c>
      <c r="R191" s="255" t="s">
        <v>598</v>
      </c>
      <c r="S191" s="255" t="s">
        <v>599</v>
      </c>
      <c r="T191" s="255" t="s">
        <v>599</v>
      </c>
      <c r="U191" s="256"/>
      <c r="V191" s="256"/>
      <c r="W191" s="256"/>
      <c r="X191" s="256"/>
      <c r="Y191" s="256"/>
      <c r="Z191" s="256"/>
      <c r="AA191" s="256"/>
      <c r="AB191" s="256"/>
      <c r="AC191" s="256"/>
      <c r="AD191" s="256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5" t="s">
        <v>50</v>
      </c>
      <c r="AS191" s="255" t="s">
        <v>50</v>
      </c>
      <c r="AT191" s="256"/>
      <c r="AU191" s="255" t="s">
        <v>1916</v>
      </c>
      <c r="AV191" s="256">
        <v>2272</v>
      </c>
    </row>
    <row r="192" spans="1:48" ht="29.25" customHeight="1">
      <c r="A192" s="294" t="s">
        <v>665</v>
      </c>
      <c r="B192" s="294" t="s">
        <v>668</v>
      </c>
      <c r="C192" s="294" t="s">
        <v>596</v>
      </c>
      <c r="D192" s="259">
        <v>456</v>
      </c>
      <c r="E192" s="260">
        <f>TRUNC(일위대가목록!E22,0)</f>
        <v>0</v>
      </c>
      <c r="F192" s="260">
        <f t="shared" si="15"/>
        <v>0</v>
      </c>
      <c r="G192" s="260">
        <f>TRUNC(일위대가목록!F22,0)</f>
        <v>0</v>
      </c>
      <c r="H192" s="260">
        <f t="shared" si="16"/>
        <v>0</v>
      </c>
      <c r="I192" s="260">
        <f>TRUNC(일위대가목록!G22,0)</f>
        <v>0</v>
      </c>
      <c r="J192" s="260">
        <f t="shared" si="17"/>
        <v>0</v>
      </c>
      <c r="K192" s="260">
        <f t="shared" si="18"/>
        <v>0</v>
      </c>
      <c r="L192" s="260">
        <f t="shared" si="18"/>
        <v>0</v>
      </c>
      <c r="M192" s="294" t="s">
        <v>623</v>
      </c>
      <c r="N192" s="255" t="s">
        <v>1842</v>
      </c>
      <c r="O192" s="255" t="s">
        <v>50</v>
      </c>
      <c r="P192" s="255" t="s">
        <v>50</v>
      </c>
      <c r="Q192" s="255" t="s">
        <v>1764</v>
      </c>
      <c r="R192" s="255" t="s">
        <v>598</v>
      </c>
      <c r="S192" s="255" t="s">
        <v>599</v>
      </c>
      <c r="T192" s="255" t="s">
        <v>599</v>
      </c>
      <c r="U192" s="256"/>
      <c r="V192" s="256"/>
      <c r="W192" s="256"/>
      <c r="X192" s="256"/>
      <c r="Y192" s="256"/>
      <c r="Z192" s="256"/>
      <c r="AA192" s="256"/>
      <c r="AB192" s="256"/>
      <c r="AC192" s="256"/>
      <c r="AD192" s="256"/>
      <c r="AE192" s="256"/>
      <c r="AF192" s="256"/>
      <c r="AG192" s="256"/>
      <c r="AH192" s="256"/>
      <c r="AI192" s="256"/>
      <c r="AJ192" s="256"/>
      <c r="AK192" s="256"/>
      <c r="AL192" s="256"/>
      <c r="AM192" s="256"/>
      <c r="AN192" s="256"/>
      <c r="AO192" s="256"/>
      <c r="AP192" s="256"/>
      <c r="AQ192" s="256"/>
      <c r="AR192" s="255" t="s">
        <v>50</v>
      </c>
      <c r="AS192" s="255" t="s">
        <v>50</v>
      </c>
      <c r="AT192" s="256"/>
      <c r="AU192" s="255" t="s">
        <v>1917</v>
      </c>
      <c r="AV192" s="256">
        <v>2273</v>
      </c>
    </row>
    <row r="193" spans="1:48" ht="29.25" customHeight="1">
      <c r="A193" s="294" t="s">
        <v>670</v>
      </c>
      <c r="B193" s="294" t="s">
        <v>671</v>
      </c>
      <c r="C193" s="294" t="s">
        <v>650</v>
      </c>
      <c r="D193" s="259">
        <v>19</v>
      </c>
      <c r="E193" s="260">
        <f>TRUNC(단가산출목록!E4,0)</f>
        <v>0</v>
      </c>
      <c r="F193" s="260">
        <f t="shared" si="15"/>
        <v>0</v>
      </c>
      <c r="G193" s="260">
        <f>TRUNC(단가산출목록!F4,0)</f>
        <v>0</v>
      </c>
      <c r="H193" s="260">
        <f t="shared" si="16"/>
        <v>0</v>
      </c>
      <c r="I193" s="260">
        <f>TRUNC(단가산출목록!G4,0)</f>
        <v>0</v>
      </c>
      <c r="J193" s="260">
        <f t="shared" si="17"/>
        <v>0</v>
      </c>
      <c r="K193" s="260">
        <f t="shared" si="18"/>
        <v>0</v>
      </c>
      <c r="L193" s="260">
        <f t="shared" si="18"/>
        <v>0</v>
      </c>
      <c r="M193" s="294" t="s">
        <v>672</v>
      </c>
      <c r="N193" s="255" t="s">
        <v>1844</v>
      </c>
      <c r="O193" s="255" t="s">
        <v>50</v>
      </c>
      <c r="P193" s="255" t="s">
        <v>50</v>
      </c>
      <c r="Q193" s="255" t="s">
        <v>1764</v>
      </c>
      <c r="R193" s="255" t="s">
        <v>599</v>
      </c>
      <c r="S193" s="255" t="s">
        <v>598</v>
      </c>
      <c r="T193" s="255" t="s">
        <v>599</v>
      </c>
      <c r="U193" s="256"/>
      <c r="V193" s="256"/>
      <c r="W193" s="256"/>
      <c r="X193" s="256"/>
      <c r="Y193" s="256"/>
      <c r="Z193" s="256"/>
      <c r="AA193" s="256"/>
      <c r="AB193" s="256"/>
      <c r="AC193" s="256"/>
      <c r="AD193" s="256"/>
      <c r="AE193" s="256"/>
      <c r="AF193" s="256"/>
      <c r="AG193" s="256"/>
      <c r="AH193" s="256"/>
      <c r="AI193" s="256"/>
      <c r="AJ193" s="256"/>
      <c r="AK193" s="256"/>
      <c r="AL193" s="256"/>
      <c r="AM193" s="256"/>
      <c r="AN193" s="256"/>
      <c r="AO193" s="256"/>
      <c r="AP193" s="256"/>
      <c r="AQ193" s="256"/>
      <c r="AR193" s="255" t="s">
        <v>50</v>
      </c>
      <c r="AS193" s="255" t="s">
        <v>50</v>
      </c>
      <c r="AT193" s="256"/>
      <c r="AU193" s="255" t="s">
        <v>1918</v>
      </c>
      <c r="AV193" s="256">
        <v>2274</v>
      </c>
    </row>
    <row r="194" spans="1:48" ht="29.25" customHeight="1">
      <c r="A194" s="294" t="s">
        <v>673</v>
      </c>
      <c r="B194" s="294" t="s">
        <v>674</v>
      </c>
      <c r="C194" s="294" t="s">
        <v>650</v>
      </c>
      <c r="D194" s="259">
        <v>106</v>
      </c>
      <c r="E194" s="260">
        <f>TRUNC(일위대가목록!E23,0)</f>
        <v>0</v>
      </c>
      <c r="F194" s="260">
        <f t="shared" si="15"/>
        <v>0</v>
      </c>
      <c r="G194" s="260">
        <f>TRUNC(일위대가목록!F23,0)</f>
        <v>0</v>
      </c>
      <c r="H194" s="260">
        <f t="shared" si="16"/>
        <v>0</v>
      </c>
      <c r="I194" s="260">
        <f>TRUNC(일위대가목록!G23,0)</f>
        <v>0</v>
      </c>
      <c r="J194" s="260">
        <f t="shared" si="17"/>
        <v>0</v>
      </c>
      <c r="K194" s="260">
        <f t="shared" si="18"/>
        <v>0</v>
      </c>
      <c r="L194" s="260">
        <f t="shared" si="18"/>
        <v>0</v>
      </c>
      <c r="M194" s="294" t="s">
        <v>624</v>
      </c>
      <c r="N194" s="255" t="s">
        <v>1846</v>
      </c>
      <c r="O194" s="255" t="s">
        <v>50</v>
      </c>
      <c r="P194" s="255" t="s">
        <v>50</v>
      </c>
      <c r="Q194" s="255" t="s">
        <v>1764</v>
      </c>
      <c r="R194" s="255" t="s">
        <v>598</v>
      </c>
      <c r="S194" s="255" t="s">
        <v>599</v>
      </c>
      <c r="T194" s="255" t="s">
        <v>599</v>
      </c>
      <c r="U194" s="256"/>
      <c r="V194" s="256"/>
      <c r="W194" s="256"/>
      <c r="X194" s="256"/>
      <c r="Y194" s="256"/>
      <c r="Z194" s="256"/>
      <c r="AA194" s="256"/>
      <c r="AB194" s="256"/>
      <c r="AC194" s="256"/>
      <c r="AD194" s="256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5" t="s">
        <v>50</v>
      </c>
      <c r="AS194" s="255" t="s">
        <v>50</v>
      </c>
      <c r="AT194" s="256"/>
      <c r="AU194" s="255" t="s">
        <v>1919</v>
      </c>
      <c r="AV194" s="256">
        <v>2275</v>
      </c>
    </row>
    <row r="195" spans="1:48" ht="29.25" customHeight="1">
      <c r="A195" s="294" t="s">
        <v>676</v>
      </c>
      <c r="B195" s="294" t="s">
        <v>682</v>
      </c>
      <c r="C195" s="294" t="s">
        <v>678</v>
      </c>
      <c r="D195" s="259">
        <v>1</v>
      </c>
      <c r="E195" s="260">
        <f>TRUNC(일위대가목록!E26,0)</f>
        <v>0</v>
      </c>
      <c r="F195" s="260">
        <f t="shared" si="15"/>
        <v>0</v>
      </c>
      <c r="G195" s="260">
        <f>TRUNC(일위대가목록!F26,0)</f>
        <v>0</v>
      </c>
      <c r="H195" s="260">
        <f t="shared" si="16"/>
        <v>0</v>
      </c>
      <c r="I195" s="260">
        <f>TRUNC(일위대가목록!G26,0)</f>
        <v>0</v>
      </c>
      <c r="J195" s="260">
        <f t="shared" si="17"/>
        <v>0</v>
      </c>
      <c r="K195" s="260">
        <f t="shared" si="18"/>
        <v>0</v>
      </c>
      <c r="L195" s="260">
        <f t="shared" si="18"/>
        <v>0</v>
      </c>
      <c r="M195" s="294" t="s">
        <v>627</v>
      </c>
      <c r="N195" s="255" t="s">
        <v>1852</v>
      </c>
      <c r="O195" s="255" t="s">
        <v>50</v>
      </c>
      <c r="P195" s="255" t="s">
        <v>50</v>
      </c>
      <c r="Q195" s="255" t="s">
        <v>1764</v>
      </c>
      <c r="R195" s="255" t="s">
        <v>598</v>
      </c>
      <c r="S195" s="255" t="s">
        <v>599</v>
      </c>
      <c r="T195" s="255" t="s">
        <v>599</v>
      </c>
      <c r="U195" s="256"/>
      <c r="V195" s="256"/>
      <c r="W195" s="256"/>
      <c r="X195" s="256"/>
      <c r="Y195" s="256"/>
      <c r="Z195" s="256"/>
      <c r="AA195" s="256"/>
      <c r="AB195" s="256"/>
      <c r="AC195" s="256"/>
      <c r="AD195" s="256"/>
      <c r="AE195" s="256"/>
      <c r="AF195" s="256"/>
      <c r="AG195" s="256"/>
      <c r="AH195" s="256"/>
      <c r="AI195" s="256"/>
      <c r="AJ195" s="256"/>
      <c r="AK195" s="256"/>
      <c r="AL195" s="256"/>
      <c r="AM195" s="256"/>
      <c r="AN195" s="256"/>
      <c r="AO195" s="256"/>
      <c r="AP195" s="256"/>
      <c r="AQ195" s="256"/>
      <c r="AR195" s="255" t="s">
        <v>50</v>
      </c>
      <c r="AS195" s="255" t="s">
        <v>50</v>
      </c>
      <c r="AT195" s="256"/>
      <c r="AU195" s="255" t="s">
        <v>1920</v>
      </c>
      <c r="AV195" s="256">
        <v>2278</v>
      </c>
    </row>
    <row r="196" spans="1:48" ht="29.25" customHeight="1">
      <c r="A196" s="294" t="s">
        <v>680</v>
      </c>
      <c r="B196" s="294" t="s">
        <v>682</v>
      </c>
      <c r="C196" s="294" t="s">
        <v>678</v>
      </c>
      <c r="D196" s="259">
        <v>1</v>
      </c>
      <c r="E196" s="260">
        <f>TRUNC(일위대가목록!E27,0)</f>
        <v>0</v>
      </c>
      <c r="F196" s="260">
        <f t="shared" si="15"/>
        <v>0</v>
      </c>
      <c r="G196" s="260">
        <f>TRUNC(일위대가목록!F27,0)</f>
        <v>0</v>
      </c>
      <c r="H196" s="260">
        <f t="shared" si="16"/>
        <v>0</v>
      </c>
      <c r="I196" s="260">
        <f>TRUNC(일위대가목록!G27,0)</f>
        <v>0</v>
      </c>
      <c r="J196" s="260">
        <f t="shared" si="17"/>
        <v>0</v>
      </c>
      <c r="K196" s="260">
        <f t="shared" si="18"/>
        <v>0</v>
      </c>
      <c r="L196" s="260">
        <f t="shared" si="18"/>
        <v>0</v>
      </c>
      <c r="M196" s="294" t="s">
        <v>628</v>
      </c>
      <c r="N196" s="255" t="s">
        <v>1854</v>
      </c>
      <c r="O196" s="255" t="s">
        <v>50</v>
      </c>
      <c r="P196" s="255" t="s">
        <v>50</v>
      </c>
      <c r="Q196" s="255" t="s">
        <v>1764</v>
      </c>
      <c r="R196" s="255" t="s">
        <v>598</v>
      </c>
      <c r="S196" s="255" t="s">
        <v>599</v>
      </c>
      <c r="T196" s="255" t="s">
        <v>599</v>
      </c>
      <c r="U196" s="256"/>
      <c r="V196" s="256"/>
      <c r="W196" s="256"/>
      <c r="X196" s="256"/>
      <c r="Y196" s="256"/>
      <c r="Z196" s="256"/>
      <c r="AA196" s="256"/>
      <c r="AB196" s="256"/>
      <c r="AC196" s="256"/>
      <c r="AD196" s="256"/>
      <c r="AE196" s="256"/>
      <c r="AF196" s="256"/>
      <c r="AG196" s="256"/>
      <c r="AH196" s="256"/>
      <c r="AI196" s="256"/>
      <c r="AJ196" s="256"/>
      <c r="AK196" s="256"/>
      <c r="AL196" s="256"/>
      <c r="AM196" s="256"/>
      <c r="AN196" s="256"/>
      <c r="AO196" s="256"/>
      <c r="AP196" s="256"/>
      <c r="AQ196" s="256"/>
      <c r="AR196" s="255" t="s">
        <v>50</v>
      </c>
      <c r="AS196" s="255" t="s">
        <v>50</v>
      </c>
      <c r="AT196" s="256"/>
      <c r="AU196" s="255" t="s">
        <v>1921</v>
      </c>
      <c r="AV196" s="256">
        <v>2279</v>
      </c>
    </row>
    <row r="197" spans="1:48" ht="29.25" customHeight="1">
      <c r="A197" s="294" t="s">
        <v>1507</v>
      </c>
      <c r="B197" s="294" t="s">
        <v>663</v>
      </c>
      <c r="C197" s="294" t="s">
        <v>596</v>
      </c>
      <c r="D197" s="259">
        <v>2475</v>
      </c>
      <c r="E197" s="260">
        <f>TRUNC(일위대가목록!E28,0)</f>
        <v>0</v>
      </c>
      <c r="F197" s="260">
        <f t="shared" si="15"/>
        <v>0</v>
      </c>
      <c r="G197" s="260">
        <f>TRUNC(일위대가목록!F28,0)</f>
        <v>0</v>
      </c>
      <c r="H197" s="260">
        <f t="shared" si="16"/>
        <v>0</v>
      </c>
      <c r="I197" s="260">
        <f>TRUNC(일위대가목록!G28,0)</f>
        <v>0</v>
      </c>
      <c r="J197" s="260">
        <f t="shared" si="17"/>
        <v>0</v>
      </c>
      <c r="K197" s="260">
        <f t="shared" si="18"/>
        <v>0</v>
      </c>
      <c r="L197" s="260">
        <f t="shared" si="18"/>
        <v>0</v>
      </c>
      <c r="M197" s="294" t="s">
        <v>629</v>
      </c>
      <c r="N197" s="255" t="s">
        <v>1856</v>
      </c>
      <c r="O197" s="255" t="s">
        <v>50</v>
      </c>
      <c r="P197" s="255" t="s">
        <v>50</v>
      </c>
      <c r="Q197" s="255" t="s">
        <v>1764</v>
      </c>
      <c r="R197" s="255" t="s">
        <v>598</v>
      </c>
      <c r="S197" s="255" t="s">
        <v>599</v>
      </c>
      <c r="T197" s="255" t="s">
        <v>599</v>
      </c>
      <c r="U197" s="256"/>
      <c r="V197" s="256"/>
      <c r="W197" s="256"/>
      <c r="X197" s="256"/>
      <c r="Y197" s="256"/>
      <c r="Z197" s="256"/>
      <c r="AA197" s="256"/>
      <c r="AB197" s="256"/>
      <c r="AC197" s="256"/>
      <c r="AD197" s="256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5" t="s">
        <v>50</v>
      </c>
      <c r="AS197" s="255" t="s">
        <v>50</v>
      </c>
      <c r="AT197" s="256"/>
      <c r="AU197" s="255" t="s">
        <v>1922</v>
      </c>
      <c r="AV197" s="256">
        <v>2280</v>
      </c>
    </row>
    <row r="198" spans="1:48" ht="29.25" customHeight="1">
      <c r="A198" s="259"/>
      <c r="B198" s="259"/>
      <c r="C198" s="259"/>
      <c r="D198" s="259"/>
      <c r="E198" s="260"/>
      <c r="F198" s="260"/>
      <c r="G198" s="260"/>
      <c r="H198" s="260"/>
      <c r="I198" s="260"/>
      <c r="J198" s="260"/>
      <c r="K198" s="260"/>
      <c r="L198" s="260"/>
      <c r="M198" s="259"/>
      <c r="Q198" s="464" t="s">
        <v>1764</v>
      </c>
    </row>
    <row r="199" spans="1:48" ht="29.25" customHeight="1">
      <c r="A199" s="259"/>
      <c r="B199" s="259"/>
      <c r="C199" s="259"/>
      <c r="D199" s="259"/>
      <c r="E199" s="260"/>
      <c r="F199" s="260"/>
      <c r="G199" s="260"/>
      <c r="H199" s="260"/>
      <c r="I199" s="260"/>
      <c r="J199" s="260"/>
      <c r="K199" s="260"/>
      <c r="L199" s="260"/>
      <c r="M199" s="259"/>
      <c r="Q199" s="464" t="s">
        <v>1764</v>
      </c>
    </row>
    <row r="200" spans="1:48" ht="29.25" customHeight="1">
      <c r="A200" s="259"/>
      <c r="B200" s="259"/>
      <c r="C200" s="259"/>
      <c r="D200" s="259"/>
      <c r="E200" s="260"/>
      <c r="F200" s="260"/>
      <c r="G200" s="260"/>
      <c r="H200" s="260"/>
      <c r="I200" s="260"/>
      <c r="J200" s="260"/>
      <c r="K200" s="260"/>
      <c r="L200" s="260"/>
      <c r="M200" s="259"/>
      <c r="Q200" s="464" t="s">
        <v>1764</v>
      </c>
    </row>
    <row r="201" spans="1:48" ht="29.25" customHeight="1">
      <c r="A201" s="259"/>
      <c r="B201" s="259"/>
      <c r="C201" s="259"/>
      <c r="D201" s="259"/>
      <c r="E201" s="260"/>
      <c r="F201" s="260"/>
      <c r="G201" s="260"/>
      <c r="H201" s="260"/>
      <c r="I201" s="260"/>
      <c r="J201" s="260"/>
      <c r="K201" s="260"/>
      <c r="L201" s="260"/>
      <c r="M201" s="259"/>
      <c r="Q201" s="464" t="s">
        <v>1764</v>
      </c>
    </row>
    <row r="202" spans="1:48" ht="29.25" customHeight="1">
      <c r="A202" s="259"/>
      <c r="B202" s="259"/>
      <c r="C202" s="259"/>
      <c r="D202" s="259"/>
      <c r="E202" s="260"/>
      <c r="F202" s="260"/>
      <c r="G202" s="260"/>
      <c r="H202" s="260"/>
      <c r="I202" s="260"/>
      <c r="J202" s="260"/>
      <c r="K202" s="260"/>
      <c r="L202" s="260"/>
      <c r="M202" s="259"/>
      <c r="Q202" s="464" t="s">
        <v>1764</v>
      </c>
    </row>
    <row r="203" spans="1:48" ht="29.25" customHeight="1">
      <c r="A203" s="252" t="s">
        <v>564</v>
      </c>
      <c r="B203" s="253"/>
      <c r="C203" s="253"/>
      <c r="D203" s="253"/>
      <c r="E203" s="254"/>
      <c r="F203" s="254">
        <f>SUMIF(Q180:Q202,"01010501",F180:F202)</f>
        <v>0</v>
      </c>
      <c r="G203" s="254"/>
      <c r="H203" s="254">
        <f>SUMIF(Q180:Q202,"01010501",H180:H202)</f>
        <v>0</v>
      </c>
      <c r="I203" s="254"/>
      <c r="J203" s="254">
        <f>SUMIF(Q180:Q202,"01010501",J180:J202)</f>
        <v>0</v>
      </c>
      <c r="K203" s="254"/>
      <c r="L203" s="254">
        <f>SUMIF(Q180:Q202,"01010501",L180:L202)</f>
        <v>0</v>
      </c>
      <c r="M203" s="253"/>
      <c r="N203" t="s">
        <v>617</v>
      </c>
    </row>
    <row r="204" spans="1:48" ht="29.25" customHeight="1">
      <c r="A204" s="294" t="s">
        <v>1765</v>
      </c>
      <c r="B204" s="294" t="s">
        <v>1902</v>
      </c>
      <c r="C204" s="259"/>
      <c r="D204" s="259"/>
      <c r="E204" s="260"/>
      <c r="F204" s="260"/>
      <c r="G204" s="260"/>
      <c r="H204" s="260"/>
      <c r="I204" s="260"/>
      <c r="J204" s="260"/>
      <c r="K204" s="260"/>
      <c r="L204" s="260"/>
      <c r="M204" s="259"/>
      <c r="N204" s="256"/>
      <c r="O204" s="256"/>
      <c r="P204" s="256"/>
      <c r="Q204" s="255" t="s">
        <v>1766</v>
      </c>
      <c r="R204" s="256"/>
      <c r="S204" s="256"/>
      <c r="T204" s="256"/>
      <c r="U204" s="256"/>
      <c r="V204" s="256"/>
      <c r="W204" s="256"/>
      <c r="X204" s="256"/>
      <c r="Y204" s="256"/>
      <c r="Z204" s="256"/>
      <c r="AA204" s="256"/>
      <c r="AB204" s="256"/>
      <c r="AC204" s="256"/>
      <c r="AD204" s="256"/>
      <c r="AE204" s="256"/>
      <c r="AF204" s="256"/>
      <c r="AG204" s="256"/>
      <c r="AH204" s="256"/>
      <c r="AI204" s="256"/>
      <c r="AJ204" s="256"/>
      <c r="AK204" s="256"/>
      <c r="AL204" s="256"/>
      <c r="AM204" s="256"/>
      <c r="AN204" s="256"/>
      <c r="AO204" s="256"/>
      <c r="AP204" s="256"/>
      <c r="AQ204" s="256"/>
      <c r="AR204" s="256"/>
      <c r="AS204" s="256"/>
      <c r="AT204" s="256"/>
      <c r="AU204" s="256"/>
      <c r="AV204" s="256"/>
    </row>
    <row r="205" spans="1:48" ht="29.25" customHeight="1">
      <c r="A205" s="294" t="s">
        <v>710</v>
      </c>
      <c r="B205" s="294" t="s">
        <v>711</v>
      </c>
      <c r="C205" s="294" t="s">
        <v>685</v>
      </c>
      <c r="D205" s="259">
        <v>44</v>
      </c>
      <c r="E205" s="260">
        <f>TRUNC(단가대비표!O74,0)</f>
        <v>0</v>
      </c>
      <c r="F205" s="260">
        <f>TRUNC(E205*D205, 0)</f>
        <v>0</v>
      </c>
      <c r="G205" s="260">
        <f>TRUNC(단가대비표!P74,0)</f>
        <v>0</v>
      </c>
      <c r="H205" s="260">
        <f>TRUNC(G205*D205, 0)</f>
        <v>0</v>
      </c>
      <c r="I205" s="260">
        <f>TRUNC(단가대비표!V74,0)</f>
        <v>0</v>
      </c>
      <c r="J205" s="260">
        <f>TRUNC(I205*D205, 0)</f>
        <v>0</v>
      </c>
      <c r="K205" s="260">
        <f t="shared" ref="K205:L207" si="19">TRUNC(E205+G205+I205, 0)</f>
        <v>0</v>
      </c>
      <c r="L205" s="260">
        <f t="shared" si="19"/>
        <v>0</v>
      </c>
      <c r="M205" s="294" t="s">
        <v>50</v>
      </c>
      <c r="N205" s="255" t="s">
        <v>1862</v>
      </c>
      <c r="O205" s="255" t="s">
        <v>50</v>
      </c>
      <c r="P205" s="255" t="s">
        <v>50</v>
      </c>
      <c r="Q205" s="255" t="s">
        <v>1766</v>
      </c>
      <c r="R205" s="255" t="s">
        <v>599</v>
      </c>
      <c r="S205" s="255" t="s">
        <v>599</v>
      </c>
      <c r="T205" s="255" t="s">
        <v>598</v>
      </c>
      <c r="U205" s="256"/>
      <c r="V205" s="256"/>
      <c r="W205" s="256"/>
      <c r="X205" s="256"/>
      <c r="Y205" s="256"/>
      <c r="Z205" s="256"/>
      <c r="AA205" s="256"/>
      <c r="AB205" s="256"/>
      <c r="AC205" s="256"/>
      <c r="AD205" s="256"/>
      <c r="AE205" s="256"/>
      <c r="AF205" s="256"/>
      <c r="AG205" s="256"/>
      <c r="AH205" s="256"/>
      <c r="AI205" s="256"/>
      <c r="AJ205" s="256"/>
      <c r="AK205" s="256"/>
      <c r="AL205" s="256"/>
      <c r="AM205" s="256"/>
      <c r="AN205" s="256"/>
      <c r="AO205" s="256"/>
      <c r="AP205" s="256"/>
      <c r="AQ205" s="256"/>
      <c r="AR205" s="255" t="s">
        <v>50</v>
      </c>
      <c r="AS205" s="255" t="s">
        <v>50</v>
      </c>
      <c r="AT205" s="256"/>
      <c r="AU205" s="255" t="s">
        <v>1923</v>
      </c>
      <c r="AV205" s="256">
        <v>2285</v>
      </c>
    </row>
    <row r="206" spans="1:48" ht="29.25" customHeight="1">
      <c r="A206" s="294" t="s">
        <v>712</v>
      </c>
      <c r="B206" s="294" t="s">
        <v>713</v>
      </c>
      <c r="C206" s="294" t="s">
        <v>685</v>
      </c>
      <c r="D206" s="259">
        <v>678</v>
      </c>
      <c r="E206" s="260">
        <f>TRUNC(단가산출목록!E5,0)</f>
        <v>0</v>
      </c>
      <c r="F206" s="260">
        <f>TRUNC(E206*D206, 0)</f>
        <v>0</v>
      </c>
      <c r="G206" s="260">
        <f>TRUNC(단가산출목록!F5,0)</f>
        <v>0</v>
      </c>
      <c r="H206" s="260">
        <f>TRUNC(G206*D206, 0)</f>
        <v>0</v>
      </c>
      <c r="I206" s="260">
        <f>TRUNC(단가산출목록!G5,0)</f>
        <v>0</v>
      </c>
      <c r="J206" s="260">
        <f>TRUNC(I206*D206, 0)</f>
        <v>0</v>
      </c>
      <c r="K206" s="260">
        <f t="shared" si="19"/>
        <v>0</v>
      </c>
      <c r="L206" s="260">
        <f t="shared" si="19"/>
        <v>0</v>
      </c>
      <c r="M206" s="294" t="s">
        <v>714</v>
      </c>
      <c r="N206" s="255" t="s">
        <v>1864</v>
      </c>
      <c r="O206" s="255" t="s">
        <v>50</v>
      </c>
      <c r="P206" s="255" t="s">
        <v>50</v>
      </c>
      <c r="Q206" s="255" t="s">
        <v>1766</v>
      </c>
      <c r="R206" s="255" t="s">
        <v>599</v>
      </c>
      <c r="S206" s="255" t="s">
        <v>598</v>
      </c>
      <c r="T206" s="255" t="s">
        <v>599</v>
      </c>
      <c r="U206" s="256"/>
      <c r="V206" s="256"/>
      <c r="W206" s="256"/>
      <c r="X206" s="256"/>
      <c r="Y206" s="256"/>
      <c r="Z206" s="256"/>
      <c r="AA206" s="256"/>
      <c r="AB206" s="256"/>
      <c r="AC206" s="256"/>
      <c r="AD206" s="256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5" t="s">
        <v>50</v>
      </c>
      <c r="AS206" s="255" t="s">
        <v>50</v>
      </c>
      <c r="AT206" s="256"/>
      <c r="AU206" s="255" t="s">
        <v>1924</v>
      </c>
      <c r="AV206" s="256">
        <v>2286</v>
      </c>
    </row>
    <row r="207" spans="1:48" ht="29.25" customHeight="1">
      <c r="A207" s="294" t="s">
        <v>721</v>
      </c>
      <c r="B207" s="294" t="s">
        <v>722</v>
      </c>
      <c r="C207" s="294" t="s">
        <v>723</v>
      </c>
      <c r="D207" s="259">
        <v>5302</v>
      </c>
      <c r="E207" s="260">
        <f>TRUNC(단가산출목록!E7,0)</f>
        <v>0</v>
      </c>
      <c r="F207" s="260">
        <f>TRUNC(E207*D207, 0)</f>
        <v>0</v>
      </c>
      <c r="G207" s="260">
        <f>TRUNC(단가산출목록!F7,0)</f>
        <v>0</v>
      </c>
      <c r="H207" s="260">
        <f>TRUNC(G207*D207, 0)</f>
        <v>0</v>
      </c>
      <c r="I207" s="260">
        <f>TRUNC(단가산출목록!G7,0)</f>
        <v>0</v>
      </c>
      <c r="J207" s="260">
        <f>TRUNC(I207*D207, 0)</f>
        <v>0</v>
      </c>
      <c r="K207" s="260">
        <f t="shared" si="19"/>
        <v>0</v>
      </c>
      <c r="L207" s="260">
        <f t="shared" si="19"/>
        <v>0</v>
      </c>
      <c r="M207" s="294" t="s">
        <v>718</v>
      </c>
      <c r="N207" s="255" t="s">
        <v>1868</v>
      </c>
      <c r="O207" s="255" t="s">
        <v>50</v>
      </c>
      <c r="P207" s="255" t="s">
        <v>50</v>
      </c>
      <c r="Q207" s="255" t="s">
        <v>1766</v>
      </c>
      <c r="R207" s="255" t="s">
        <v>599</v>
      </c>
      <c r="S207" s="255" t="s">
        <v>598</v>
      </c>
      <c r="T207" s="255" t="s">
        <v>599</v>
      </c>
      <c r="U207" s="256"/>
      <c r="V207" s="256"/>
      <c r="W207" s="256"/>
      <c r="X207" s="256"/>
      <c r="Y207" s="256"/>
      <c r="Z207" s="256"/>
      <c r="AA207" s="256"/>
      <c r="AB207" s="256"/>
      <c r="AC207" s="256"/>
      <c r="AD207" s="256"/>
      <c r="AE207" s="256"/>
      <c r="AF207" s="256"/>
      <c r="AG207" s="256"/>
      <c r="AH207" s="256"/>
      <c r="AI207" s="256"/>
      <c r="AJ207" s="256"/>
      <c r="AK207" s="256"/>
      <c r="AL207" s="256"/>
      <c r="AM207" s="256"/>
      <c r="AN207" s="256"/>
      <c r="AO207" s="256"/>
      <c r="AP207" s="256"/>
      <c r="AQ207" s="256"/>
      <c r="AR207" s="255" t="s">
        <v>50</v>
      </c>
      <c r="AS207" s="255" t="s">
        <v>50</v>
      </c>
      <c r="AT207" s="256"/>
      <c r="AU207" s="255" t="s">
        <v>1925</v>
      </c>
      <c r="AV207" s="256">
        <v>2288</v>
      </c>
    </row>
    <row r="208" spans="1:48" ht="29.25" customHeight="1">
      <c r="A208" s="259"/>
      <c r="B208" s="259"/>
      <c r="C208" s="259"/>
      <c r="D208" s="259"/>
      <c r="E208" s="260"/>
      <c r="F208" s="260"/>
      <c r="G208" s="260"/>
      <c r="H208" s="260"/>
      <c r="I208" s="260"/>
      <c r="J208" s="260"/>
      <c r="K208" s="260"/>
      <c r="L208" s="260"/>
      <c r="M208" s="259"/>
      <c r="Q208" s="464" t="s">
        <v>1766</v>
      </c>
    </row>
    <row r="209" spans="1:17" ht="29.25" customHeight="1">
      <c r="A209" s="259"/>
      <c r="B209" s="259"/>
      <c r="C209" s="259"/>
      <c r="D209" s="259"/>
      <c r="E209" s="260"/>
      <c r="F209" s="260"/>
      <c r="G209" s="260"/>
      <c r="H209" s="260"/>
      <c r="I209" s="260"/>
      <c r="J209" s="260"/>
      <c r="K209" s="260"/>
      <c r="L209" s="260"/>
      <c r="M209" s="259"/>
      <c r="Q209" s="464" t="s">
        <v>1766</v>
      </c>
    </row>
    <row r="210" spans="1:17" ht="29.25" customHeight="1">
      <c r="A210" s="259"/>
      <c r="B210" s="259"/>
      <c r="C210" s="259"/>
      <c r="D210" s="259"/>
      <c r="E210" s="260"/>
      <c r="F210" s="260"/>
      <c r="G210" s="260"/>
      <c r="H210" s="260"/>
      <c r="I210" s="260"/>
      <c r="J210" s="260"/>
      <c r="K210" s="260"/>
      <c r="L210" s="260"/>
      <c r="M210" s="259"/>
      <c r="Q210" s="464" t="s">
        <v>1766</v>
      </c>
    </row>
    <row r="211" spans="1:17" ht="29.25" customHeight="1">
      <c r="A211" s="259"/>
      <c r="B211" s="259"/>
      <c r="C211" s="259"/>
      <c r="D211" s="259"/>
      <c r="E211" s="260"/>
      <c r="F211" s="260"/>
      <c r="G211" s="260"/>
      <c r="H211" s="260"/>
      <c r="I211" s="260"/>
      <c r="J211" s="260"/>
      <c r="K211" s="260"/>
      <c r="L211" s="260"/>
      <c r="M211" s="259"/>
      <c r="Q211" s="464" t="s">
        <v>1766</v>
      </c>
    </row>
    <row r="212" spans="1:17" ht="29.25" customHeight="1">
      <c r="A212" s="259"/>
      <c r="B212" s="259"/>
      <c r="C212" s="259"/>
      <c r="D212" s="259"/>
      <c r="E212" s="260"/>
      <c r="F212" s="260"/>
      <c r="G212" s="260"/>
      <c r="H212" s="260"/>
      <c r="I212" s="260"/>
      <c r="J212" s="260"/>
      <c r="K212" s="260"/>
      <c r="L212" s="260"/>
      <c r="M212" s="259"/>
      <c r="Q212" s="464" t="s">
        <v>1766</v>
      </c>
    </row>
    <row r="213" spans="1:17" ht="29.25" customHeight="1">
      <c r="A213" s="259"/>
      <c r="B213" s="259"/>
      <c r="C213" s="259"/>
      <c r="D213" s="259"/>
      <c r="E213" s="260"/>
      <c r="F213" s="260"/>
      <c r="G213" s="260"/>
      <c r="H213" s="260"/>
      <c r="I213" s="260"/>
      <c r="J213" s="260"/>
      <c r="K213" s="260"/>
      <c r="L213" s="260"/>
      <c r="M213" s="259"/>
      <c r="Q213" s="464" t="s">
        <v>1766</v>
      </c>
    </row>
    <row r="214" spans="1:17" ht="29.25" customHeight="1">
      <c r="A214" s="259"/>
      <c r="B214" s="259"/>
      <c r="C214" s="259"/>
      <c r="D214" s="259"/>
      <c r="E214" s="260"/>
      <c r="F214" s="260"/>
      <c r="G214" s="260"/>
      <c r="H214" s="260"/>
      <c r="I214" s="260"/>
      <c r="J214" s="260"/>
      <c r="K214" s="260"/>
      <c r="L214" s="260"/>
      <c r="M214" s="259"/>
      <c r="Q214" s="464" t="s">
        <v>1766</v>
      </c>
    </row>
    <row r="215" spans="1:17" ht="29.25" customHeight="1">
      <c r="A215" s="259"/>
      <c r="B215" s="259"/>
      <c r="C215" s="259"/>
      <c r="D215" s="259"/>
      <c r="E215" s="260"/>
      <c r="F215" s="260"/>
      <c r="G215" s="260"/>
      <c r="H215" s="260"/>
      <c r="I215" s="260"/>
      <c r="J215" s="260"/>
      <c r="K215" s="260"/>
      <c r="L215" s="260"/>
      <c r="M215" s="259"/>
      <c r="Q215" s="464" t="s">
        <v>1766</v>
      </c>
    </row>
    <row r="216" spans="1:17" ht="29.25" customHeight="1">
      <c r="A216" s="259"/>
      <c r="B216" s="259"/>
      <c r="C216" s="259"/>
      <c r="D216" s="259"/>
      <c r="E216" s="260"/>
      <c r="F216" s="260"/>
      <c r="G216" s="260"/>
      <c r="H216" s="260"/>
      <c r="I216" s="260"/>
      <c r="J216" s="260"/>
      <c r="K216" s="260"/>
      <c r="L216" s="260"/>
      <c r="M216" s="259"/>
      <c r="Q216" s="464" t="s">
        <v>1766</v>
      </c>
    </row>
    <row r="217" spans="1:17" ht="29.25" customHeight="1">
      <c r="A217" s="259"/>
      <c r="B217" s="259"/>
      <c r="C217" s="259"/>
      <c r="D217" s="259"/>
      <c r="E217" s="260"/>
      <c r="F217" s="260"/>
      <c r="G217" s="260"/>
      <c r="H217" s="260"/>
      <c r="I217" s="260"/>
      <c r="J217" s="260"/>
      <c r="K217" s="260"/>
      <c r="L217" s="260"/>
      <c r="M217" s="259"/>
      <c r="Q217" s="464" t="s">
        <v>1766</v>
      </c>
    </row>
    <row r="218" spans="1:17" ht="29.25" customHeight="1">
      <c r="A218" s="259"/>
      <c r="B218" s="259"/>
      <c r="C218" s="259"/>
      <c r="D218" s="259"/>
      <c r="E218" s="260"/>
      <c r="F218" s="260"/>
      <c r="G218" s="260"/>
      <c r="H218" s="260"/>
      <c r="I218" s="260"/>
      <c r="J218" s="260"/>
      <c r="K218" s="260"/>
      <c r="L218" s="260"/>
      <c r="M218" s="259"/>
      <c r="Q218" s="464" t="s">
        <v>1766</v>
      </c>
    </row>
    <row r="219" spans="1:17" ht="29.25" customHeight="1">
      <c r="A219" s="259"/>
      <c r="B219" s="259"/>
      <c r="C219" s="259"/>
      <c r="D219" s="259"/>
      <c r="E219" s="260"/>
      <c r="F219" s="260"/>
      <c r="G219" s="260"/>
      <c r="H219" s="260"/>
      <c r="I219" s="260"/>
      <c r="J219" s="260"/>
      <c r="K219" s="260"/>
      <c r="L219" s="260"/>
      <c r="M219" s="259"/>
      <c r="Q219" s="464" t="s">
        <v>1766</v>
      </c>
    </row>
    <row r="220" spans="1:17" ht="29.25" customHeight="1">
      <c r="A220" s="259"/>
      <c r="B220" s="259"/>
      <c r="C220" s="259"/>
      <c r="D220" s="259"/>
      <c r="E220" s="260"/>
      <c r="F220" s="260"/>
      <c r="G220" s="260"/>
      <c r="H220" s="260"/>
      <c r="I220" s="260"/>
      <c r="J220" s="260"/>
      <c r="K220" s="260"/>
      <c r="L220" s="260"/>
      <c r="M220" s="259"/>
      <c r="Q220" s="464" t="s">
        <v>1766</v>
      </c>
    </row>
    <row r="221" spans="1:17" ht="29.25" customHeight="1">
      <c r="A221" s="259"/>
      <c r="B221" s="259"/>
      <c r="C221" s="259"/>
      <c r="D221" s="259"/>
      <c r="E221" s="260"/>
      <c r="F221" s="260"/>
      <c r="G221" s="260"/>
      <c r="H221" s="260"/>
      <c r="I221" s="260"/>
      <c r="J221" s="260"/>
      <c r="K221" s="260"/>
      <c r="L221" s="260"/>
      <c r="M221" s="259"/>
      <c r="Q221" s="464" t="s">
        <v>1766</v>
      </c>
    </row>
    <row r="222" spans="1:17" ht="29.25" customHeight="1">
      <c r="A222" s="259"/>
      <c r="B222" s="259"/>
      <c r="C222" s="259"/>
      <c r="D222" s="259"/>
      <c r="E222" s="260"/>
      <c r="F222" s="260"/>
      <c r="G222" s="260"/>
      <c r="H222" s="260"/>
      <c r="I222" s="260"/>
      <c r="J222" s="260"/>
      <c r="K222" s="260"/>
      <c r="L222" s="260"/>
      <c r="M222" s="259"/>
      <c r="Q222" s="464" t="s">
        <v>1766</v>
      </c>
    </row>
    <row r="223" spans="1:17" ht="29.25" customHeight="1">
      <c r="A223" s="259"/>
      <c r="B223" s="259"/>
      <c r="C223" s="259"/>
      <c r="D223" s="259"/>
      <c r="E223" s="260"/>
      <c r="F223" s="260"/>
      <c r="G223" s="260"/>
      <c r="H223" s="260"/>
      <c r="I223" s="260"/>
      <c r="J223" s="260"/>
      <c r="K223" s="260"/>
      <c r="L223" s="260"/>
      <c r="M223" s="259"/>
      <c r="Q223" s="464" t="s">
        <v>1766</v>
      </c>
    </row>
    <row r="224" spans="1:17" ht="29.25" customHeight="1">
      <c r="A224" s="259"/>
      <c r="B224" s="259"/>
      <c r="C224" s="259"/>
      <c r="D224" s="259"/>
      <c r="E224" s="260"/>
      <c r="F224" s="260"/>
      <c r="G224" s="260"/>
      <c r="H224" s="260"/>
      <c r="I224" s="260"/>
      <c r="J224" s="260"/>
      <c r="K224" s="260"/>
      <c r="L224" s="260"/>
      <c r="M224" s="259"/>
      <c r="Q224" s="464" t="s">
        <v>1766</v>
      </c>
    </row>
    <row r="225" spans="1:48" ht="29.25" customHeight="1">
      <c r="A225" s="259"/>
      <c r="B225" s="259"/>
      <c r="C225" s="259"/>
      <c r="D225" s="259"/>
      <c r="E225" s="260"/>
      <c r="F225" s="260"/>
      <c r="G225" s="260"/>
      <c r="H225" s="260"/>
      <c r="I225" s="260"/>
      <c r="J225" s="260"/>
      <c r="K225" s="260"/>
      <c r="L225" s="260"/>
      <c r="M225" s="259"/>
      <c r="Q225" s="464" t="s">
        <v>1766</v>
      </c>
    </row>
    <row r="226" spans="1:48" ht="29.25" customHeight="1">
      <c r="A226" s="259"/>
      <c r="B226" s="259"/>
      <c r="C226" s="259"/>
      <c r="D226" s="259"/>
      <c r="E226" s="260"/>
      <c r="F226" s="260"/>
      <c r="G226" s="260"/>
      <c r="H226" s="260"/>
      <c r="I226" s="260"/>
      <c r="J226" s="260"/>
      <c r="K226" s="260"/>
      <c r="L226" s="260"/>
      <c r="M226" s="259"/>
      <c r="Q226" s="464" t="s">
        <v>1766</v>
      </c>
    </row>
    <row r="227" spans="1:48" ht="29.25" customHeight="1">
      <c r="A227" s="259"/>
      <c r="B227" s="259"/>
      <c r="C227" s="259"/>
      <c r="D227" s="259"/>
      <c r="E227" s="260"/>
      <c r="F227" s="260"/>
      <c r="G227" s="260"/>
      <c r="H227" s="260"/>
      <c r="I227" s="260"/>
      <c r="J227" s="260"/>
      <c r="K227" s="260"/>
      <c r="L227" s="260"/>
      <c r="M227" s="259"/>
      <c r="Q227" s="464" t="s">
        <v>1766</v>
      </c>
    </row>
    <row r="228" spans="1:48" ht="29.25" customHeight="1">
      <c r="A228" s="252" t="s">
        <v>564</v>
      </c>
      <c r="B228" s="253"/>
      <c r="C228" s="253"/>
      <c r="D228" s="253"/>
      <c r="E228" s="254"/>
      <c r="F228" s="254">
        <f>SUMIF(Q205:Q227,"01010502",F205:F227)</f>
        <v>0</v>
      </c>
      <c r="G228" s="254"/>
      <c r="H228" s="254">
        <f>SUMIF(Q205:Q227,"01010502",H205:H227)</f>
        <v>0</v>
      </c>
      <c r="I228" s="254"/>
      <c r="J228" s="254">
        <f>SUMIF(Q205:Q227,"01010502",J205:J227)</f>
        <v>0</v>
      </c>
      <c r="K228" s="254"/>
      <c r="L228" s="254">
        <f>SUMIF(Q205:Q227,"01010502",L205:L227)</f>
        <v>0</v>
      </c>
      <c r="M228" s="253"/>
      <c r="N228" t="s">
        <v>617</v>
      </c>
    </row>
    <row r="229" spans="1:48" ht="29.25" customHeight="1">
      <c r="A229" s="294" t="s">
        <v>1767</v>
      </c>
      <c r="B229" s="294" t="s">
        <v>1902</v>
      </c>
      <c r="C229" s="259"/>
      <c r="D229" s="259"/>
      <c r="E229" s="260"/>
      <c r="F229" s="260"/>
      <c r="G229" s="260"/>
      <c r="H229" s="260"/>
      <c r="I229" s="260"/>
      <c r="J229" s="260"/>
      <c r="K229" s="260"/>
      <c r="L229" s="260"/>
      <c r="M229" s="259"/>
      <c r="N229" s="256"/>
      <c r="O229" s="256"/>
      <c r="P229" s="256"/>
      <c r="Q229" s="255" t="s">
        <v>1768</v>
      </c>
      <c r="R229" s="256"/>
      <c r="S229" s="256"/>
      <c r="T229" s="256"/>
      <c r="U229" s="256"/>
      <c r="V229" s="256"/>
      <c r="W229" s="256"/>
      <c r="X229" s="256"/>
      <c r="Y229" s="256"/>
      <c r="Z229" s="256"/>
      <c r="AA229" s="256"/>
      <c r="AB229" s="256"/>
      <c r="AC229" s="256"/>
      <c r="AD229" s="256"/>
      <c r="AE229" s="256"/>
      <c r="AF229" s="256"/>
      <c r="AG229" s="256"/>
      <c r="AH229" s="256"/>
      <c r="AI229" s="256"/>
      <c r="AJ229" s="256"/>
      <c r="AK229" s="256"/>
      <c r="AL229" s="256"/>
      <c r="AM229" s="256"/>
      <c r="AN229" s="256"/>
      <c r="AO229" s="256"/>
      <c r="AP229" s="256"/>
      <c r="AQ229" s="256"/>
      <c r="AR229" s="256"/>
      <c r="AS229" s="256"/>
      <c r="AT229" s="256"/>
      <c r="AU229" s="256"/>
      <c r="AV229" s="256"/>
    </row>
    <row r="230" spans="1:48" ht="29.25" customHeight="1">
      <c r="A230" s="294" t="s">
        <v>725</v>
      </c>
      <c r="B230" s="294" t="s">
        <v>726</v>
      </c>
      <c r="C230" s="294" t="s">
        <v>678</v>
      </c>
      <c r="D230" s="259">
        <v>2</v>
      </c>
      <c r="E230" s="260">
        <f>TRUNC(일위대가목록!E29,0)</f>
        <v>0</v>
      </c>
      <c r="F230" s="260">
        <f>TRUNC(E230*D230, 0)</f>
        <v>0</v>
      </c>
      <c r="G230" s="260">
        <f>TRUNC(일위대가목록!F29,0)</f>
        <v>0</v>
      </c>
      <c r="H230" s="260">
        <f>TRUNC(G230*D230, 0)</f>
        <v>0</v>
      </c>
      <c r="I230" s="260">
        <f>TRUNC(일위대가목록!G29,0)</f>
        <v>0</v>
      </c>
      <c r="J230" s="260">
        <f>TRUNC(I230*D230, 0)</f>
        <v>0</v>
      </c>
      <c r="K230" s="260">
        <f t="shared" ref="K230:L232" si="20">TRUNC(E230+G230+I230, 0)</f>
        <v>0</v>
      </c>
      <c r="L230" s="260">
        <f t="shared" si="20"/>
        <v>0</v>
      </c>
      <c r="M230" s="294" t="s">
        <v>630</v>
      </c>
      <c r="N230" s="255" t="s">
        <v>1870</v>
      </c>
      <c r="O230" s="255" t="s">
        <v>50</v>
      </c>
      <c r="P230" s="255" t="s">
        <v>50</v>
      </c>
      <c r="Q230" s="255" t="s">
        <v>1768</v>
      </c>
      <c r="R230" s="255" t="s">
        <v>598</v>
      </c>
      <c r="S230" s="255" t="s">
        <v>599</v>
      </c>
      <c r="T230" s="255" t="s">
        <v>599</v>
      </c>
      <c r="U230" s="256"/>
      <c r="V230" s="256"/>
      <c r="W230" s="256"/>
      <c r="X230" s="256"/>
      <c r="Y230" s="256"/>
      <c r="Z230" s="256"/>
      <c r="AA230" s="256"/>
      <c r="AB230" s="256"/>
      <c r="AC230" s="256"/>
      <c r="AD230" s="256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5" t="s">
        <v>50</v>
      </c>
      <c r="AS230" s="255" t="s">
        <v>50</v>
      </c>
      <c r="AT230" s="256"/>
      <c r="AU230" s="255" t="s">
        <v>1926</v>
      </c>
      <c r="AV230" s="256">
        <v>2292</v>
      </c>
    </row>
    <row r="231" spans="1:48" ht="29.25" customHeight="1">
      <c r="A231" s="294" t="s">
        <v>725</v>
      </c>
      <c r="B231" s="294" t="s">
        <v>727</v>
      </c>
      <c r="C231" s="294" t="s">
        <v>678</v>
      </c>
      <c r="D231" s="259">
        <v>2</v>
      </c>
      <c r="E231" s="260">
        <f>TRUNC(일위대가목록!E30,0)</f>
        <v>0</v>
      </c>
      <c r="F231" s="260">
        <f>TRUNC(E231*D231, 0)</f>
        <v>0</v>
      </c>
      <c r="G231" s="260">
        <f>TRUNC(일위대가목록!F30,0)</f>
        <v>0</v>
      </c>
      <c r="H231" s="260">
        <f>TRUNC(G231*D231, 0)</f>
        <v>0</v>
      </c>
      <c r="I231" s="260">
        <f>TRUNC(일위대가목록!G30,0)</f>
        <v>0</v>
      </c>
      <c r="J231" s="260">
        <f>TRUNC(I231*D231, 0)</f>
        <v>0</v>
      </c>
      <c r="K231" s="260">
        <f t="shared" si="20"/>
        <v>0</v>
      </c>
      <c r="L231" s="260">
        <f t="shared" si="20"/>
        <v>0</v>
      </c>
      <c r="M231" s="294" t="s">
        <v>631</v>
      </c>
      <c r="N231" s="255" t="s">
        <v>1872</v>
      </c>
      <c r="O231" s="255" t="s">
        <v>50</v>
      </c>
      <c r="P231" s="255" t="s">
        <v>50</v>
      </c>
      <c r="Q231" s="255" t="s">
        <v>1768</v>
      </c>
      <c r="R231" s="255" t="s">
        <v>598</v>
      </c>
      <c r="S231" s="255" t="s">
        <v>599</v>
      </c>
      <c r="T231" s="255" t="s">
        <v>599</v>
      </c>
      <c r="U231" s="256"/>
      <c r="V231" s="256"/>
      <c r="W231" s="256"/>
      <c r="X231" s="256"/>
      <c r="Y231" s="256"/>
      <c r="Z231" s="256"/>
      <c r="AA231" s="256"/>
      <c r="AB231" s="256"/>
      <c r="AC231" s="256"/>
      <c r="AD231" s="256"/>
      <c r="AE231" s="256"/>
      <c r="AF231" s="256"/>
      <c r="AG231" s="256"/>
      <c r="AH231" s="256"/>
      <c r="AI231" s="256"/>
      <c r="AJ231" s="256"/>
      <c r="AK231" s="256"/>
      <c r="AL231" s="256"/>
      <c r="AM231" s="256"/>
      <c r="AN231" s="256"/>
      <c r="AO231" s="256"/>
      <c r="AP231" s="256"/>
      <c r="AQ231" s="256"/>
      <c r="AR231" s="255" t="s">
        <v>50</v>
      </c>
      <c r="AS231" s="255" t="s">
        <v>50</v>
      </c>
      <c r="AT231" s="256"/>
      <c r="AU231" s="255" t="s">
        <v>1927</v>
      </c>
      <c r="AV231" s="256">
        <v>2293</v>
      </c>
    </row>
    <row r="232" spans="1:48" ht="29.25" customHeight="1">
      <c r="A232" s="294" t="s">
        <v>728</v>
      </c>
      <c r="B232" s="294" t="s">
        <v>729</v>
      </c>
      <c r="C232" s="294" t="s">
        <v>678</v>
      </c>
      <c r="D232" s="259">
        <v>1</v>
      </c>
      <c r="E232" s="260">
        <f>TRUNC(일위대가목록!E31,0)</f>
        <v>0</v>
      </c>
      <c r="F232" s="260">
        <f>TRUNC(E232*D232, 0)</f>
        <v>0</v>
      </c>
      <c r="G232" s="260">
        <f>TRUNC(일위대가목록!F31,0)</f>
        <v>0</v>
      </c>
      <c r="H232" s="260">
        <f>TRUNC(G232*D232, 0)</f>
        <v>0</v>
      </c>
      <c r="I232" s="260">
        <f>TRUNC(일위대가목록!G31,0)</f>
        <v>0</v>
      </c>
      <c r="J232" s="260">
        <f>TRUNC(I232*D232, 0)</f>
        <v>0</v>
      </c>
      <c r="K232" s="260">
        <f t="shared" si="20"/>
        <v>0</v>
      </c>
      <c r="L232" s="260">
        <f t="shared" si="20"/>
        <v>0</v>
      </c>
      <c r="M232" s="294" t="s">
        <v>632</v>
      </c>
      <c r="N232" s="255" t="s">
        <v>1874</v>
      </c>
      <c r="O232" s="255" t="s">
        <v>50</v>
      </c>
      <c r="P232" s="255" t="s">
        <v>50</v>
      </c>
      <c r="Q232" s="255" t="s">
        <v>1768</v>
      </c>
      <c r="R232" s="255" t="s">
        <v>598</v>
      </c>
      <c r="S232" s="255" t="s">
        <v>599</v>
      </c>
      <c r="T232" s="255" t="s">
        <v>599</v>
      </c>
      <c r="U232" s="256"/>
      <c r="V232" s="256"/>
      <c r="W232" s="256"/>
      <c r="X232" s="256"/>
      <c r="Y232" s="256"/>
      <c r="Z232" s="256"/>
      <c r="AA232" s="256"/>
      <c r="AB232" s="256"/>
      <c r="AC232" s="256"/>
      <c r="AD232" s="256"/>
      <c r="AE232" s="256"/>
      <c r="AF232" s="256"/>
      <c r="AG232" s="256"/>
      <c r="AH232" s="256"/>
      <c r="AI232" s="256"/>
      <c r="AJ232" s="256"/>
      <c r="AK232" s="256"/>
      <c r="AL232" s="256"/>
      <c r="AM232" s="256"/>
      <c r="AN232" s="256"/>
      <c r="AO232" s="256"/>
      <c r="AP232" s="256"/>
      <c r="AQ232" s="256"/>
      <c r="AR232" s="255" t="s">
        <v>50</v>
      </c>
      <c r="AS232" s="255" t="s">
        <v>50</v>
      </c>
      <c r="AT232" s="256"/>
      <c r="AU232" s="255" t="s">
        <v>1928</v>
      </c>
      <c r="AV232" s="256">
        <v>2294</v>
      </c>
    </row>
    <row r="233" spans="1:48" ht="29.25" customHeight="1">
      <c r="A233" s="259"/>
      <c r="B233" s="259"/>
      <c r="C233" s="259"/>
      <c r="D233" s="259"/>
      <c r="E233" s="260"/>
      <c r="F233" s="260"/>
      <c r="G233" s="260"/>
      <c r="H233" s="260"/>
      <c r="I233" s="260"/>
      <c r="J233" s="260"/>
      <c r="K233" s="260"/>
      <c r="L233" s="260"/>
      <c r="M233" s="259"/>
      <c r="Q233" s="464" t="s">
        <v>1768</v>
      </c>
    </row>
    <row r="234" spans="1:48" ht="29.25" customHeight="1">
      <c r="A234" s="259"/>
      <c r="B234" s="259"/>
      <c r="C234" s="259"/>
      <c r="D234" s="259"/>
      <c r="E234" s="260"/>
      <c r="F234" s="260"/>
      <c r="G234" s="260"/>
      <c r="H234" s="260"/>
      <c r="I234" s="260"/>
      <c r="J234" s="260"/>
      <c r="K234" s="260"/>
      <c r="L234" s="260"/>
      <c r="M234" s="259"/>
      <c r="Q234" s="464" t="s">
        <v>1768</v>
      </c>
    </row>
    <row r="235" spans="1:48" ht="29.25" customHeight="1">
      <c r="A235" s="259"/>
      <c r="B235" s="259"/>
      <c r="C235" s="259"/>
      <c r="D235" s="259"/>
      <c r="E235" s="260"/>
      <c r="F235" s="260"/>
      <c r="G235" s="260"/>
      <c r="H235" s="260"/>
      <c r="I235" s="260"/>
      <c r="J235" s="260"/>
      <c r="K235" s="260"/>
      <c r="L235" s="260"/>
      <c r="M235" s="259"/>
      <c r="Q235" s="464" t="s">
        <v>1768</v>
      </c>
    </row>
    <row r="236" spans="1:48" ht="29.25" customHeight="1">
      <c r="A236" s="259"/>
      <c r="B236" s="259"/>
      <c r="C236" s="259"/>
      <c r="D236" s="259"/>
      <c r="E236" s="260"/>
      <c r="F236" s="260"/>
      <c r="G236" s="260"/>
      <c r="H236" s="260"/>
      <c r="I236" s="260"/>
      <c r="J236" s="260"/>
      <c r="K236" s="260"/>
      <c r="L236" s="260"/>
      <c r="M236" s="259"/>
      <c r="Q236" s="464" t="s">
        <v>1768</v>
      </c>
    </row>
    <row r="237" spans="1:48" ht="29.25" customHeight="1">
      <c r="A237" s="259"/>
      <c r="B237" s="259"/>
      <c r="C237" s="259"/>
      <c r="D237" s="259"/>
      <c r="E237" s="260"/>
      <c r="F237" s="260"/>
      <c r="G237" s="260"/>
      <c r="H237" s="260"/>
      <c r="I237" s="260"/>
      <c r="J237" s="260"/>
      <c r="K237" s="260"/>
      <c r="L237" s="260"/>
      <c r="M237" s="259"/>
      <c r="Q237" s="464" t="s">
        <v>1768</v>
      </c>
    </row>
    <row r="238" spans="1:48" ht="29.25" customHeight="1">
      <c r="A238" s="259"/>
      <c r="B238" s="259"/>
      <c r="C238" s="259"/>
      <c r="D238" s="259"/>
      <c r="E238" s="260"/>
      <c r="F238" s="260"/>
      <c r="G238" s="260"/>
      <c r="H238" s="260"/>
      <c r="I238" s="260"/>
      <c r="J238" s="260"/>
      <c r="K238" s="260"/>
      <c r="L238" s="260"/>
      <c r="M238" s="259"/>
      <c r="Q238" s="464" t="s">
        <v>1768</v>
      </c>
    </row>
    <row r="239" spans="1:48" ht="29.25" customHeight="1">
      <c r="A239" s="259"/>
      <c r="B239" s="259"/>
      <c r="C239" s="259"/>
      <c r="D239" s="259"/>
      <c r="E239" s="260"/>
      <c r="F239" s="260"/>
      <c r="G239" s="260"/>
      <c r="H239" s="260"/>
      <c r="I239" s="260"/>
      <c r="J239" s="260"/>
      <c r="K239" s="260"/>
      <c r="L239" s="260"/>
      <c r="M239" s="259"/>
      <c r="Q239" s="464" t="s">
        <v>1768</v>
      </c>
    </row>
    <row r="240" spans="1:48" ht="29.25" customHeight="1">
      <c r="A240" s="259"/>
      <c r="B240" s="259"/>
      <c r="C240" s="259"/>
      <c r="D240" s="259"/>
      <c r="E240" s="260"/>
      <c r="F240" s="260"/>
      <c r="G240" s="260"/>
      <c r="H240" s="260"/>
      <c r="I240" s="260"/>
      <c r="J240" s="260"/>
      <c r="K240" s="260"/>
      <c r="L240" s="260"/>
      <c r="M240" s="259"/>
      <c r="Q240" s="464" t="s">
        <v>1768</v>
      </c>
    </row>
    <row r="241" spans="1:48" ht="29.25" customHeight="1">
      <c r="A241" s="259"/>
      <c r="B241" s="259"/>
      <c r="C241" s="259"/>
      <c r="D241" s="259"/>
      <c r="E241" s="260"/>
      <c r="F241" s="260"/>
      <c r="G241" s="260"/>
      <c r="H241" s="260"/>
      <c r="I241" s="260"/>
      <c r="J241" s="260"/>
      <c r="K241" s="260"/>
      <c r="L241" s="260"/>
      <c r="M241" s="259"/>
      <c r="Q241" s="464" t="s">
        <v>1768</v>
      </c>
    </row>
    <row r="242" spans="1:48" ht="29.25" customHeight="1">
      <c r="A242" s="259"/>
      <c r="B242" s="259"/>
      <c r="C242" s="259"/>
      <c r="D242" s="259"/>
      <c r="E242" s="260"/>
      <c r="F242" s="260"/>
      <c r="G242" s="260"/>
      <c r="H242" s="260"/>
      <c r="I242" s="260"/>
      <c r="J242" s="260"/>
      <c r="K242" s="260"/>
      <c r="L242" s="260"/>
      <c r="M242" s="259"/>
      <c r="Q242" s="464" t="s">
        <v>1768</v>
      </c>
    </row>
    <row r="243" spans="1:48" ht="29.25" customHeight="1">
      <c r="A243" s="259"/>
      <c r="B243" s="259"/>
      <c r="C243" s="259"/>
      <c r="D243" s="259"/>
      <c r="E243" s="260"/>
      <c r="F243" s="260"/>
      <c r="G243" s="260"/>
      <c r="H243" s="260"/>
      <c r="I243" s="260"/>
      <c r="J243" s="260"/>
      <c r="K243" s="260"/>
      <c r="L243" s="260"/>
      <c r="M243" s="259"/>
      <c r="Q243" s="464" t="s">
        <v>1768</v>
      </c>
    </row>
    <row r="244" spans="1:48" ht="29.25" customHeight="1">
      <c r="A244" s="259"/>
      <c r="B244" s="259"/>
      <c r="C244" s="259"/>
      <c r="D244" s="259"/>
      <c r="E244" s="260"/>
      <c r="F244" s="260"/>
      <c r="G244" s="260"/>
      <c r="H244" s="260"/>
      <c r="I244" s="260"/>
      <c r="J244" s="260"/>
      <c r="K244" s="260"/>
      <c r="L244" s="260"/>
      <c r="M244" s="259"/>
      <c r="Q244" s="464" t="s">
        <v>1768</v>
      </c>
    </row>
    <row r="245" spans="1:48" ht="29.25" customHeight="1">
      <c r="A245" s="259"/>
      <c r="B245" s="259"/>
      <c r="C245" s="259"/>
      <c r="D245" s="259"/>
      <c r="E245" s="260"/>
      <c r="F245" s="260"/>
      <c r="G245" s="260"/>
      <c r="H245" s="260"/>
      <c r="I245" s="260"/>
      <c r="J245" s="260"/>
      <c r="K245" s="260"/>
      <c r="L245" s="260"/>
      <c r="M245" s="259"/>
      <c r="Q245" s="464" t="s">
        <v>1768</v>
      </c>
    </row>
    <row r="246" spans="1:48" ht="29.25" customHeight="1">
      <c r="A246" s="259"/>
      <c r="B246" s="259"/>
      <c r="C246" s="259"/>
      <c r="D246" s="259"/>
      <c r="E246" s="260"/>
      <c r="F246" s="260"/>
      <c r="G246" s="260"/>
      <c r="H246" s="260"/>
      <c r="I246" s="260"/>
      <c r="J246" s="260"/>
      <c r="K246" s="260"/>
      <c r="L246" s="260"/>
      <c r="M246" s="259"/>
      <c r="Q246" s="464" t="s">
        <v>1768</v>
      </c>
    </row>
    <row r="247" spans="1:48" ht="29.25" customHeight="1">
      <c r="A247" s="259"/>
      <c r="B247" s="259"/>
      <c r="C247" s="259"/>
      <c r="D247" s="259"/>
      <c r="E247" s="260"/>
      <c r="F247" s="260"/>
      <c r="G247" s="260"/>
      <c r="H247" s="260"/>
      <c r="I247" s="260"/>
      <c r="J247" s="260"/>
      <c r="K247" s="260"/>
      <c r="L247" s="260"/>
      <c r="M247" s="259"/>
      <c r="Q247" s="464" t="s">
        <v>1768</v>
      </c>
    </row>
    <row r="248" spans="1:48" ht="29.25" customHeight="1">
      <c r="A248" s="259"/>
      <c r="B248" s="259"/>
      <c r="C248" s="259"/>
      <c r="D248" s="259"/>
      <c r="E248" s="260"/>
      <c r="F248" s="260"/>
      <c r="G248" s="260"/>
      <c r="H248" s="260"/>
      <c r="I248" s="260"/>
      <c r="J248" s="260"/>
      <c r="K248" s="260"/>
      <c r="L248" s="260"/>
      <c r="M248" s="259"/>
      <c r="Q248" s="464" t="s">
        <v>1768</v>
      </c>
    </row>
    <row r="249" spans="1:48" ht="29.25" customHeight="1">
      <c r="A249" s="259"/>
      <c r="B249" s="259"/>
      <c r="C249" s="259"/>
      <c r="D249" s="259"/>
      <c r="E249" s="260"/>
      <c r="F249" s="260"/>
      <c r="G249" s="260"/>
      <c r="H249" s="260"/>
      <c r="I249" s="260"/>
      <c r="J249" s="260"/>
      <c r="K249" s="260"/>
      <c r="L249" s="260"/>
      <c r="M249" s="259"/>
      <c r="Q249" s="464" t="s">
        <v>1768</v>
      </c>
    </row>
    <row r="250" spans="1:48" ht="29.25" customHeight="1">
      <c r="A250" s="259"/>
      <c r="B250" s="259"/>
      <c r="C250" s="259"/>
      <c r="D250" s="259"/>
      <c r="E250" s="260"/>
      <c r="F250" s="260"/>
      <c r="G250" s="260"/>
      <c r="H250" s="260"/>
      <c r="I250" s="260"/>
      <c r="J250" s="260"/>
      <c r="K250" s="260"/>
      <c r="L250" s="260"/>
      <c r="M250" s="259"/>
      <c r="Q250" s="464" t="s">
        <v>1768</v>
      </c>
    </row>
    <row r="251" spans="1:48" ht="29.25" customHeight="1">
      <c r="A251" s="259"/>
      <c r="B251" s="259"/>
      <c r="C251" s="259"/>
      <c r="D251" s="259"/>
      <c r="E251" s="260"/>
      <c r="F251" s="260"/>
      <c r="G251" s="260"/>
      <c r="H251" s="260"/>
      <c r="I251" s="260"/>
      <c r="J251" s="260"/>
      <c r="K251" s="260"/>
      <c r="L251" s="260"/>
      <c r="M251" s="259"/>
      <c r="Q251" s="464" t="s">
        <v>1768</v>
      </c>
    </row>
    <row r="252" spans="1:48" ht="29.25" customHeight="1">
      <c r="A252" s="259"/>
      <c r="B252" s="259"/>
      <c r="C252" s="259"/>
      <c r="D252" s="259"/>
      <c r="E252" s="260"/>
      <c r="F252" s="260"/>
      <c r="G252" s="260"/>
      <c r="H252" s="260"/>
      <c r="I252" s="260"/>
      <c r="J252" s="260"/>
      <c r="K252" s="260"/>
      <c r="L252" s="260"/>
      <c r="M252" s="259"/>
      <c r="Q252" s="464" t="s">
        <v>1768</v>
      </c>
    </row>
    <row r="253" spans="1:48" ht="29.25" customHeight="1">
      <c r="A253" s="252" t="s">
        <v>564</v>
      </c>
      <c r="B253" s="253"/>
      <c r="C253" s="253"/>
      <c r="D253" s="253"/>
      <c r="E253" s="254"/>
      <c r="F253" s="254">
        <f>SUMIF(Q230:Q252,"010106",F230:F252)</f>
        <v>0</v>
      </c>
      <c r="G253" s="254"/>
      <c r="H253" s="254">
        <f>SUMIF(Q230:Q252,"010106",H230:H252)</f>
        <v>0</v>
      </c>
      <c r="I253" s="254"/>
      <c r="J253" s="254">
        <f>SUMIF(Q230:Q252,"010106",J230:J252)</f>
        <v>0</v>
      </c>
      <c r="K253" s="254"/>
      <c r="L253" s="254">
        <f>SUMIF(Q230:Q252,"010106",L230:L252)</f>
        <v>0</v>
      </c>
      <c r="M253" s="253"/>
      <c r="N253" t="s">
        <v>617</v>
      </c>
    </row>
    <row r="254" spans="1:48" ht="29.25" customHeight="1">
      <c r="A254" s="294" t="s">
        <v>1769</v>
      </c>
      <c r="B254" s="294" t="s">
        <v>1902</v>
      </c>
      <c r="C254" s="259"/>
      <c r="D254" s="259"/>
      <c r="E254" s="260"/>
      <c r="F254" s="260"/>
      <c r="G254" s="260"/>
      <c r="H254" s="260"/>
      <c r="I254" s="260"/>
      <c r="J254" s="260"/>
      <c r="K254" s="260"/>
      <c r="L254" s="260"/>
      <c r="M254" s="259"/>
      <c r="N254" s="256"/>
      <c r="O254" s="256"/>
      <c r="P254" s="256"/>
      <c r="Q254" s="255" t="s">
        <v>1770</v>
      </c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256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</row>
    <row r="255" spans="1:48" ht="29.25" customHeight="1">
      <c r="A255" s="294" t="s">
        <v>730</v>
      </c>
      <c r="B255" s="294" t="s">
        <v>50</v>
      </c>
      <c r="C255" s="294" t="s">
        <v>50</v>
      </c>
      <c r="D255" s="259"/>
      <c r="E255" s="260">
        <v>0</v>
      </c>
      <c r="F255" s="260">
        <f t="shared" ref="F255:F263" si="21">TRUNC(E255*D255, 0)</f>
        <v>0</v>
      </c>
      <c r="G255" s="260">
        <v>0</v>
      </c>
      <c r="H255" s="260">
        <f t="shared" ref="H255:H263" si="22">TRUNC(G255*D255, 0)</f>
        <v>0</v>
      </c>
      <c r="I255" s="260">
        <v>0</v>
      </c>
      <c r="J255" s="260">
        <f t="shared" ref="J255:J263" si="23">TRUNC(I255*D255, 0)</f>
        <v>0</v>
      </c>
      <c r="K255" s="260">
        <f t="shared" ref="K255:L263" si="24">TRUNC(E255+G255+I255, 0)</f>
        <v>0</v>
      </c>
      <c r="L255" s="260">
        <f t="shared" si="24"/>
        <v>0</v>
      </c>
      <c r="M255" s="294" t="s">
        <v>50</v>
      </c>
      <c r="N255" s="255" t="s">
        <v>50</v>
      </c>
      <c r="O255" s="255" t="s">
        <v>50</v>
      </c>
      <c r="P255" s="255" t="s">
        <v>50</v>
      </c>
      <c r="Q255" s="255" t="s">
        <v>1770</v>
      </c>
      <c r="R255" s="255" t="s">
        <v>599</v>
      </c>
      <c r="S255" s="255" t="s">
        <v>599</v>
      </c>
      <c r="T255" s="255" t="s">
        <v>599</v>
      </c>
      <c r="U255" s="256"/>
      <c r="V255" s="256"/>
      <c r="W255" s="256"/>
      <c r="X255" s="256"/>
      <c r="Y255" s="256"/>
      <c r="Z255" s="256"/>
      <c r="AA255" s="256"/>
      <c r="AB255" s="256"/>
      <c r="AC255" s="256"/>
      <c r="AD255" s="256"/>
      <c r="AE255" s="256"/>
      <c r="AF255" s="256"/>
      <c r="AG255" s="256"/>
      <c r="AH255" s="256"/>
      <c r="AI255" s="256"/>
      <c r="AJ255" s="256"/>
      <c r="AK255" s="256"/>
      <c r="AL255" s="256"/>
      <c r="AM255" s="256"/>
      <c r="AN255" s="256"/>
      <c r="AO255" s="256"/>
      <c r="AP255" s="256"/>
      <c r="AQ255" s="256"/>
      <c r="AR255" s="255" t="s">
        <v>50</v>
      </c>
      <c r="AS255" s="255" t="s">
        <v>50</v>
      </c>
      <c r="AT255" s="256"/>
      <c r="AU255" s="255" t="s">
        <v>1770</v>
      </c>
      <c r="AV255" s="256">
        <v>2334</v>
      </c>
    </row>
    <row r="256" spans="1:48" ht="29.25" customHeight="1">
      <c r="A256" s="294" t="s">
        <v>731</v>
      </c>
      <c r="B256" s="294" t="s">
        <v>732</v>
      </c>
      <c r="C256" s="294" t="s">
        <v>723</v>
      </c>
      <c r="D256" s="259">
        <v>5302</v>
      </c>
      <c r="E256" s="260">
        <f>TRUNC(단가대비표!O41,0)</f>
        <v>0</v>
      </c>
      <c r="F256" s="260">
        <f t="shared" si="21"/>
        <v>0</v>
      </c>
      <c r="G256" s="260">
        <f>TRUNC(단가대비표!P41,0)</f>
        <v>0</v>
      </c>
      <c r="H256" s="260">
        <f t="shared" si="22"/>
        <v>0</v>
      </c>
      <c r="I256" s="260">
        <f>TRUNC(단가대비표!V41,0)</f>
        <v>0</v>
      </c>
      <c r="J256" s="260">
        <f t="shared" si="23"/>
        <v>0</v>
      </c>
      <c r="K256" s="260">
        <f t="shared" si="24"/>
        <v>0</v>
      </c>
      <c r="L256" s="260">
        <f t="shared" si="24"/>
        <v>0</v>
      </c>
      <c r="M256" s="294" t="s">
        <v>733</v>
      </c>
      <c r="N256" s="255" t="s">
        <v>1888</v>
      </c>
      <c r="O256" s="255" t="s">
        <v>50</v>
      </c>
      <c r="P256" s="255" t="s">
        <v>50</v>
      </c>
      <c r="Q256" s="255" t="s">
        <v>1770</v>
      </c>
      <c r="R256" s="255" t="s">
        <v>599</v>
      </c>
      <c r="S256" s="255" t="s">
        <v>599</v>
      </c>
      <c r="T256" s="255" t="s">
        <v>598</v>
      </c>
      <c r="U256" s="256"/>
      <c r="V256" s="256"/>
      <c r="W256" s="256"/>
      <c r="X256" s="256">
        <v>1</v>
      </c>
      <c r="Y256" s="256"/>
      <c r="Z256" s="256"/>
      <c r="AA256" s="256"/>
      <c r="AB256" s="256"/>
      <c r="AC256" s="256"/>
      <c r="AD256" s="256"/>
      <c r="AE256" s="256"/>
      <c r="AF256" s="256"/>
      <c r="AG256" s="256"/>
      <c r="AH256" s="256"/>
      <c r="AI256" s="256"/>
      <c r="AJ256" s="256"/>
      <c r="AK256" s="256"/>
      <c r="AL256" s="256"/>
      <c r="AM256" s="256"/>
      <c r="AN256" s="256"/>
      <c r="AO256" s="256"/>
      <c r="AP256" s="256"/>
      <c r="AQ256" s="256"/>
      <c r="AR256" s="255" t="s">
        <v>50</v>
      </c>
      <c r="AS256" s="255" t="s">
        <v>50</v>
      </c>
      <c r="AT256" s="256"/>
      <c r="AU256" s="255" t="s">
        <v>1929</v>
      </c>
      <c r="AV256" s="256">
        <v>2335</v>
      </c>
    </row>
    <row r="257" spans="1:48" ht="29.25" customHeight="1">
      <c r="A257" s="294" t="s">
        <v>736</v>
      </c>
      <c r="B257" s="294" t="s">
        <v>737</v>
      </c>
      <c r="C257" s="294" t="s">
        <v>650</v>
      </c>
      <c r="D257" s="259">
        <v>14</v>
      </c>
      <c r="E257" s="260">
        <f>TRUNC(단가대비표!O40,0)</f>
        <v>0</v>
      </c>
      <c r="F257" s="260">
        <f t="shared" si="21"/>
        <v>0</v>
      </c>
      <c r="G257" s="260">
        <f>TRUNC(단가대비표!P40,0)</f>
        <v>0</v>
      </c>
      <c r="H257" s="260">
        <f t="shared" si="22"/>
        <v>0</v>
      </c>
      <c r="I257" s="260">
        <f>TRUNC(단가대비표!V40,0)</f>
        <v>0</v>
      </c>
      <c r="J257" s="260">
        <f t="shared" si="23"/>
        <v>0</v>
      </c>
      <c r="K257" s="260">
        <f t="shared" si="24"/>
        <v>0</v>
      </c>
      <c r="L257" s="260">
        <f t="shared" si="24"/>
        <v>0</v>
      </c>
      <c r="M257" s="294" t="s">
        <v>1538</v>
      </c>
      <c r="N257" s="255" t="s">
        <v>1890</v>
      </c>
      <c r="O257" s="255" t="s">
        <v>50</v>
      </c>
      <c r="P257" s="255" t="s">
        <v>50</v>
      </c>
      <c r="Q257" s="255" t="s">
        <v>1770</v>
      </c>
      <c r="R257" s="255" t="s">
        <v>599</v>
      </c>
      <c r="S257" s="255" t="s">
        <v>599</v>
      </c>
      <c r="T257" s="255" t="s">
        <v>598</v>
      </c>
      <c r="U257" s="256"/>
      <c r="V257" s="256"/>
      <c r="W257" s="256"/>
      <c r="X257" s="256">
        <v>1</v>
      </c>
      <c r="Y257" s="256"/>
      <c r="Z257" s="256"/>
      <c r="AA257" s="256"/>
      <c r="AB257" s="256"/>
      <c r="AC257" s="256"/>
      <c r="AD257" s="256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5" t="s">
        <v>50</v>
      </c>
      <c r="AS257" s="255" t="s">
        <v>50</v>
      </c>
      <c r="AT257" s="256"/>
      <c r="AU257" s="255" t="s">
        <v>1930</v>
      </c>
      <c r="AV257" s="256">
        <v>2336</v>
      </c>
    </row>
    <row r="258" spans="1:48" ht="29.25" customHeight="1">
      <c r="A258" s="294" t="s">
        <v>738</v>
      </c>
      <c r="B258" s="294" t="s">
        <v>643</v>
      </c>
      <c r="C258" s="294" t="s">
        <v>644</v>
      </c>
      <c r="D258" s="259">
        <v>3</v>
      </c>
      <c r="E258" s="260">
        <f>TRUNC(단가대비표!O62,0)</f>
        <v>0</v>
      </c>
      <c r="F258" s="260">
        <f t="shared" si="21"/>
        <v>0</v>
      </c>
      <c r="G258" s="260">
        <f>TRUNC(단가대비표!P62,0)</f>
        <v>0</v>
      </c>
      <c r="H258" s="260">
        <f t="shared" si="22"/>
        <v>0</v>
      </c>
      <c r="I258" s="260">
        <f>TRUNC(단가대비표!V62,0)</f>
        <v>0</v>
      </c>
      <c r="J258" s="260">
        <f t="shared" si="23"/>
        <v>0</v>
      </c>
      <c r="K258" s="260">
        <f t="shared" si="24"/>
        <v>0</v>
      </c>
      <c r="L258" s="260">
        <f t="shared" si="24"/>
        <v>0</v>
      </c>
      <c r="M258" s="294" t="s">
        <v>50</v>
      </c>
      <c r="N258" s="255" t="s">
        <v>1892</v>
      </c>
      <c r="O258" s="255" t="s">
        <v>50</v>
      </c>
      <c r="P258" s="255" t="s">
        <v>50</v>
      </c>
      <c r="Q258" s="255" t="s">
        <v>1770</v>
      </c>
      <c r="R258" s="255" t="s">
        <v>599</v>
      </c>
      <c r="S258" s="255" t="s">
        <v>599</v>
      </c>
      <c r="T258" s="255" t="s">
        <v>598</v>
      </c>
      <c r="U258" s="256"/>
      <c r="V258" s="256"/>
      <c r="W258" s="256"/>
      <c r="X258" s="256">
        <v>1</v>
      </c>
      <c r="Y258" s="256"/>
      <c r="Z258" s="256"/>
      <c r="AA258" s="256"/>
      <c r="AB258" s="256"/>
      <c r="AC258" s="256"/>
      <c r="AD258" s="256"/>
      <c r="AE258" s="256"/>
      <c r="AF258" s="256"/>
      <c r="AG258" s="256"/>
      <c r="AH258" s="256"/>
      <c r="AI258" s="256"/>
      <c r="AJ258" s="256"/>
      <c r="AK258" s="256"/>
      <c r="AL258" s="256"/>
      <c r="AM258" s="256"/>
      <c r="AN258" s="256"/>
      <c r="AO258" s="256"/>
      <c r="AP258" s="256"/>
      <c r="AQ258" s="256"/>
      <c r="AR258" s="255" t="s">
        <v>50</v>
      </c>
      <c r="AS258" s="255" t="s">
        <v>50</v>
      </c>
      <c r="AT258" s="256"/>
      <c r="AU258" s="255" t="s">
        <v>1931</v>
      </c>
      <c r="AV258" s="256">
        <v>2338</v>
      </c>
    </row>
    <row r="259" spans="1:48" ht="29.25" customHeight="1">
      <c r="A259" s="294" t="s">
        <v>738</v>
      </c>
      <c r="B259" s="294" t="s">
        <v>646</v>
      </c>
      <c r="C259" s="294" t="s">
        <v>644</v>
      </c>
      <c r="D259" s="259">
        <v>3</v>
      </c>
      <c r="E259" s="260">
        <f>TRUNC(단가대비표!O63,0)</f>
        <v>0</v>
      </c>
      <c r="F259" s="260">
        <f t="shared" si="21"/>
        <v>0</v>
      </c>
      <c r="G259" s="260">
        <f>TRUNC(단가대비표!P63,0)</f>
        <v>0</v>
      </c>
      <c r="H259" s="260">
        <f t="shared" si="22"/>
        <v>0</v>
      </c>
      <c r="I259" s="260">
        <f>TRUNC(단가대비표!V63,0)</f>
        <v>0</v>
      </c>
      <c r="J259" s="260">
        <f t="shared" si="23"/>
        <v>0</v>
      </c>
      <c r="K259" s="260">
        <f t="shared" si="24"/>
        <v>0</v>
      </c>
      <c r="L259" s="260">
        <f t="shared" si="24"/>
        <v>0</v>
      </c>
      <c r="M259" s="294" t="s">
        <v>50</v>
      </c>
      <c r="N259" s="255" t="s">
        <v>1894</v>
      </c>
      <c r="O259" s="255" t="s">
        <v>50</v>
      </c>
      <c r="P259" s="255" t="s">
        <v>50</v>
      </c>
      <c r="Q259" s="255" t="s">
        <v>1770</v>
      </c>
      <c r="R259" s="255" t="s">
        <v>599</v>
      </c>
      <c r="S259" s="255" t="s">
        <v>599</v>
      </c>
      <c r="T259" s="255" t="s">
        <v>598</v>
      </c>
      <c r="U259" s="256"/>
      <c r="V259" s="256"/>
      <c r="W259" s="256"/>
      <c r="X259" s="256">
        <v>1</v>
      </c>
      <c r="Y259" s="256"/>
      <c r="Z259" s="256"/>
      <c r="AA259" s="256"/>
      <c r="AB259" s="256"/>
      <c r="AC259" s="256"/>
      <c r="AD259" s="256"/>
      <c r="AE259" s="256"/>
      <c r="AF259" s="256"/>
      <c r="AG259" s="256"/>
      <c r="AH259" s="256"/>
      <c r="AI259" s="256"/>
      <c r="AJ259" s="256"/>
      <c r="AK259" s="256"/>
      <c r="AL259" s="256"/>
      <c r="AM259" s="256"/>
      <c r="AN259" s="256"/>
      <c r="AO259" s="256"/>
      <c r="AP259" s="256"/>
      <c r="AQ259" s="256"/>
      <c r="AR259" s="255" t="s">
        <v>50</v>
      </c>
      <c r="AS259" s="255" t="s">
        <v>50</v>
      </c>
      <c r="AT259" s="256"/>
      <c r="AU259" s="255" t="s">
        <v>1932</v>
      </c>
      <c r="AV259" s="256">
        <v>2343</v>
      </c>
    </row>
    <row r="260" spans="1:48" ht="29.25" customHeight="1">
      <c r="A260" s="294" t="s">
        <v>738</v>
      </c>
      <c r="B260" s="294" t="s">
        <v>647</v>
      </c>
      <c r="C260" s="294" t="s">
        <v>644</v>
      </c>
      <c r="D260" s="259">
        <v>19</v>
      </c>
      <c r="E260" s="260">
        <f>TRUNC(단가대비표!O64,0)</f>
        <v>0</v>
      </c>
      <c r="F260" s="260">
        <f t="shared" si="21"/>
        <v>0</v>
      </c>
      <c r="G260" s="260">
        <f>TRUNC(단가대비표!P64,0)</f>
        <v>0</v>
      </c>
      <c r="H260" s="260">
        <f t="shared" si="22"/>
        <v>0</v>
      </c>
      <c r="I260" s="260">
        <f>TRUNC(단가대비표!V64,0)</f>
        <v>0</v>
      </c>
      <c r="J260" s="260">
        <f t="shared" si="23"/>
        <v>0</v>
      </c>
      <c r="K260" s="260">
        <f t="shared" si="24"/>
        <v>0</v>
      </c>
      <c r="L260" s="260">
        <f t="shared" si="24"/>
        <v>0</v>
      </c>
      <c r="M260" s="294" t="s">
        <v>50</v>
      </c>
      <c r="N260" s="255" t="s">
        <v>1933</v>
      </c>
      <c r="O260" s="255" t="s">
        <v>50</v>
      </c>
      <c r="P260" s="255" t="s">
        <v>50</v>
      </c>
      <c r="Q260" s="255" t="s">
        <v>1770</v>
      </c>
      <c r="R260" s="255" t="s">
        <v>599</v>
      </c>
      <c r="S260" s="255" t="s">
        <v>599</v>
      </c>
      <c r="T260" s="255" t="s">
        <v>598</v>
      </c>
      <c r="U260" s="256"/>
      <c r="V260" s="256"/>
      <c r="W260" s="256"/>
      <c r="X260" s="256">
        <v>1</v>
      </c>
      <c r="Y260" s="256"/>
      <c r="Z260" s="256"/>
      <c r="AA260" s="256"/>
      <c r="AB260" s="256"/>
      <c r="AC260" s="256"/>
      <c r="AD260" s="256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5" t="s">
        <v>50</v>
      </c>
      <c r="AS260" s="255" t="s">
        <v>50</v>
      </c>
      <c r="AT260" s="256"/>
      <c r="AU260" s="255" t="s">
        <v>1934</v>
      </c>
      <c r="AV260" s="256">
        <v>2344</v>
      </c>
    </row>
    <row r="261" spans="1:48" ht="29.25" customHeight="1">
      <c r="A261" s="294" t="s">
        <v>738</v>
      </c>
      <c r="B261" s="294" t="s">
        <v>1508</v>
      </c>
      <c r="C261" s="294" t="s">
        <v>644</v>
      </c>
      <c r="D261" s="259">
        <v>19</v>
      </c>
      <c r="E261" s="260">
        <f>TRUNC(단가대비표!O65,0)</f>
        <v>0</v>
      </c>
      <c r="F261" s="260">
        <f t="shared" si="21"/>
        <v>0</v>
      </c>
      <c r="G261" s="260">
        <f>TRUNC(단가대비표!P65,0)</f>
        <v>0</v>
      </c>
      <c r="H261" s="260">
        <f t="shared" si="22"/>
        <v>0</v>
      </c>
      <c r="I261" s="260">
        <f>TRUNC(단가대비표!V65,0)</f>
        <v>0</v>
      </c>
      <c r="J261" s="260">
        <f t="shared" si="23"/>
        <v>0</v>
      </c>
      <c r="K261" s="260">
        <f t="shared" si="24"/>
        <v>0</v>
      </c>
      <c r="L261" s="260">
        <f t="shared" si="24"/>
        <v>0</v>
      </c>
      <c r="M261" s="294" t="s">
        <v>50</v>
      </c>
      <c r="N261" s="255" t="s">
        <v>1935</v>
      </c>
      <c r="O261" s="255" t="s">
        <v>50</v>
      </c>
      <c r="P261" s="255" t="s">
        <v>50</v>
      </c>
      <c r="Q261" s="255" t="s">
        <v>1770</v>
      </c>
      <c r="R261" s="255" t="s">
        <v>599</v>
      </c>
      <c r="S261" s="255" t="s">
        <v>599</v>
      </c>
      <c r="T261" s="255" t="s">
        <v>598</v>
      </c>
      <c r="U261" s="256"/>
      <c r="V261" s="256"/>
      <c r="W261" s="256"/>
      <c r="X261" s="256">
        <v>1</v>
      </c>
      <c r="Y261" s="256"/>
      <c r="Z261" s="256"/>
      <c r="AA261" s="256"/>
      <c r="AB261" s="256"/>
      <c r="AC261" s="256"/>
      <c r="AD261" s="256"/>
      <c r="AE261" s="256"/>
      <c r="AF261" s="256"/>
      <c r="AG261" s="256"/>
      <c r="AH261" s="256"/>
      <c r="AI261" s="256"/>
      <c r="AJ261" s="256"/>
      <c r="AK261" s="256"/>
      <c r="AL261" s="256"/>
      <c r="AM261" s="256"/>
      <c r="AN261" s="256"/>
      <c r="AO261" s="256"/>
      <c r="AP261" s="256"/>
      <c r="AQ261" s="256"/>
      <c r="AR261" s="255" t="s">
        <v>50</v>
      </c>
      <c r="AS261" s="255" t="s">
        <v>50</v>
      </c>
      <c r="AT261" s="256"/>
      <c r="AU261" s="255" t="s">
        <v>1936</v>
      </c>
      <c r="AV261" s="256">
        <v>2351</v>
      </c>
    </row>
    <row r="262" spans="1:48" ht="29.25" customHeight="1">
      <c r="A262" s="294" t="s">
        <v>738</v>
      </c>
      <c r="B262" s="294" t="s">
        <v>1506</v>
      </c>
      <c r="C262" s="294" t="s">
        <v>644</v>
      </c>
      <c r="D262" s="259">
        <v>135</v>
      </c>
      <c r="E262" s="260">
        <f>TRUNC(단가대비표!O67,0)</f>
        <v>0</v>
      </c>
      <c r="F262" s="260">
        <f t="shared" si="21"/>
        <v>0</v>
      </c>
      <c r="G262" s="260">
        <f>TRUNC(단가대비표!P67,0)</f>
        <v>0</v>
      </c>
      <c r="H262" s="260">
        <f t="shared" si="22"/>
        <v>0</v>
      </c>
      <c r="I262" s="260">
        <f>TRUNC(단가대비표!V67,0)</f>
        <v>0</v>
      </c>
      <c r="J262" s="260">
        <f t="shared" si="23"/>
        <v>0</v>
      </c>
      <c r="K262" s="260">
        <f t="shared" si="24"/>
        <v>0</v>
      </c>
      <c r="L262" s="260">
        <f t="shared" si="24"/>
        <v>0</v>
      </c>
      <c r="M262" s="294" t="s">
        <v>50</v>
      </c>
      <c r="N262" s="255" t="s">
        <v>1898</v>
      </c>
      <c r="O262" s="255" t="s">
        <v>50</v>
      </c>
      <c r="P262" s="255" t="s">
        <v>50</v>
      </c>
      <c r="Q262" s="255" t="s">
        <v>1770</v>
      </c>
      <c r="R262" s="255" t="s">
        <v>599</v>
      </c>
      <c r="S262" s="255" t="s">
        <v>599</v>
      </c>
      <c r="T262" s="255" t="s">
        <v>598</v>
      </c>
      <c r="U262" s="256"/>
      <c r="V262" s="256"/>
      <c r="W262" s="256"/>
      <c r="X262" s="256">
        <v>1</v>
      </c>
      <c r="Y262" s="256"/>
      <c r="Z262" s="256"/>
      <c r="AA262" s="256"/>
      <c r="AB262" s="256"/>
      <c r="AC262" s="256"/>
      <c r="AD262" s="256"/>
      <c r="AE262" s="256"/>
      <c r="AF262" s="256"/>
      <c r="AG262" s="256"/>
      <c r="AH262" s="256"/>
      <c r="AI262" s="256"/>
      <c r="AJ262" s="256"/>
      <c r="AK262" s="256"/>
      <c r="AL262" s="256"/>
      <c r="AM262" s="256"/>
      <c r="AN262" s="256"/>
      <c r="AO262" s="256"/>
      <c r="AP262" s="256"/>
      <c r="AQ262" s="256"/>
      <c r="AR262" s="255" t="s">
        <v>50</v>
      </c>
      <c r="AS262" s="255" t="s">
        <v>50</v>
      </c>
      <c r="AT262" s="256"/>
      <c r="AU262" s="255" t="s">
        <v>1937</v>
      </c>
      <c r="AV262" s="256">
        <v>2342</v>
      </c>
    </row>
    <row r="263" spans="1:48" ht="29.25" customHeight="1">
      <c r="A263" s="294" t="s">
        <v>734</v>
      </c>
      <c r="B263" s="294" t="s">
        <v>735</v>
      </c>
      <c r="C263" s="294" t="s">
        <v>146</v>
      </c>
      <c r="D263" s="259">
        <v>1</v>
      </c>
      <c r="E263" s="260">
        <v>0</v>
      </c>
      <c r="F263" s="260">
        <f t="shared" si="21"/>
        <v>0</v>
      </c>
      <c r="G263" s="260">
        <v>0</v>
      </c>
      <c r="H263" s="260">
        <f t="shared" si="22"/>
        <v>0</v>
      </c>
      <c r="I263" s="260">
        <f>ROUNDDOWN(SUMIF(X255:X263, RIGHTB(N263, 1), F255:F263)*W263, 0)</f>
        <v>0</v>
      </c>
      <c r="J263" s="260">
        <f t="shared" si="23"/>
        <v>0</v>
      </c>
      <c r="K263" s="260">
        <f t="shared" si="24"/>
        <v>0</v>
      </c>
      <c r="L263" s="260">
        <f t="shared" si="24"/>
        <v>0</v>
      </c>
      <c r="M263" s="294" t="s">
        <v>50</v>
      </c>
      <c r="N263" s="255" t="s">
        <v>1900</v>
      </c>
      <c r="O263" s="255" t="s">
        <v>50</v>
      </c>
      <c r="P263" s="255" t="s">
        <v>50</v>
      </c>
      <c r="Q263" s="255" t="s">
        <v>1770</v>
      </c>
      <c r="R263" s="255" t="s">
        <v>599</v>
      </c>
      <c r="S263" s="255" t="s">
        <v>599</v>
      </c>
      <c r="T263" s="255" t="s">
        <v>599</v>
      </c>
      <c r="U263" s="256">
        <v>0</v>
      </c>
      <c r="V263" s="256">
        <v>2</v>
      </c>
      <c r="W263" s="256">
        <v>5.4000000000000003E-3</v>
      </c>
      <c r="X263" s="256"/>
      <c r="Y263" s="256"/>
      <c r="Z263" s="256"/>
      <c r="AA263" s="256"/>
      <c r="AB263" s="256"/>
      <c r="AC263" s="256"/>
      <c r="AD263" s="256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5" t="s">
        <v>50</v>
      </c>
      <c r="AS263" s="255" t="s">
        <v>50</v>
      </c>
      <c r="AT263" s="256"/>
      <c r="AU263" s="255" t="s">
        <v>1938</v>
      </c>
      <c r="AV263" s="256">
        <v>2352</v>
      </c>
    </row>
    <row r="264" spans="1:48" ht="29.25" customHeight="1">
      <c r="A264" s="259"/>
      <c r="B264" s="259"/>
      <c r="C264" s="259"/>
      <c r="D264" s="259"/>
      <c r="E264" s="260"/>
      <c r="F264" s="260"/>
      <c r="G264" s="260"/>
      <c r="H264" s="260"/>
      <c r="I264" s="260"/>
      <c r="J264" s="260"/>
      <c r="K264" s="260"/>
      <c r="L264" s="260"/>
      <c r="M264" s="259"/>
      <c r="Q264" s="464" t="s">
        <v>1770</v>
      </c>
    </row>
    <row r="265" spans="1:48" ht="29.25" customHeight="1">
      <c r="A265" s="259"/>
      <c r="B265" s="259"/>
      <c r="C265" s="259"/>
      <c r="D265" s="259"/>
      <c r="E265" s="260"/>
      <c r="F265" s="260"/>
      <c r="G265" s="260"/>
      <c r="H265" s="260"/>
      <c r="I265" s="260"/>
      <c r="J265" s="260"/>
      <c r="K265" s="260"/>
      <c r="L265" s="260"/>
      <c r="M265" s="259"/>
      <c r="Q265" s="464" t="s">
        <v>1770</v>
      </c>
    </row>
    <row r="266" spans="1:48" ht="29.25" customHeight="1">
      <c r="A266" s="259"/>
      <c r="B266" s="259"/>
      <c r="C266" s="259"/>
      <c r="D266" s="259"/>
      <c r="E266" s="260"/>
      <c r="F266" s="260"/>
      <c r="G266" s="260"/>
      <c r="H266" s="260"/>
      <c r="I266" s="260"/>
      <c r="J266" s="260"/>
      <c r="K266" s="260"/>
      <c r="L266" s="260"/>
      <c r="M266" s="259"/>
      <c r="Q266" s="464" t="s">
        <v>1770</v>
      </c>
    </row>
    <row r="267" spans="1:48" ht="29.25" customHeight="1">
      <c r="A267" s="259"/>
      <c r="B267" s="259"/>
      <c r="C267" s="259"/>
      <c r="D267" s="259"/>
      <c r="E267" s="260"/>
      <c r="F267" s="260"/>
      <c r="G267" s="260"/>
      <c r="H267" s="260"/>
      <c r="I267" s="260"/>
      <c r="J267" s="260"/>
      <c r="K267" s="260"/>
      <c r="L267" s="260"/>
      <c r="M267" s="259"/>
      <c r="Q267" s="464" t="s">
        <v>1770</v>
      </c>
    </row>
    <row r="268" spans="1:48" ht="29.25" customHeight="1">
      <c r="A268" s="259"/>
      <c r="B268" s="259"/>
      <c r="C268" s="259"/>
      <c r="D268" s="259"/>
      <c r="E268" s="260"/>
      <c r="F268" s="260"/>
      <c r="G268" s="260"/>
      <c r="H268" s="260"/>
      <c r="I268" s="260"/>
      <c r="J268" s="260"/>
      <c r="K268" s="260"/>
      <c r="L268" s="260"/>
      <c r="M268" s="259"/>
      <c r="Q268" s="464" t="s">
        <v>1770</v>
      </c>
    </row>
    <row r="269" spans="1:48" ht="29.25" customHeight="1">
      <c r="A269" s="259"/>
      <c r="B269" s="259"/>
      <c r="C269" s="259"/>
      <c r="D269" s="259"/>
      <c r="E269" s="260"/>
      <c r="F269" s="260"/>
      <c r="G269" s="260"/>
      <c r="H269" s="260"/>
      <c r="I269" s="260"/>
      <c r="J269" s="260"/>
      <c r="K269" s="260"/>
      <c r="L269" s="260"/>
      <c r="M269" s="259"/>
      <c r="Q269" s="464" t="s">
        <v>1770</v>
      </c>
    </row>
    <row r="270" spans="1:48" ht="29.25" customHeight="1">
      <c r="A270" s="259"/>
      <c r="B270" s="259"/>
      <c r="C270" s="259"/>
      <c r="D270" s="259"/>
      <c r="E270" s="260"/>
      <c r="F270" s="260"/>
      <c r="G270" s="260"/>
      <c r="H270" s="260"/>
      <c r="I270" s="260"/>
      <c r="J270" s="260"/>
      <c r="K270" s="260"/>
      <c r="L270" s="260"/>
      <c r="M270" s="259"/>
      <c r="Q270" s="464" t="s">
        <v>1770</v>
      </c>
    </row>
    <row r="271" spans="1:48" ht="29.25" customHeight="1">
      <c r="A271" s="259"/>
      <c r="B271" s="259"/>
      <c r="C271" s="259"/>
      <c r="D271" s="259"/>
      <c r="E271" s="260"/>
      <c r="F271" s="260"/>
      <c r="G271" s="260"/>
      <c r="H271" s="260"/>
      <c r="I271" s="260"/>
      <c r="J271" s="260"/>
      <c r="K271" s="260"/>
      <c r="L271" s="260"/>
      <c r="M271" s="259"/>
      <c r="Q271" s="464" t="s">
        <v>1770</v>
      </c>
    </row>
    <row r="272" spans="1:48" ht="29.25" customHeight="1">
      <c r="A272" s="259"/>
      <c r="B272" s="259"/>
      <c r="C272" s="259"/>
      <c r="D272" s="259"/>
      <c r="E272" s="260"/>
      <c r="F272" s="260"/>
      <c r="G272" s="260"/>
      <c r="H272" s="260"/>
      <c r="I272" s="260"/>
      <c r="J272" s="260"/>
      <c r="K272" s="260"/>
      <c r="L272" s="260"/>
      <c r="M272" s="259"/>
      <c r="Q272" s="464" t="s">
        <v>1770</v>
      </c>
    </row>
    <row r="273" spans="1:17" ht="29.25" customHeight="1">
      <c r="A273" s="259"/>
      <c r="B273" s="259"/>
      <c r="C273" s="259"/>
      <c r="D273" s="259"/>
      <c r="E273" s="260"/>
      <c r="F273" s="260"/>
      <c r="G273" s="260"/>
      <c r="H273" s="260"/>
      <c r="I273" s="260"/>
      <c r="J273" s="260"/>
      <c r="K273" s="260"/>
      <c r="L273" s="260"/>
      <c r="M273" s="259"/>
      <c r="Q273" s="464" t="s">
        <v>1770</v>
      </c>
    </row>
    <row r="274" spans="1:17" ht="29.25" customHeight="1">
      <c r="A274" s="259"/>
      <c r="B274" s="259"/>
      <c r="C274" s="259"/>
      <c r="D274" s="259"/>
      <c r="E274" s="260"/>
      <c r="F274" s="260"/>
      <c r="G274" s="260"/>
      <c r="H274" s="260"/>
      <c r="I274" s="260"/>
      <c r="J274" s="260"/>
      <c r="K274" s="260"/>
      <c r="L274" s="260"/>
      <c r="M274" s="259"/>
      <c r="Q274" s="464" t="s">
        <v>1770</v>
      </c>
    </row>
    <row r="275" spans="1:17" ht="29.25" customHeight="1">
      <c r="A275" s="259"/>
      <c r="B275" s="259"/>
      <c r="C275" s="259"/>
      <c r="D275" s="259"/>
      <c r="E275" s="260"/>
      <c r="F275" s="260"/>
      <c r="G275" s="260"/>
      <c r="H275" s="260"/>
      <c r="I275" s="260"/>
      <c r="J275" s="260"/>
      <c r="K275" s="260"/>
      <c r="L275" s="260"/>
      <c r="M275" s="259"/>
      <c r="Q275" s="464" t="s">
        <v>1770</v>
      </c>
    </row>
    <row r="276" spans="1:17" ht="29.25" customHeight="1">
      <c r="A276" s="259"/>
      <c r="B276" s="259"/>
      <c r="C276" s="259"/>
      <c r="D276" s="259"/>
      <c r="E276" s="260"/>
      <c r="F276" s="260"/>
      <c r="G276" s="260"/>
      <c r="H276" s="260"/>
      <c r="I276" s="260"/>
      <c r="J276" s="260"/>
      <c r="K276" s="260"/>
      <c r="L276" s="260"/>
      <c r="M276" s="259"/>
      <c r="Q276" s="464" t="s">
        <v>1770</v>
      </c>
    </row>
    <row r="277" spans="1:17" ht="29.25" customHeight="1">
      <c r="A277" s="259"/>
      <c r="B277" s="259"/>
      <c r="C277" s="259"/>
      <c r="D277" s="259"/>
      <c r="E277" s="260"/>
      <c r="F277" s="260"/>
      <c r="G277" s="260"/>
      <c r="H277" s="260"/>
      <c r="I277" s="260"/>
      <c r="J277" s="260"/>
      <c r="K277" s="260"/>
      <c r="L277" s="260"/>
      <c r="M277" s="259"/>
      <c r="Q277" s="464" t="s">
        <v>1770</v>
      </c>
    </row>
    <row r="278" spans="1:17" ht="29.25" customHeight="1">
      <c r="A278" s="252" t="s">
        <v>564</v>
      </c>
      <c r="B278" s="253"/>
      <c r="C278" s="253"/>
      <c r="D278" s="253"/>
      <c r="E278" s="254"/>
      <c r="F278" s="254">
        <f>SUMIF(Q255:Q277,"010107",F255:F277)</f>
        <v>0</v>
      </c>
      <c r="G278" s="254"/>
      <c r="H278" s="254">
        <f>SUMIF(Q255:Q277,"010107",H255:H277)</f>
        <v>0</v>
      </c>
      <c r="I278" s="254"/>
      <c r="J278" s="254">
        <f>SUMIF(Q255:Q277,"010107",J255:J277)</f>
        <v>0</v>
      </c>
      <c r="K278" s="254"/>
      <c r="L278" s="254">
        <f>SUMIF(Q255:Q277,"010107",L255:L277)</f>
        <v>0</v>
      </c>
      <c r="M278" s="253"/>
      <c r="N278" t="s">
        <v>617</v>
      </c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3" type="noConversion"/>
  <pageMargins left="0.59055118110236215" right="0.39370078740157483" top="0.39370078740157483" bottom="0.39370078740157483" header="0.19685039370078741" footer="0.19685039370078741"/>
  <pageSetup paperSize="9" scale="61" fitToHeight="0" orientation="landscape" r:id="rId1"/>
  <rowBreaks count="11" manualBreakCount="11">
    <brk id="28" max="16383" man="1"/>
    <brk id="53" max="16383" man="1"/>
    <brk id="78" max="16383" man="1"/>
    <brk id="103" max="16383" man="1"/>
    <brk id="128" max="16383" man="1"/>
    <brk id="153" max="16383" man="1"/>
    <brk id="178" max="16383" man="1"/>
    <brk id="203" max="16383" man="1"/>
    <brk id="228" max="16383" man="1"/>
    <brk id="253" max="16383" man="1"/>
    <brk id="27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N69"/>
  <sheetViews>
    <sheetView showZeros="0" view="pageBreakPreview" topLeftCell="B19" zoomScale="85" zoomScaleNormal="100" zoomScaleSheetLayoutView="85" workbookViewId="0">
      <selection activeCell="C39" sqref="C39"/>
    </sheetView>
  </sheetViews>
  <sheetFormatPr defaultRowHeight="16.5"/>
  <cols>
    <col min="1" max="1" width="11.625" hidden="1" customWidth="1"/>
    <col min="2" max="3" width="4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>
      <c r="A1" s="248"/>
      <c r="B1" s="247" t="s">
        <v>739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4" ht="30" customHeight="1">
      <c r="A2" s="265"/>
      <c r="B2" s="266" t="s">
        <v>1746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1"/>
    </row>
    <row r="3" spans="1:14" ht="30" customHeight="1">
      <c r="A3" s="465" t="s">
        <v>740</v>
      </c>
      <c r="B3" s="462" t="s">
        <v>115</v>
      </c>
      <c r="C3" s="462" t="s">
        <v>116</v>
      </c>
      <c r="D3" s="462" t="s">
        <v>117</v>
      </c>
      <c r="E3" s="462" t="s">
        <v>741</v>
      </c>
      <c r="F3" s="462" t="s">
        <v>742</v>
      </c>
      <c r="G3" s="462" t="s">
        <v>743</v>
      </c>
      <c r="H3" s="462" t="s">
        <v>744</v>
      </c>
      <c r="I3" s="462" t="s">
        <v>745</v>
      </c>
      <c r="J3" s="462" t="s">
        <v>109</v>
      </c>
      <c r="K3" s="295" t="s">
        <v>746</v>
      </c>
      <c r="L3" s="289" t="s">
        <v>747</v>
      </c>
      <c r="M3" s="289" t="s">
        <v>748</v>
      </c>
      <c r="N3" s="464" t="s">
        <v>749</v>
      </c>
    </row>
    <row r="4" spans="1:14" ht="30" customHeight="1">
      <c r="A4" s="296" t="s">
        <v>1796</v>
      </c>
      <c r="B4" s="294" t="s">
        <v>1525</v>
      </c>
      <c r="C4" s="294" t="s">
        <v>1499</v>
      </c>
      <c r="D4" s="294" t="s">
        <v>596</v>
      </c>
      <c r="E4" s="297"/>
      <c r="F4" s="297"/>
      <c r="G4" s="297"/>
      <c r="H4" s="297"/>
      <c r="I4" s="294" t="s">
        <v>597</v>
      </c>
      <c r="J4" s="294" t="s">
        <v>50</v>
      </c>
      <c r="K4" s="298" t="s">
        <v>50</v>
      </c>
      <c r="L4" s="267" t="s">
        <v>50</v>
      </c>
      <c r="M4" s="267" t="s">
        <v>50</v>
      </c>
      <c r="N4" s="255" t="s">
        <v>50</v>
      </c>
    </row>
    <row r="5" spans="1:14" ht="30" customHeight="1">
      <c r="A5" s="296" t="s">
        <v>1798</v>
      </c>
      <c r="B5" s="294" t="s">
        <v>1500</v>
      </c>
      <c r="C5" s="294" t="s">
        <v>1501</v>
      </c>
      <c r="D5" s="294" t="s">
        <v>596</v>
      </c>
      <c r="E5" s="297"/>
      <c r="F5" s="297"/>
      <c r="G5" s="297"/>
      <c r="H5" s="297"/>
      <c r="I5" s="294" t="s">
        <v>600</v>
      </c>
      <c r="J5" s="294" t="s">
        <v>50</v>
      </c>
      <c r="K5" s="298" t="s">
        <v>50</v>
      </c>
      <c r="L5" s="267" t="s">
        <v>50</v>
      </c>
      <c r="M5" s="267" t="s">
        <v>50</v>
      </c>
      <c r="N5" s="255" t="s">
        <v>50</v>
      </c>
    </row>
    <row r="6" spans="1:14" ht="30" customHeight="1">
      <c r="A6" s="296" t="s">
        <v>1800</v>
      </c>
      <c r="B6" s="294" t="s">
        <v>1502</v>
      </c>
      <c r="C6" s="294" t="s">
        <v>1526</v>
      </c>
      <c r="D6" s="294" t="s">
        <v>602</v>
      </c>
      <c r="E6" s="297"/>
      <c r="F6" s="297"/>
      <c r="G6" s="297"/>
      <c r="H6" s="297"/>
      <c r="I6" s="294" t="s">
        <v>601</v>
      </c>
      <c r="J6" s="294" t="s">
        <v>50</v>
      </c>
      <c r="K6" s="298" t="s">
        <v>50</v>
      </c>
      <c r="L6" s="267" t="s">
        <v>50</v>
      </c>
      <c r="M6" s="267" t="s">
        <v>50</v>
      </c>
      <c r="N6" s="255" t="s">
        <v>50</v>
      </c>
    </row>
    <row r="7" spans="1:14" ht="30" customHeight="1">
      <c r="A7" s="296" t="s">
        <v>1802</v>
      </c>
      <c r="B7" s="294" t="s">
        <v>1527</v>
      </c>
      <c r="C7" s="294" t="s">
        <v>1528</v>
      </c>
      <c r="D7" s="294" t="s">
        <v>602</v>
      </c>
      <c r="E7" s="297"/>
      <c r="F7" s="297"/>
      <c r="G7" s="297"/>
      <c r="H7" s="297"/>
      <c r="I7" s="294" t="s">
        <v>603</v>
      </c>
      <c r="J7" s="294" t="s">
        <v>50</v>
      </c>
      <c r="K7" s="298" t="s">
        <v>50</v>
      </c>
      <c r="L7" s="267" t="s">
        <v>50</v>
      </c>
      <c r="M7" s="267" t="s">
        <v>50</v>
      </c>
      <c r="N7" s="255" t="s">
        <v>50</v>
      </c>
    </row>
    <row r="8" spans="1:14" ht="30" customHeight="1">
      <c r="A8" s="296" t="s">
        <v>1804</v>
      </c>
      <c r="B8" s="294" t="s">
        <v>1529</v>
      </c>
      <c r="C8" s="294" t="s">
        <v>1528</v>
      </c>
      <c r="D8" s="294" t="s">
        <v>602</v>
      </c>
      <c r="E8" s="297"/>
      <c r="F8" s="297"/>
      <c r="G8" s="297"/>
      <c r="H8" s="297"/>
      <c r="I8" s="294" t="s">
        <v>605</v>
      </c>
      <c r="J8" s="294" t="s">
        <v>50</v>
      </c>
      <c r="K8" s="298" t="s">
        <v>50</v>
      </c>
      <c r="L8" s="267" t="s">
        <v>50</v>
      </c>
      <c r="M8" s="267" t="s">
        <v>50</v>
      </c>
      <c r="N8" s="255" t="s">
        <v>50</v>
      </c>
    </row>
    <row r="9" spans="1:14" ht="30" customHeight="1">
      <c r="A9" s="296" t="s">
        <v>1806</v>
      </c>
      <c r="B9" s="294" t="s">
        <v>1530</v>
      </c>
      <c r="C9" s="294" t="s">
        <v>1528</v>
      </c>
      <c r="D9" s="294" t="s">
        <v>602</v>
      </c>
      <c r="E9" s="297"/>
      <c r="F9" s="297"/>
      <c r="G9" s="297"/>
      <c r="H9" s="297"/>
      <c r="I9" s="294" t="s">
        <v>606</v>
      </c>
      <c r="J9" s="294" t="s">
        <v>50</v>
      </c>
      <c r="K9" s="298" t="s">
        <v>50</v>
      </c>
      <c r="L9" s="267" t="s">
        <v>50</v>
      </c>
      <c r="M9" s="267" t="s">
        <v>50</v>
      </c>
      <c r="N9" s="255" t="s">
        <v>50</v>
      </c>
    </row>
    <row r="10" spans="1:14" ht="30" customHeight="1">
      <c r="A10" s="296" t="s">
        <v>1808</v>
      </c>
      <c r="B10" s="294" t="s">
        <v>1531</v>
      </c>
      <c r="C10" s="294" t="s">
        <v>1528</v>
      </c>
      <c r="D10" s="294" t="s">
        <v>602</v>
      </c>
      <c r="E10" s="297"/>
      <c r="F10" s="297"/>
      <c r="G10" s="297"/>
      <c r="H10" s="297"/>
      <c r="I10" s="294" t="s">
        <v>607</v>
      </c>
      <c r="J10" s="294" t="s">
        <v>50</v>
      </c>
      <c r="K10" s="298" t="s">
        <v>50</v>
      </c>
      <c r="L10" s="267" t="s">
        <v>50</v>
      </c>
      <c r="M10" s="267" t="s">
        <v>50</v>
      </c>
      <c r="N10" s="255" t="s">
        <v>50</v>
      </c>
    </row>
    <row r="11" spans="1:14" ht="30" customHeight="1">
      <c r="A11" s="296" t="s">
        <v>1810</v>
      </c>
      <c r="B11" s="294" t="s">
        <v>1532</v>
      </c>
      <c r="C11" s="294" t="s">
        <v>1533</v>
      </c>
      <c r="D11" s="294" t="s">
        <v>602</v>
      </c>
      <c r="E11" s="297"/>
      <c r="F11" s="297"/>
      <c r="G11" s="297"/>
      <c r="H11" s="297"/>
      <c r="I11" s="294" t="s">
        <v>608</v>
      </c>
      <c r="J11" s="294" t="s">
        <v>50</v>
      </c>
      <c r="K11" s="298" t="s">
        <v>50</v>
      </c>
      <c r="L11" s="267" t="s">
        <v>50</v>
      </c>
      <c r="M11" s="267" t="s">
        <v>50</v>
      </c>
      <c r="N11" s="255" t="s">
        <v>50</v>
      </c>
    </row>
    <row r="12" spans="1:14" ht="30" customHeight="1">
      <c r="A12" s="296" t="s">
        <v>1812</v>
      </c>
      <c r="B12" s="294" t="s">
        <v>1534</v>
      </c>
      <c r="C12" s="294" t="s">
        <v>1535</v>
      </c>
      <c r="D12" s="294" t="s">
        <v>610</v>
      </c>
      <c r="E12" s="297"/>
      <c r="F12" s="297"/>
      <c r="G12" s="297"/>
      <c r="H12" s="297"/>
      <c r="I12" s="294" t="s">
        <v>609</v>
      </c>
      <c r="J12" s="294" t="s">
        <v>50</v>
      </c>
      <c r="K12" s="298" t="s">
        <v>50</v>
      </c>
      <c r="L12" s="267" t="s">
        <v>50</v>
      </c>
      <c r="M12" s="267" t="s">
        <v>50</v>
      </c>
      <c r="N12" s="255" t="s">
        <v>50</v>
      </c>
    </row>
    <row r="13" spans="1:14" ht="30" customHeight="1">
      <c r="A13" s="296" t="s">
        <v>1814</v>
      </c>
      <c r="B13" s="294" t="s">
        <v>1503</v>
      </c>
      <c r="C13" s="294" t="s">
        <v>1504</v>
      </c>
      <c r="D13" s="294" t="s">
        <v>602</v>
      </c>
      <c r="E13" s="297"/>
      <c r="F13" s="297"/>
      <c r="G13" s="297"/>
      <c r="H13" s="297"/>
      <c r="I13" s="294" t="s">
        <v>611</v>
      </c>
      <c r="J13" s="294" t="s">
        <v>50</v>
      </c>
      <c r="K13" s="298" t="s">
        <v>50</v>
      </c>
      <c r="L13" s="267" t="s">
        <v>50</v>
      </c>
      <c r="M13" s="267" t="s">
        <v>50</v>
      </c>
      <c r="N13" s="255" t="s">
        <v>50</v>
      </c>
    </row>
    <row r="14" spans="1:14" ht="30" customHeight="1">
      <c r="A14" s="296" t="s">
        <v>1816</v>
      </c>
      <c r="B14" s="294" t="s">
        <v>1536</v>
      </c>
      <c r="C14" s="294" t="s">
        <v>1537</v>
      </c>
      <c r="D14" s="294" t="s">
        <v>602</v>
      </c>
      <c r="E14" s="297"/>
      <c r="F14" s="297"/>
      <c r="G14" s="297"/>
      <c r="H14" s="297"/>
      <c r="I14" s="294" t="s">
        <v>612</v>
      </c>
      <c r="J14" s="294" t="s">
        <v>50</v>
      </c>
      <c r="K14" s="298" t="s">
        <v>50</v>
      </c>
      <c r="L14" s="267" t="s">
        <v>50</v>
      </c>
      <c r="M14" s="267" t="s">
        <v>50</v>
      </c>
      <c r="N14" s="255" t="s">
        <v>50</v>
      </c>
    </row>
    <row r="15" spans="1:14" ht="30" customHeight="1">
      <c r="A15" s="296" t="s">
        <v>1828</v>
      </c>
      <c r="B15" s="294" t="s">
        <v>648</v>
      </c>
      <c r="C15" s="294" t="s">
        <v>649</v>
      </c>
      <c r="D15" s="294" t="s">
        <v>650</v>
      </c>
      <c r="E15" s="297"/>
      <c r="F15" s="297"/>
      <c r="G15" s="297"/>
      <c r="H15" s="297"/>
      <c r="I15" s="294" t="s">
        <v>613</v>
      </c>
      <c r="J15" s="294" t="s">
        <v>50</v>
      </c>
      <c r="K15" s="298" t="s">
        <v>50</v>
      </c>
      <c r="L15" s="267" t="s">
        <v>50</v>
      </c>
      <c r="M15" s="267" t="s">
        <v>50</v>
      </c>
      <c r="N15" s="255" t="s">
        <v>50</v>
      </c>
    </row>
    <row r="16" spans="1:14" ht="30" customHeight="1">
      <c r="A16" s="296" t="s">
        <v>1830</v>
      </c>
      <c r="B16" s="294" t="s">
        <v>652</v>
      </c>
      <c r="C16" s="294" t="s">
        <v>653</v>
      </c>
      <c r="D16" s="294" t="s">
        <v>602</v>
      </c>
      <c r="E16" s="297"/>
      <c r="F16" s="297"/>
      <c r="G16" s="297"/>
      <c r="H16" s="297"/>
      <c r="I16" s="294" t="s">
        <v>614</v>
      </c>
      <c r="J16" s="294" t="s">
        <v>50</v>
      </c>
      <c r="K16" s="298" t="s">
        <v>50</v>
      </c>
      <c r="L16" s="267" t="s">
        <v>50</v>
      </c>
      <c r="M16" s="267" t="s">
        <v>50</v>
      </c>
      <c r="N16" s="255" t="s">
        <v>50</v>
      </c>
    </row>
    <row r="17" spans="1:14" ht="30" customHeight="1">
      <c r="A17" s="296" t="s">
        <v>1832</v>
      </c>
      <c r="B17" s="294" t="s">
        <v>655</v>
      </c>
      <c r="C17" s="294" t="s">
        <v>663</v>
      </c>
      <c r="D17" s="294" t="s">
        <v>596</v>
      </c>
      <c r="E17" s="297"/>
      <c r="F17" s="297"/>
      <c r="G17" s="297"/>
      <c r="H17" s="297"/>
      <c r="I17" s="294" t="s">
        <v>618</v>
      </c>
      <c r="J17" s="294" t="s">
        <v>50</v>
      </c>
      <c r="K17" s="298" t="s">
        <v>50</v>
      </c>
      <c r="L17" s="267" t="s">
        <v>50</v>
      </c>
      <c r="M17" s="267" t="s">
        <v>50</v>
      </c>
      <c r="N17" s="255" t="s">
        <v>50</v>
      </c>
    </row>
    <row r="18" spans="1:14" ht="30" customHeight="1">
      <c r="A18" s="296" t="s">
        <v>1834</v>
      </c>
      <c r="B18" s="294" t="s">
        <v>657</v>
      </c>
      <c r="C18" s="294" t="s">
        <v>663</v>
      </c>
      <c r="D18" s="294" t="s">
        <v>644</v>
      </c>
      <c r="E18" s="297"/>
      <c r="F18" s="297"/>
      <c r="G18" s="297"/>
      <c r="H18" s="297"/>
      <c r="I18" s="294" t="s">
        <v>619</v>
      </c>
      <c r="J18" s="294" t="s">
        <v>50</v>
      </c>
      <c r="K18" s="298" t="s">
        <v>50</v>
      </c>
      <c r="L18" s="267" t="s">
        <v>50</v>
      </c>
      <c r="M18" s="267" t="s">
        <v>50</v>
      </c>
      <c r="N18" s="255" t="s">
        <v>50</v>
      </c>
    </row>
    <row r="19" spans="1:14" ht="30" customHeight="1">
      <c r="A19" s="296" t="s">
        <v>1836</v>
      </c>
      <c r="B19" s="294" t="s">
        <v>659</v>
      </c>
      <c r="C19" s="294" t="s">
        <v>660</v>
      </c>
      <c r="D19" s="294" t="s">
        <v>644</v>
      </c>
      <c r="E19" s="297"/>
      <c r="F19" s="297"/>
      <c r="G19" s="297"/>
      <c r="H19" s="297"/>
      <c r="I19" s="294" t="s">
        <v>620</v>
      </c>
      <c r="J19" s="294" t="s">
        <v>50</v>
      </c>
      <c r="K19" s="298" t="s">
        <v>50</v>
      </c>
      <c r="L19" s="267" t="s">
        <v>50</v>
      </c>
      <c r="M19" s="267" t="s">
        <v>50</v>
      </c>
      <c r="N19" s="255" t="s">
        <v>50</v>
      </c>
    </row>
    <row r="20" spans="1:14" ht="30" customHeight="1">
      <c r="A20" s="296" t="s">
        <v>1838</v>
      </c>
      <c r="B20" s="294" t="s">
        <v>662</v>
      </c>
      <c r="C20" s="294" t="s">
        <v>663</v>
      </c>
      <c r="D20" s="294" t="s">
        <v>644</v>
      </c>
      <c r="E20" s="297"/>
      <c r="F20" s="297"/>
      <c r="G20" s="297"/>
      <c r="H20" s="297"/>
      <c r="I20" s="294" t="s">
        <v>621</v>
      </c>
      <c r="J20" s="294" t="s">
        <v>50</v>
      </c>
      <c r="K20" s="298" t="s">
        <v>50</v>
      </c>
      <c r="L20" s="267" t="s">
        <v>50</v>
      </c>
      <c r="M20" s="267" t="s">
        <v>50</v>
      </c>
      <c r="N20" s="255" t="s">
        <v>50</v>
      </c>
    </row>
    <row r="21" spans="1:14" ht="30" customHeight="1">
      <c r="A21" s="296" t="s">
        <v>1840</v>
      </c>
      <c r="B21" s="294" t="s">
        <v>665</v>
      </c>
      <c r="C21" s="294" t="s">
        <v>666</v>
      </c>
      <c r="D21" s="294" t="s">
        <v>596</v>
      </c>
      <c r="E21" s="297"/>
      <c r="F21" s="297"/>
      <c r="G21" s="297"/>
      <c r="H21" s="297"/>
      <c r="I21" s="294" t="s">
        <v>622</v>
      </c>
      <c r="J21" s="294" t="s">
        <v>50</v>
      </c>
      <c r="K21" s="298" t="s">
        <v>50</v>
      </c>
      <c r="L21" s="267" t="s">
        <v>50</v>
      </c>
      <c r="M21" s="267" t="s">
        <v>50</v>
      </c>
      <c r="N21" s="255" t="s">
        <v>50</v>
      </c>
    </row>
    <row r="22" spans="1:14" ht="30" customHeight="1">
      <c r="A22" s="296" t="s">
        <v>1842</v>
      </c>
      <c r="B22" s="294" t="s">
        <v>665</v>
      </c>
      <c r="C22" s="294" t="s">
        <v>668</v>
      </c>
      <c r="D22" s="294" t="s">
        <v>596</v>
      </c>
      <c r="E22" s="297"/>
      <c r="F22" s="297"/>
      <c r="G22" s="297"/>
      <c r="H22" s="297"/>
      <c r="I22" s="294" t="s">
        <v>623</v>
      </c>
      <c r="J22" s="294" t="s">
        <v>50</v>
      </c>
      <c r="K22" s="298" t="s">
        <v>50</v>
      </c>
      <c r="L22" s="267" t="s">
        <v>50</v>
      </c>
      <c r="M22" s="267" t="s">
        <v>50</v>
      </c>
      <c r="N22" s="255" t="s">
        <v>50</v>
      </c>
    </row>
    <row r="23" spans="1:14" ht="30" customHeight="1">
      <c r="A23" s="296" t="s">
        <v>1846</v>
      </c>
      <c r="B23" s="294" t="s">
        <v>673</v>
      </c>
      <c r="C23" s="294" t="s">
        <v>674</v>
      </c>
      <c r="D23" s="294" t="s">
        <v>650</v>
      </c>
      <c r="E23" s="297"/>
      <c r="F23" s="297"/>
      <c r="G23" s="297"/>
      <c r="H23" s="297"/>
      <c r="I23" s="294" t="s">
        <v>624</v>
      </c>
      <c r="J23" s="294" t="s">
        <v>50</v>
      </c>
      <c r="K23" s="298" t="s">
        <v>50</v>
      </c>
      <c r="L23" s="267" t="s">
        <v>50</v>
      </c>
      <c r="M23" s="267" t="s">
        <v>50</v>
      </c>
      <c r="N23" s="255" t="s">
        <v>50</v>
      </c>
    </row>
    <row r="24" spans="1:14" ht="30" customHeight="1">
      <c r="A24" s="296" t="s">
        <v>1848</v>
      </c>
      <c r="B24" s="294" t="s">
        <v>676</v>
      </c>
      <c r="C24" s="294" t="s">
        <v>677</v>
      </c>
      <c r="D24" s="294" t="s">
        <v>678</v>
      </c>
      <c r="E24" s="297"/>
      <c r="F24" s="297"/>
      <c r="G24" s="297"/>
      <c r="H24" s="297"/>
      <c r="I24" s="294" t="s">
        <v>625</v>
      </c>
      <c r="J24" s="294" t="s">
        <v>50</v>
      </c>
      <c r="K24" s="298" t="s">
        <v>50</v>
      </c>
      <c r="L24" s="267" t="s">
        <v>50</v>
      </c>
      <c r="M24" s="267" t="s">
        <v>50</v>
      </c>
      <c r="N24" s="255" t="s">
        <v>50</v>
      </c>
    </row>
    <row r="25" spans="1:14" ht="30" customHeight="1">
      <c r="A25" s="296" t="s">
        <v>1850</v>
      </c>
      <c r="B25" s="294" t="s">
        <v>680</v>
      </c>
      <c r="C25" s="294" t="s">
        <v>677</v>
      </c>
      <c r="D25" s="294" t="s">
        <v>678</v>
      </c>
      <c r="E25" s="297"/>
      <c r="F25" s="297"/>
      <c r="G25" s="297"/>
      <c r="H25" s="297"/>
      <c r="I25" s="294" t="s">
        <v>626</v>
      </c>
      <c r="J25" s="294" t="s">
        <v>50</v>
      </c>
      <c r="K25" s="298" t="s">
        <v>50</v>
      </c>
      <c r="L25" s="267" t="s">
        <v>50</v>
      </c>
      <c r="M25" s="267" t="s">
        <v>50</v>
      </c>
      <c r="N25" s="255" t="s">
        <v>50</v>
      </c>
    </row>
    <row r="26" spans="1:14" ht="30" customHeight="1">
      <c r="A26" s="296" t="s">
        <v>1852</v>
      </c>
      <c r="B26" s="294" t="s">
        <v>676</v>
      </c>
      <c r="C26" s="294" t="s">
        <v>682</v>
      </c>
      <c r="D26" s="294" t="s">
        <v>678</v>
      </c>
      <c r="E26" s="297"/>
      <c r="F26" s="297"/>
      <c r="G26" s="297"/>
      <c r="H26" s="297"/>
      <c r="I26" s="294" t="s">
        <v>627</v>
      </c>
      <c r="J26" s="294" t="s">
        <v>50</v>
      </c>
      <c r="K26" s="298" t="s">
        <v>50</v>
      </c>
      <c r="L26" s="267" t="s">
        <v>50</v>
      </c>
      <c r="M26" s="267" t="s">
        <v>50</v>
      </c>
      <c r="N26" s="255" t="s">
        <v>50</v>
      </c>
    </row>
    <row r="27" spans="1:14" ht="30" customHeight="1">
      <c r="A27" s="296" t="s">
        <v>1854</v>
      </c>
      <c r="B27" s="294" t="s">
        <v>680</v>
      </c>
      <c r="C27" s="294" t="s">
        <v>682</v>
      </c>
      <c r="D27" s="294" t="s">
        <v>678</v>
      </c>
      <c r="E27" s="297"/>
      <c r="F27" s="297"/>
      <c r="G27" s="297"/>
      <c r="H27" s="297"/>
      <c r="I27" s="294" t="s">
        <v>628</v>
      </c>
      <c r="J27" s="294" t="s">
        <v>50</v>
      </c>
      <c r="K27" s="298" t="s">
        <v>50</v>
      </c>
      <c r="L27" s="267" t="s">
        <v>50</v>
      </c>
      <c r="M27" s="267" t="s">
        <v>50</v>
      </c>
      <c r="N27" s="255" t="s">
        <v>50</v>
      </c>
    </row>
    <row r="28" spans="1:14" ht="30" customHeight="1">
      <c r="A28" s="296" t="s">
        <v>1856</v>
      </c>
      <c r="B28" s="294" t="s">
        <v>1507</v>
      </c>
      <c r="C28" s="294" t="s">
        <v>663</v>
      </c>
      <c r="D28" s="294" t="s">
        <v>596</v>
      </c>
      <c r="E28" s="297"/>
      <c r="F28" s="297"/>
      <c r="G28" s="297"/>
      <c r="H28" s="297"/>
      <c r="I28" s="294" t="s">
        <v>629</v>
      </c>
      <c r="J28" s="294" t="s">
        <v>778</v>
      </c>
      <c r="K28" s="298" t="s">
        <v>50</v>
      </c>
      <c r="L28" s="267" t="s">
        <v>50</v>
      </c>
      <c r="M28" s="267" t="s">
        <v>50</v>
      </c>
      <c r="N28" s="255" t="s">
        <v>50</v>
      </c>
    </row>
    <row r="29" spans="1:14" ht="30" customHeight="1">
      <c r="A29" s="296" t="s">
        <v>1870</v>
      </c>
      <c r="B29" s="294" t="s">
        <v>725</v>
      </c>
      <c r="C29" s="294" t="s">
        <v>726</v>
      </c>
      <c r="D29" s="294" t="s">
        <v>678</v>
      </c>
      <c r="E29" s="297"/>
      <c r="F29" s="297"/>
      <c r="G29" s="297"/>
      <c r="H29" s="297"/>
      <c r="I29" s="294" t="s">
        <v>630</v>
      </c>
      <c r="J29" s="294" t="s">
        <v>50</v>
      </c>
      <c r="K29" s="298" t="s">
        <v>50</v>
      </c>
      <c r="L29" s="267" t="s">
        <v>50</v>
      </c>
      <c r="M29" s="267" t="s">
        <v>50</v>
      </c>
      <c r="N29" s="255" t="s">
        <v>50</v>
      </c>
    </row>
    <row r="30" spans="1:14" ht="30" customHeight="1">
      <c r="A30" s="296" t="s">
        <v>1872</v>
      </c>
      <c r="B30" s="294" t="s">
        <v>725</v>
      </c>
      <c r="C30" s="294" t="s">
        <v>727</v>
      </c>
      <c r="D30" s="294" t="s">
        <v>678</v>
      </c>
      <c r="E30" s="297"/>
      <c r="F30" s="297"/>
      <c r="G30" s="297"/>
      <c r="H30" s="297"/>
      <c r="I30" s="294" t="s">
        <v>631</v>
      </c>
      <c r="J30" s="294" t="s">
        <v>50</v>
      </c>
      <c r="K30" s="298" t="s">
        <v>50</v>
      </c>
      <c r="L30" s="267" t="s">
        <v>50</v>
      </c>
      <c r="M30" s="267" t="s">
        <v>50</v>
      </c>
      <c r="N30" s="255" t="s">
        <v>50</v>
      </c>
    </row>
    <row r="31" spans="1:14" ht="30" customHeight="1">
      <c r="A31" s="296" t="s">
        <v>1874</v>
      </c>
      <c r="B31" s="294" t="s">
        <v>728</v>
      </c>
      <c r="C31" s="294" t="s">
        <v>729</v>
      </c>
      <c r="D31" s="294" t="s">
        <v>678</v>
      </c>
      <c r="E31" s="297"/>
      <c r="F31" s="297"/>
      <c r="G31" s="297"/>
      <c r="H31" s="297"/>
      <c r="I31" s="294" t="s">
        <v>632</v>
      </c>
      <c r="J31" s="294" t="s">
        <v>50</v>
      </c>
      <c r="K31" s="298" t="s">
        <v>50</v>
      </c>
      <c r="L31" s="267" t="s">
        <v>50</v>
      </c>
      <c r="M31" s="267" t="s">
        <v>50</v>
      </c>
      <c r="N31" s="255" t="s">
        <v>50</v>
      </c>
    </row>
    <row r="32" spans="1:14" ht="30" customHeight="1">
      <c r="A32" s="296" t="s">
        <v>1939</v>
      </c>
      <c r="B32" s="294" t="s">
        <v>750</v>
      </c>
      <c r="C32" s="294" t="s">
        <v>1940</v>
      </c>
      <c r="D32" s="294" t="s">
        <v>596</v>
      </c>
      <c r="E32" s="297"/>
      <c r="F32" s="297"/>
      <c r="G32" s="297"/>
      <c r="H32" s="297"/>
      <c r="I32" s="294" t="s">
        <v>633</v>
      </c>
      <c r="J32" s="294" t="s">
        <v>50</v>
      </c>
      <c r="K32" s="298" t="s">
        <v>50</v>
      </c>
      <c r="L32" s="267" t="s">
        <v>50</v>
      </c>
      <c r="M32" s="267" t="s">
        <v>50</v>
      </c>
      <c r="N32" s="255" t="s">
        <v>50</v>
      </c>
    </row>
    <row r="33" spans="1:14" ht="30" customHeight="1">
      <c r="A33" s="296" t="s">
        <v>1941</v>
      </c>
      <c r="B33" s="294" t="s">
        <v>758</v>
      </c>
      <c r="C33" s="294" t="s">
        <v>1513</v>
      </c>
      <c r="D33" s="294" t="s">
        <v>596</v>
      </c>
      <c r="E33" s="297"/>
      <c r="F33" s="297"/>
      <c r="G33" s="297"/>
      <c r="H33" s="297"/>
      <c r="I33" s="294" t="s">
        <v>634</v>
      </c>
      <c r="J33" s="294" t="s">
        <v>50</v>
      </c>
      <c r="K33" s="298" t="s">
        <v>50</v>
      </c>
      <c r="L33" s="267" t="s">
        <v>50</v>
      </c>
      <c r="M33" s="267" t="s">
        <v>50</v>
      </c>
      <c r="N33" s="255" t="s">
        <v>50</v>
      </c>
    </row>
    <row r="34" spans="1:14" ht="30" customHeight="1">
      <c r="A34" s="296" t="s">
        <v>1942</v>
      </c>
      <c r="B34" s="294" t="s">
        <v>764</v>
      </c>
      <c r="C34" s="294" t="s">
        <v>765</v>
      </c>
      <c r="D34" s="294" t="s">
        <v>596</v>
      </c>
      <c r="E34" s="297"/>
      <c r="F34" s="297"/>
      <c r="G34" s="297"/>
      <c r="H34" s="297"/>
      <c r="I34" s="294" t="s">
        <v>635</v>
      </c>
      <c r="J34" s="294" t="s">
        <v>50</v>
      </c>
      <c r="K34" s="298" t="s">
        <v>50</v>
      </c>
      <c r="L34" s="267" t="s">
        <v>50</v>
      </c>
      <c r="M34" s="267" t="s">
        <v>50</v>
      </c>
      <c r="N34" s="255" t="s">
        <v>50</v>
      </c>
    </row>
    <row r="35" spans="1:14" ht="30" customHeight="1">
      <c r="A35" s="296" t="s">
        <v>1943</v>
      </c>
      <c r="B35" s="294" t="s">
        <v>751</v>
      </c>
      <c r="C35" s="294" t="s">
        <v>752</v>
      </c>
      <c r="D35" s="294" t="s">
        <v>650</v>
      </c>
      <c r="E35" s="297"/>
      <c r="F35" s="297"/>
      <c r="G35" s="297"/>
      <c r="H35" s="297"/>
      <c r="I35" s="294" t="s">
        <v>636</v>
      </c>
      <c r="J35" s="294" t="s">
        <v>50</v>
      </c>
      <c r="K35" s="298" t="s">
        <v>50</v>
      </c>
      <c r="L35" s="267" t="s">
        <v>50</v>
      </c>
      <c r="M35" s="267" t="s">
        <v>50</v>
      </c>
      <c r="N35" s="255" t="s">
        <v>50</v>
      </c>
    </row>
    <row r="36" spans="1:14" ht="30" customHeight="1">
      <c r="A36" s="296" t="s">
        <v>1944</v>
      </c>
      <c r="B36" s="294" t="s">
        <v>760</v>
      </c>
      <c r="C36" s="294" t="s">
        <v>761</v>
      </c>
      <c r="D36" s="294" t="s">
        <v>762</v>
      </c>
      <c r="E36" s="297"/>
      <c r="F36" s="297"/>
      <c r="G36" s="297"/>
      <c r="H36" s="297"/>
      <c r="I36" s="294" t="s">
        <v>637</v>
      </c>
      <c r="J36" s="294" t="s">
        <v>50</v>
      </c>
      <c r="K36" s="298" t="s">
        <v>763</v>
      </c>
      <c r="L36" s="267" t="s">
        <v>50</v>
      </c>
      <c r="M36" s="267" t="s">
        <v>50</v>
      </c>
      <c r="N36" s="255" t="s">
        <v>598</v>
      </c>
    </row>
    <row r="37" spans="1:14" ht="30" customHeight="1">
      <c r="A37" s="296" t="s">
        <v>1945</v>
      </c>
      <c r="B37" s="294" t="s">
        <v>753</v>
      </c>
      <c r="C37" s="294" t="s">
        <v>754</v>
      </c>
      <c r="D37" s="294" t="s">
        <v>650</v>
      </c>
      <c r="E37" s="297"/>
      <c r="F37" s="297"/>
      <c r="G37" s="297"/>
      <c r="H37" s="297"/>
      <c r="I37" s="294" t="s">
        <v>638</v>
      </c>
      <c r="J37" s="294" t="s">
        <v>50</v>
      </c>
      <c r="K37" s="298" t="s">
        <v>50</v>
      </c>
      <c r="L37" s="267" t="s">
        <v>50</v>
      </c>
      <c r="M37" s="267" t="s">
        <v>50</v>
      </c>
      <c r="N37" s="255" t="s">
        <v>50</v>
      </c>
    </row>
    <row r="38" spans="1:14" ht="30" customHeight="1">
      <c r="A38" s="296" t="s">
        <v>1946</v>
      </c>
      <c r="B38" s="294" t="s">
        <v>755</v>
      </c>
      <c r="C38" s="294" t="s">
        <v>1947</v>
      </c>
      <c r="D38" s="294" t="s">
        <v>596</v>
      </c>
      <c r="E38" s="297"/>
      <c r="F38" s="297"/>
      <c r="G38" s="297"/>
      <c r="H38" s="297"/>
      <c r="I38" s="294" t="s">
        <v>639</v>
      </c>
      <c r="J38" s="294" t="s">
        <v>50</v>
      </c>
      <c r="K38" s="298" t="s">
        <v>50</v>
      </c>
      <c r="L38" s="267" t="s">
        <v>50</v>
      </c>
      <c r="M38" s="267" t="s">
        <v>50</v>
      </c>
      <c r="N38" s="255" t="s">
        <v>50</v>
      </c>
    </row>
    <row r="39" spans="1:14" ht="30" customHeight="1">
      <c r="A39" s="296" t="s">
        <v>1948</v>
      </c>
      <c r="B39" s="294" t="s">
        <v>756</v>
      </c>
      <c r="C39" s="294" t="s">
        <v>757</v>
      </c>
      <c r="D39" s="294" t="s">
        <v>596</v>
      </c>
      <c r="E39" s="297"/>
      <c r="F39" s="297"/>
      <c r="G39" s="297"/>
      <c r="H39" s="297"/>
      <c r="I39" s="294" t="s">
        <v>640</v>
      </c>
      <c r="J39" s="294" t="s">
        <v>50</v>
      </c>
      <c r="K39" s="298" t="s">
        <v>50</v>
      </c>
      <c r="L39" s="267" t="s">
        <v>50</v>
      </c>
      <c r="M39" s="267" t="s">
        <v>50</v>
      </c>
      <c r="N39" s="255" t="s">
        <v>50</v>
      </c>
    </row>
    <row r="40" spans="1:14" ht="30" customHeight="1">
      <c r="A40" s="296" t="s">
        <v>1949</v>
      </c>
      <c r="B40" s="294" t="s">
        <v>758</v>
      </c>
      <c r="C40" s="294" t="s">
        <v>759</v>
      </c>
      <c r="D40" s="294" t="s">
        <v>596</v>
      </c>
      <c r="E40" s="297"/>
      <c r="F40" s="297"/>
      <c r="G40" s="297"/>
      <c r="H40" s="297"/>
      <c r="I40" s="294" t="s">
        <v>641</v>
      </c>
      <c r="J40" s="294" t="s">
        <v>50</v>
      </c>
      <c r="K40" s="298" t="s">
        <v>50</v>
      </c>
      <c r="L40" s="267" t="s">
        <v>50</v>
      </c>
      <c r="M40" s="267" t="s">
        <v>50</v>
      </c>
      <c r="N40" s="255" t="s">
        <v>50</v>
      </c>
    </row>
    <row r="41" spans="1:14" ht="30" customHeight="1">
      <c r="A41" s="296" t="s">
        <v>1950</v>
      </c>
      <c r="B41" s="294" t="s">
        <v>1539</v>
      </c>
      <c r="C41" s="294" t="s">
        <v>1537</v>
      </c>
      <c r="D41" s="294" t="s">
        <v>602</v>
      </c>
      <c r="E41" s="297"/>
      <c r="F41" s="297"/>
      <c r="G41" s="297"/>
      <c r="H41" s="297"/>
      <c r="I41" s="294" t="s">
        <v>651</v>
      </c>
      <c r="J41" s="294" t="s">
        <v>50</v>
      </c>
      <c r="K41" s="298" t="s">
        <v>50</v>
      </c>
      <c r="L41" s="267" t="s">
        <v>50</v>
      </c>
      <c r="M41" s="267" t="s">
        <v>50</v>
      </c>
      <c r="N41" s="255" t="s">
        <v>50</v>
      </c>
    </row>
    <row r="42" spans="1:14" ht="30" customHeight="1">
      <c r="A42" s="296" t="s">
        <v>1951</v>
      </c>
      <c r="B42" s="294" t="s">
        <v>766</v>
      </c>
      <c r="C42" s="294" t="s">
        <v>767</v>
      </c>
      <c r="D42" s="294" t="s">
        <v>762</v>
      </c>
      <c r="E42" s="297"/>
      <c r="F42" s="297"/>
      <c r="G42" s="297"/>
      <c r="H42" s="297"/>
      <c r="I42" s="294" t="s">
        <v>654</v>
      </c>
      <c r="J42" s="294" t="s">
        <v>50</v>
      </c>
      <c r="K42" s="298" t="s">
        <v>763</v>
      </c>
      <c r="L42" s="267" t="s">
        <v>50</v>
      </c>
      <c r="M42" s="267" t="s">
        <v>50</v>
      </c>
      <c r="N42" s="255" t="s">
        <v>598</v>
      </c>
    </row>
    <row r="43" spans="1:14" ht="30" customHeight="1">
      <c r="A43" s="296" t="s">
        <v>1952</v>
      </c>
      <c r="B43" s="294" t="s">
        <v>768</v>
      </c>
      <c r="C43" s="294" t="s">
        <v>1537</v>
      </c>
      <c r="D43" s="294" t="s">
        <v>602</v>
      </c>
      <c r="E43" s="297"/>
      <c r="F43" s="297"/>
      <c r="G43" s="297"/>
      <c r="H43" s="297"/>
      <c r="I43" s="294" t="s">
        <v>656</v>
      </c>
      <c r="J43" s="294" t="s">
        <v>50</v>
      </c>
      <c r="K43" s="298" t="s">
        <v>50</v>
      </c>
      <c r="L43" s="267" t="s">
        <v>50</v>
      </c>
      <c r="M43" s="267" t="s">
        <v>50</v>
      </c>
      <c r="N43" s="255" t="s">
        <v>50</v>
      </c>
    </row>
    <row r="44" spans="1:14" ht="30" customHeight="1">
      <c r="A44" s="296" t="s">
        <v>1953</v>
      </c>
      <c r="B44" s="294" t="s">
        <v>1539</v>
      </c>
      <c r="C44" s="294" t="s">
        <v>769</v>
      </c>
      <c r="D44" s="294" t="s">
        <v>602</v>
      </c>
      <c r="E44" s="297"/>
      <c r="F44" s="297"/>
      <c r="G44" s="297"/>
      <c r="H44" s="297"/>
      <c r="I44" s="294" t="s">
        <v>658</v>
      </c>
      <c r="J44" s="294" t="s">
        <v>50</v>
      </c>
      <c r="K44" s="298" t="s">
        <v>50</v>
      </c>
      <c r="L44" s="267" t="s">
        <v>50</v>
      </c>
      <c r="M44" s="267" t="s">
        <v>50</v>
      </c>
      <c r="N44" s="255" t="s">
        <v>50</v>
      </c>
    </row>
    <row r="45" spans="1:14" ht="30" customHeight="1">
      <c r="A45" s="296" t="s">
        <v>1954</v>
      </c>
      <c r="B45" s="294" t="s">
        <v>1503</v>
      </c>
      <c r="C45" s="294" t="s">
        <v>50</v>
      </c>
      <c r="D45" s="294" t="s">
        <v>678</v>
      </c>
      <c r="E45" s="297"/>
      <c r="F45" s="297"/>
      <c r="G45" s="297"/>
      <c r="H45" s="297"/>
      <c r="I45" s="294" t="s">
        <v>661</v>
      </c>
      <c r="J45" s="294" t="s">
        <v>50</v>
      </c>
      <c r="K45" s="298" t="s">
        <v>50</v>
      </c>
      <c r="L45" s="267" t="s">
        <v>50</v>
      </c>
      <c r="M45" s="267" t="s">
        <v>50</v>
      </c>
      <c r="N45" s="255" t="s">
        <v>50</v>
      </c>
    </row>
    <row r="46" spans="1:14" ht="30" customHeight="1">
      <c r="A46" s="296" t="s">
        <v>1955</v>
      </c>
      <c r="B46" s="294" t="s">
        <v>760</v>
      </c>
      <c r="C46" s="294" t="s">
        <v>770</v>
      </c>
      <c r="D46" s="294" t="s">
        <v>762</v>
      </c>
      <c r="E46" s="297"/>
      <c r="F46" s="297"/>
      <c r="G46" s="297"/>
      <c r="H46" s="297"/>
      <c r="I46" s="294" t="s">
        <v>664</v>
      </c>
      <c r="J46" s="294" t="s">
        <v>50</v>
      </c>
      <c r="K46" s="298" t="s">
        <v>763</v>
      </c>
      <c r="L46" s="267" t="s">
        <v>50</v>
      </c>
      <c r="M46" s="267" t="s">
        <v>50</v>
      </c>
      <c r="N46" s="255" t="s">
        <v>598</v>
      </c>
    </row>
    <row r="47" spans="1:14" ht="30" customHeight="1">
      <c r="A47" s="296" t="s">
        <v>1956</v>
      </c>
      <c r="B47" s="294" t="s">
        <v>771</v>
      </c>
      <c r="C47" s="294" t="s">
        <v>772</v>
      </c>
      <c r="D47" s="294" t="s">
        <v>762</v>
      </c>
      <c r="E47" s="297"/>
      <c r="F47" s="297"/>
      <c r="G47" s="297"/>
      <c r="H47" s="297"/>
      <c r="I47" s="294" t="s">
        <v>667</v>
      </c>
      <c r="J47" s="294" t="s">
        <v>50</v>
      </c>
      <c r="K47" s="298" t="s">
        <v>763</v>
      </c>
      <c r="L47" s="267" t="s">
        <v>50</v>
      </c>
      <c r="M47" s="267" t="s">
        <v>50</v>
      </c>
      <c r="N47" s="255" t="s">
        <v>598</v>
      </c>
    </row>
    <row r="48" spans="1:14" ht="30" customHeight="1">
      <c r="A48" s="296" t="s">
        <v>1957</v>
      </c>
      <c r="B48" s="294" t="s">
        <v>773</v>
      </c>
      <c r="C48" s="294" t="s">
        <v>772</v>
      </c>
      <c r="D48" s="294" t="s">
        <v>762</v>
      </c>
      <c r="E48" s="297"/>
      <c r="F48" s="297"/>
      <c r="G48" s="297"/>
      <c r="H48" s="297"/>
      <c r="I48" s="294" t="s">
        <v>669</v>
      </c>
      <c r="J48" s="294" t="s">
        <v>50</v>
      </c>
      <c r="K48" s="298" t="s">
        <v>763</v>
      </c>
      <c r="L48" s="267" t="s">
        <v>50</v>
      </c>
      <c r="M48" s="267" t="s">
        <v>50</v>
      </c>
      <c r="N48" s="255" t="s">
        <v>598</v>
      </c>
    </row>
    <row r="49" spans="1:14" ht="30" customHeight="1">
      <c r="A49" s="296" t="s">
        <v>1958</v>
      </c>
      <c r="B49" s="294" t="s">
        <v>774</v>
      </c>
      <c r="C49" s="294" t="s">
        <v>775</v>
      </c>
      <c r="D49" s="294" t="s">
        <v>650</v>
      </c>
      <c r="E49" s="297"/>
      <c r="F49" s="297"/>
      <c r="G49" s="297"/>
      <c r="H49" s="297"/>
      <c r="I49" s="294" t="s">
        <v>675</v>
      </c>
      <c r="J49" s="294" t="s">
        <v>50</v>
      </c>
      <c r="K49" s="298" t="s">
        <v>50</v>
      </c>
      <c r="L49" s="267" t="s">
        <v>50</v>
      </c>
      <c r="M49" s="267" t="s">
        <v>50</v>
      </c>
      <c r="N49" s="255" t="s">
        <v>50</v>
      </c>
    </row>
    <row r="50" spans="1:14" ht="30" customHeight="1">
      <c r="A50" s="296" t="s">
        <v>1959</v>
      </c>
      <c r="B50" s="294" t="s">
        <v>665</v>
      </c>
      <c r="C50" s="294" t="s">
        <v>776</v>
      </c>
      <c r="D50" s="294" t="s">
        <v>644</v>
      </c>
      <c r="E50" s="297"/>
      <c r="F50" s="297"/>
      <c r="G50" s="297"/>
      <c r="H50" s="297"/>
      <c r="I50" s="294" t="s">
        <v>679</v>
      </c>
      <c r="J50" s="294" t="s">
        <v>777</v>
      </c>
      <c r="K50" s="298" t="s">
        <v>50</v>
      </c>
      <c r="L50" s="267" t="s">
        <v>50</v>
      </c>
      <c r="M50" s="267" t="s">
        <v>50</v>
      </c>
      <c r="N50" s="255" t="s">
        <v>50</v>
      </c>
    </row>
    <row r="51" spans="1:14" ht="30" customHeight="1">
      <c r="A51" s="296" t="s">
        <v>1960</v>
      </c>
      <c r="B51" s="294" t="s">
        <v>779</v>
      </c>
      <c r="C51" s="294" t="s">
        <v>780</v>
      </c>
      <c r="D51" s="294" t="s">
        <v>762</v>
      </c>
      <c r="E51" s="297"/>
      <c r="F51" s="297"/>
      <c r="G51" s="297"/>
      <c r="H51" s="297"/>
      <c r="I51" s="294" t="s">
        <v>681</v>
      </c>
      <c r="J51" s="294" t="s">
        <v>50</v>
      </c>
      <c r="K51" s="298" t="s">
        <v>763</v>
      </c>
      <c r="L51" s="267" t="s">
        <v>50</v>
      </c>
      <c r="M51" s="267" t="s">
        <v>50</v>
      </c>
      <c r="N51" s="255" t="s">
        <v>598</v>
      </c>
    </row>
    <row r="52" spans="1:14" ht="30" customHeight="1">
      <c r="A52" s="296" t="s">
        <v>1961</v>
      </c>
      <c r="B52" s="294" t="s">
        <v>781</v>
      </c>
      <c r="C52" s="294" t="s">
        <v>782</v>
      </c>
      <c r="D52" s="294" t="s">
        <v>762</v>
      </c>
      <c r="E52" s="297"/>
      <c r="F52" s="297"/>
      <c r="G52" s="297"/>
      <c r="H52" s="297"/>
      <c r="I52" s="294" t="s">
        <v>683</v>
      </c>
      <c r="J52" s="294" t="s">
        <v>50</v>
      </c>
      <c r="K52" s="298" t="s">
        <v>763</v>
      </c>
      <c r="L52" s="267" t="s">
        <v>50</v>
      </c>
      <c r="M52" s="267" t="s">
        <v>50</v>
      </c>
      <c r="N52" s="255" t="s">
        <v>598</v>
      </c>
    </row>
    <row r="53" spans="1:14" ht="30" customHeight="1">
      <c r="A53" s="296" t="s">
        <v>1962</v>
      </c>
      <c r="B53" s="294" t="s">
        <v>783</v>
      </c>
      <c r="C53" s="294" t="s">
        <v>784</v>
      </c>
      <c r="D53" s="294" t="s">
        <v>762</v>
      </c>
      <c r="E53" s="297"/>
      <c r="F53" s="297"/>
      <c r="G53" s="297"/>
      <c r="H53" s="297"/>
      <c r="I53" s="294" t="s">
        <v>684</v>
      </c>
      <c r="J53" s="294" t="s">
        <v>50</v>
      </c>
      <c r="K53" s="298" t="s">
        <v>763</v>
      </c>
      <c r="L53" s="267" t="s">
        <v>50</v>
      </c>
      <c r="M53" s="267" t="s">
        <v>50</v>
      </c>
      <c r="N53" s="255" t="s">
        <v>598</v>
      </c>
    </row>
    <row r="54" spans="1:14" ht="30" customHeight="1">
      <c r="A54" s="296" t="s">
        <v>1963</v>
      </c>
      <c r="B54" s="294" t="s">
        <v>783</v>
      </c>
      <c r="C54" s="294" t="s">
        <v>785</v>
      </c>
      <c r="D54" s="294" t="s">
        <v>762</v>
      </c>
      <c r="E54" s="297"/>
      <c r="F54" s="297"/>
      <c r="G54" s="297"/>
      <c r="H54" s="297"/>
      <c r="I54" s="294" t="s">
        <v>686</v>
      </c>
      <c r="J54" s="294" t="s">
        <v>50</v>
      </c>
      <c r="K54" s="298" t="s">
        <v>763</v>
      </c>
      <c r="L54" s="267" t="s">
        <v>50</v>
      </c>
      <c r="M54" s="267" t="s">
        <v>50</v>
      </c>
      <c r="N54" s="255" t="s">
        <v>598</v>
      </c>
    </row>
    <row r="55" spans="1:14" ht="30" customHeight="1">
      <c r="A55" s="296" t="s">
        <v>1964</v>
      </c>
      <c r="B55" s="294" t="s">
        <v>786</v>
      </c>
      <c r="C55" s="294" t="s">
        <v>787</v>
      </c>
      <c r="D55" s="294" t="s">
        <v>762</v>
      </c>
      <c r="E55" s="297"/>
      <c r="F55" s="297"/>
      <c r="G55" s="297"/>
      <c r="H55" s="297"/>
      <c r="I55" s="294" t="s">
        <v>687</v>
      </c>
      <c r="J55" s="294" t="s">
        <v>50</v>
      </c>
      <c r="K55" s="298" t="s">
        <v>763</v>
      </c>
      <c r="L55" s="267" t="s">
        <v>50</v>
      </c>
      <c r="M55" s="267" t="s">
        <v>50</v>
      </c>
      <c r="N55" s="255" t="s">
        <v>598</v>
      </c>
    </row>
    <row r="56" spans="1:14" ht="30" customHeight="1">
      <c r="A56" s="296" t="s">
        <v>1965</v>
      </c>
      <c r="B56" s="294" t="s">
        <v>788</v>
      </c>
      <c r="C56" s="294" t="s">
        <v>789</v>
      </c>
      <c r="D56" s="294" t="s">
        <v>762</v>
      </c>
      <c r="E56" s="297"/>
      <c r="F56" s="297"/>
      <c r="G56" s="297"/>
      <c r="H56" s="297"/>
      <c r="I56" s="294" t="s">
        <v>688</v>
      </c>
      <c r="J56" s="294" t="s">
        <v>50</v>
      </c>
      <c r="K56" s="298" t="s">
        <v>763</v>
      </c>
      <c r="L56" s="267" t="s">
        <v>50</v>
      </c>
      <c r="M56" s="267" t="s">
        <v>50</v>
      </c>
      <c r="N56" s="255" t="s">
        <v>598</v>
      </c>
    </row>
    <row r="57" spans="1:14" ht="30" customHeight="1">
      <c r="A57" s="296" t="s">
        <v>1966</v>
      </c>
      <c r="B57" s="294" t="s">
        <v>790</v>
      </c>
      <c r="C57" s="294" t="s">
        <v>791</v>
      </c>
      <c r="D57" s="294" t="s">
        <v>762</v>
      </c>
      <c r="E57" s="297"/>
      <c r="F57" s="297"/>
      <c r="G57" s="297"/>
      <c r="H57" s="297"/>
      <c r="I57" s="294" t="s">
        <v>689</v>
      </c>
      <c r="J57" s="294" t="s">
        <v>50</v>
      </c>
      <c r="K57" s="298" t="s">
        <v>763</v>
      </c>
      <c r="L57" s="267" t="s">
        <v>50</v>
      </c>
      <c r="M57" s="267" t="s">
        <v>50</v>
      </c>
      <c r="N57" s="255" t="s">
        <v>598</v>
      </c>
    </row>
    <row r="58" spans="1:14" ht="30" customHeight="1">
      <c r="A58" s="296" t="s">
        <v>1967</v>
      </c>
      <c r="B58" s="294" t="s">
        <v>665</v>
      </c>
      <c r="C58" s="294" t="s">
        <v>792</v>
      </c>
      <c r="D58" s="294" t="s">
        <v>644</v>
      </c>
      <c r="E58" s="297"/>
      <c r="F58" s="297"/>
      <c r="G58" s="297"/>
      <c r="H58" s="297"/>
      <c r="I58" s="294" t="s">
        <v>690</v>
      </c>
      <c r="J58" s="294" t="s">
        <v>793</v>
      </c>
      <c r="K58" s="298" t="s">
        <v>50</v>
      </c>
      <c r="L58" s="267" t="s">
        <v>50</v>
      </c>
      <c r="M58" s="267" t="s">
        <v>50</v>
      </c>
      <c r="N58" s="255" t="s">
        <v>50</v>
      </c>
    </row>
    <row r="59" spans="1:14" ht="30" customHeight="1">
      <c r="A59" s="296" t="s">
        <v>1968</v>
      </c>
      <c r="B59" s="294" t="s">
        <v>783</v>
      </c>
      <c r="C59" s="294" t="s">
        <v>794</v>
      </c>
      <c r="D59" s="294" t="s">
        <v>762</v>
      </c>
      <c r="E59" s="297"/>
      <c r="F59" s="297"/>
      <c r="G59" s="297"/>
      <c r="H59" s="297"/>
      <c r="I59" s="294" t="s">
        <v>691</v>
      </c>
      <c r="J59" s="294" t="s">
        <v>50</v>
      </c>
      <c r="K59" s="298" t="s">
        <v>763</v>
      </c>
      <c r="L59" s="267" t="s">
        <v>50</v>
      </c>
      <c r="M59" s="267" t="s">
        <v>50</v>
      </c>
      <c r="N59" s="255" t="s">
        <v>598</v>
      </c>
    </row>
    <row r="60" spans="1:14" ht="30" customHeight="1">
      <c r="A60" s="296" t="s">
        <v>1969</v>
      </c>
      <c r="B60" s="294" t="s">
        <v>795</v>
      </c>
      <c r="C60" s="294" t="s">
        <v>796</v>
      </c>
      <c r="D60" s="294" t="s">
        <v>762</v>
      </c>
      <c r="E60" s="297"/>
      <c r="F60" s="297"/>
      <c r="G60" s="297"/>
      <c r="H60" s="297"/>
      <c r="I60" s="294" t="s">
        <v>692</v>
      </c>
      <c r="J60" s="294" t="s">
        <v>50</v>
      </c>
      <c r="K60" s="298" t="s">
        <v>763</v>
      </c>
      <c r="L60" s="267" t="s">
        <v>50</v>
      </c>
      <c r="M60" s="267" t="s">
        <v>50</v>
      </c>
      <c r="N60" s="255" t="s">
        <v>598</v>
      </c>
    </row>
    <row r="61" spans="1:14" ht="30" customHeight="1">
      <c r="A61" s="296" t="s">
        <v>1970</v>
      </c>
      <c r="B61" s="294" t="s">
        <v>760</v>
      </c>
      <c r="C61" s="294" t="s">
        <v>797</v>
      </c>
      <c r="D61" s="294" t="s">
        <v>762</v>
      </c>
      <c r="E61" s="297"/>
      <c r="F61" s="297"/>
      <c r="G61" s="297"/>
      <c r="H61" s="297"/>
      <c r="I61" s="294" t="s">
        <v>693</v>
      </c>
      <c r="J61" s="294" t="s">
        <v>50</v>
      </c>
      <c r="K61" s="298" t="s">
        <v>763</v>
      </c>
      <c r="L61" s="267" t="s">
        <v>50</v>
      </c>
      <c r="M61" s="267" t="s">
        <v>50</v>
      </c>
      <c r="N61" s="255" t="s">
        <v>598</v>
      </c>
    </row>
    <row r="62" spans="1:14" ht="30" customHeight="1">
      <c r="A62" s="296" t="s">
        <v>1971</v>
      </c>
      <c r="B62" s="294" t="s">
        <v>798</v>
      </c>
      <c r="C62" s="294" t="s">
        <v>799</v>
      </c>
      <c r="D62" s="294" t="s">
        <v>762</v>
      </c>
      <c r="E62" s="297"/>
      <c r="F62" s="297"/>
      <c r="G62" s="297"/>
      <c r="H62" s="297"/>
      <c r="I62" s="294" t="s">
        <v>694</v>
      </c>
      <c r="J62" s="294" t="s">
        <v>50</v>
      </c>
      <c r="K62" s="298" t="s">
        <v>763</v>
      </c>
      <c r="L62" s="267" t="s">
        <v>50</v>
      </c>
      <c r="M62" s="267" t="s">
        <v>50</v>
      </c>
      <c r="N62" s="255" t="s">
        <v>598</v>
      </c>
    </row>
    <row r="63" spans="1:14" ht="30" customHeight="1">
      <c r="A63" s="296" t="s">
        <v>1972</v>
      </c>
      <c r="B63" s="294" t="s">
        <v>800</v>
      </c>
      <c r="C63" s="294" t="s">
        <v>801</v>
      </c>
      <c r="D63" s="294" t="s">
        <v>762</v>
      </c>
      <c r="E63" s="297"/>
      <c r="F63" s="297"/>
      <c r="G63" s="297"/>
      <c r="H63" s="297"/>
      <c r="I63" s="294" t="s">
        <v>697</v>
      </c>
      <c r="J63" s="294" t="s">
        <v>50</v>
      </c>
      <c r="K63" s="298" t="s">
        <v>763</v>
      </c>
      <c r="L63" s="267" t="s">
        <v>50</v>
      </c>
      <c r="M63" s="267" t="s">
        <v>50</v>
      </c>
      <c r="N63" s="255" t="s">
        <v>598</v>
      </c>
    </row>
    <row r="64" spans="1:14" ht="30" customHeight="1">
      <c r="A64" s="296" t="s">
        <v>1973</v>
      </c>
      <c r="B64" s="294" t="s">
        <v>802</v>
      </c>
      <c r="C64" s="294" t="s">
        <v>803</v>
      </c>
      <c r="D64" s="294" t="s">
        <v>762</v>
      </c>
      <c r="E64" s="297"/>
      <c r="F64" s="297"/>
      <c r="G64" s="297"/>
      <c r="H64" s="297"/>
      <c r="I64" s="294" t="s">
        <v>698</v>
      </c>
      <c r="J64" s="294" t="s">
        <v>50</v>
      </c>
      <c r="K64" s="298" t="s">
        <v>763</v>
      </c>
      <c r="L64" s="267" t="s">
        <v>50</v>
      </c>
      <c r="M64" s="267" t="s">
        <v>50</v>
      </c>
      <c r="N64" s="255" t="s">
        <v>598</v>
      </c>
    </row>
    <row r="65" spans="1:14" ht="30" customHeight="1">
      <c r="A65" s="296" t="s">
        <v>1974</v>
      </c>
      <c r="B65" s="294" t="s">
        <v>790</v>
      </c>
      <c r="C65" s="294" t="s">
        <v>804</v>
      </c>
      <c r="D65" s="294" t="s">
        <v>762</v>
      </c>
      <c r="E65" s="297"/>
      <c r="F65" s="297"/>
      <c r="G65" s="297"/>
      <c r="H65" s="297"/>
      <c r="I65" s="294" t="s">
        <v>699</v>
      </c>
      <c r="J65" s="294" t="s">
        <v>50</v>
      </c>
      <c r="K65" s="298" t="s">
        <v>763</v>
      </c>
      <c r="L65" s="267" t="s">
        <v>50</v>
      </c>
      <c r="M65" s="267" t="s">
        <v>50</v>
      </c>
      <c r="N65" s="255" t="s">
        <v>598</v>
      </c>
    </row>
    <row r="66" spans="1:14" ht="30" customHeight="1">
      <c r="A66" s="296" t="s">
        <v>1975</v>
      </c>
      <c r="B66" s="294" t="s">
        <v>806</v>
      </c>
      <c r="C66" s="294" t="s">
        <v>767</v>
      </c>
      <c r="D66" s="294" t="s">
        <v>762</v>
      </c>
      <c r="E66" s="297"/>
      <c r="F66" s="297"/>
      <c r="G66" s="297"/>
      <c r="H66" s="297"/>
      <c r="I66" s="294" t="s">
        <v>700</v>
      </c>
      <c r="J66" s="294" t="s">
        <v>50</v>
      </c>
      <c r="K66" s="298" t="s">
        <v>763</v>
      </c>
      <c r="L66" s="267" t="s">
        <v>50</v>
      </c>
      <c r="M66" s="267" t="s">
        <v>50</v>
      </c>
      <c r="N66" s="255" t="s">
        <v>598</v>
      </c>
    </row>
    <row r="67" spans="1:14" ht="30" customHeight="1">
      <c r="A67" s="296" t="s">
        <v>1976</v>
      </c>
      <c r="B67" s="294" t="s">
        <v>807</v>
      </c>
      <c r="C67" s="294" t="s">
        <v>808</v>
      </c>
      <c r="D67" s="294" t="s">
        <v>762</v>
      </c>
      <c r="E67" s="297"/>
      <c r="F67" s="297"/>
      <c r="G67" s="297"/>
      <c r="H67" s="297"/>
      <c r="I67" s="294" t="s">
        <v>701</v>
      </c>
      <c r="J67" s="294" t="s">
        <v>50</v>
      </c>
      <c r="K67" s="298" t="s">
        <v>763</v>
      </c>
      <c r="L67" s="267" t="s">
        <v>50</v>
      </c>
      <c r="M67" s="267" t="s">
        <v>50</v>
      </c>
      <c r="N67" s="255" t="s">
        <v>598</v>
      </c>
    </row>
    <row r="68" spans="1:14" ht="30" customHeight="1">
      <c r="A68" s="296" t="s">
        <v>1977</v>
      </c>
      <c r="B68" s="294" t="s">
        <v>771</v>
      </c>
      <c r="C68" s="294" t="s">
        <v>809</v>
      </c>
      <c r="D68" s="294" t="s">
        <v>762</v>
      </c>
      <c r="E68" s="297"/>
      <c r="F68" s="297"/>
      <c r="G68" s="297"/>
      <c r="H68" s="297"/>
      <c r="I68" s="294" t="s">
        <v>702</v>
      </c>
      <c r="J68" s="294" t="s">
        <v>50</v>
      </c>
      <c r="K68" s="298" t="s">
        <v>763</v>
      </c>
      <c r="L68" s="267" t="s">
        <v>50</v>
      </c>
      <c r="M68" s="267" t="s">
        <v>50</v>
      </c>
      <c r="N68" s="255" t="s">
        <v>598</v>
      </c>
    </row>
    <row r="69" spans="1:14" ht="30" customHeight="1">
      <c r="A69" s="296" t="s">
        <v>1978</v>
      </c>
      <c r="B69" s="294" t="s">
        <v>728</v>
      </c>
      <c r="C69" s="294" t="s">
        <v>50</v>
      </c>
      <c r="D69" s="294" t="s">
        <v>596</v>
      </c>
      <c r="E69" s="297"/>
      <c r="F69" s="297"/>
      <c r="G69" s="297"/>
      <c r="H69" s="297"/>
      <c r="I69" s="294" t="s">
        <v>703</v>
      </c>
      <c r="J69" s="294" t="s">
        <v>50</v>
      </c>
      <c r="K69" s="298" t="s">
        <v>50</v>
      </c>
      <c r="L69" s="267" t="s">
        <v>50</v>
      </c>
      <c r="M69" s="267" t="s">
        <v>50</v>
      </c>
      <c r="N69" s="255" t="s">
        <v>50</v>
      </c>
    </row>
  </sheetData>
  <phoneticPr fontId="3" type="noConversion"/>
  <pageMargins left="0.59055118110236215" right="0.39370078740157483" top="0.39370078740157483" bottom="0.39370078740157483" header="0.19685039370078741" footer="0.19685039370078741"/>
  <pageSetup paperSize="9" scale="7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Z448"/>
  <sheetViews>
    <sheetView showZeros="0" view="pageBreakPreview" zoomScale="85" zoomScaleNormal="100" zoomScaleSheetLayoutView="85" workbookViewId="0">
      <selection activeCell="E4" sqref="E4:L448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>
      <c r="A1" s="249" t="s">
        <v>1746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1"/>
    </row>
    <row r="2" spans="1:52" ht="30" customHeight="1">
      <c r="A2" s="570" t="s">
        <v>115</v>
      </c>
      <c r="B2" s="570" t="s">
        <v>116</v>
      </c>
      <c r="C2" s="570" t="s">
        <v>117</v>
      </c>
      <c r="D2" s="570" t="s">
        <v>118</v>
      </c>
      <c r="E2" s="570" t="s">
        <v>119</v>
      </c>
      <c r="F2" s="570"/>
      <c r="G2" s="570" t="s">
        <v>120</v>
      </c>
      <c r="H2" s="570"/>
      <c r="I2" s="570" t="s">
        <v>121</v>
      </c>
      <c r="J2" s="570"/>
      <c r="K2" s="570" t="s">
        <v>122</v>
      </c>
      <c r="L2" s="570"/>
      <c r="M2" s="570" t="s">
        <v>123</v>
      </c>
      <c r="N2" s="569" t="s">
        <v>810</v>
      </c>
      <c r="O2" s="569" t="s">
        <v>565</v>
      </c>
      <c r="P2" s="569" t="s">
        <v>567</v>
      </c>
      <c r="Q2" s="569" t="s">
        <v>568</v>
      </c>
      <c r="R2" s="569" t="s">
        <v>569</v>
      </c>
      <c r="S2" s="569" t="s">
        <v>570</v>
      </c>
      <c r="T2" s="569" t="s">
        <v>571</v>
      </c>
      <c r="U2" s="569" t="s">
        <v>572</v>
      </c>
      <c r="V2" s="569" t="s">
        <v>573</v>
      </c>
      <c r="W2" s="569" t="s">
        <v>574</v>
      </c>
      <c r="X2" s="569" t="s">
        <v>575</v>
      </c>
      <c r="Y2" s="569" t="s">
        <v>576</v>
      </c>
      <c r="Z2" s="569" t="s">
        <v>577</v>
      </c>
      <c r="AA2" s="569" t="s">
        <v>578</v>
      </c>
      <c r="AB2" s="569" t="s">
        <v>579</v>
      </c>
      <c r="AC2" s="569" t="s">
        <v>580</v>
      </c>
      <c r="AD2" s="569" t="s">
        <v>581</v>
      </c>
      <c r="AE2" s="569" t="s">
        <v>582</v>
      </c>
      <c r="AF2" s="569" t="s">
        <v>583</v>
      </c>
      <c r="AG2" s="569" t="s">
        <v>584</v>
      </c>
      <c r="AH2" s="569" t="s">
        <v>585</v>
      </c>
      <c r="AI2" s="569" t="s">
        <v>586</v>
      </c>
      <c r="AJ2" s="569" t="s">
        <v>587</v>
      </c>
      <c r="AK2" s="569" t="s">
        <v>588</v>
      </c>
      <c r="AL2" s="569" t="s">
        <v>589</v>
      </c>
      <c r="AM2" s="569" t="s">
        <v>590</v>
      </c>
      <c r="AN2" s="569" t="s">
        <v>591</v>
      </c>
      <c r="AO2" s="569" t="s">
        <v>592</v>
      </c>
      <c r="AP2" s="569" t="s">
        <v>811</v>
      </c>
      <c r="AQ2" s="569" t="s">
        <v>812</v>
      </c>
      <c r="AR2" s="569" t="s">
        <v>813</v>
      </c>
      <c r="AS2" s="569" t="s">
        <v>814</v>
      </c>
      <c r="AT2" s="569" t="s">
        <v>815</v>
      </c>
      <c r="AU2" s="569" t="s">
        <v>816</v>
      </c>
      <c r="AV2" s="569" t="s">
        <v>593</v>
      </c>
      <c r="AW2" s="569" t="s">
        <v>817</v>
      </c>
      <c r="AX2" s="464" t="s">
        <v>749</v>
      </c>
      <c r="AY2" s="464" t="s">
        <v>566</v>
      </c>
      <c r="AZ2" s="464" t="s">
        <v>818</v>
      </c>
    </row>
    <row r="3" spans="1:52" ht="30" customHeight="1">
      <c r="A3" s="570"/>
      <c r="B3" s="570"/>
      <c r="C3" s="570"/>
      <c r="D3" s="570"/>
      <c r="E3" s="462" t="s">
        <v>131</v>
      </c>
      <c r="F3" s="462" t="s">
        <v>132</v>
      </c>
      <c r="G3" s="462" t="s">
        <v>131</v>
      </c>
      <c r="H3" s="462" t="s">
        <v>132</v>
      </c>
      <c r="I3" s="462" t="s">
        <v>131</v>
      </c>
      <c r="J3" s="462" t="s">
        <v>132</v>
      </c>
      <c r="K3" s="462" t="s">
        <v>131</v>
      </c>
      <c r="L3" s="462" t="s">
        <v>132</v>
      </c>
      <c r="M3" s="570"/>
      <c r="N3" s="569"/>
      <c r="O3" s="569"/>
      <c r="P3" s="569"/>
      <c r="Q3" s="569"/>
      <c r="R3" s="569"/>
      <c r="S3" s="569"/>
      <c r="T3" s="569"/>
      <c r="U3" s="569"/>
      <c r="V3" s="569"/>
      <c r="W3" s="569"/>
      <c r="X3" s="569"/>
      <c r="Y3" s="569"/>
      <c r="Z3" s="569"/>
      <c r="AA3" s="569"/>
      <c r="AB3" s="569"/>
      <c r="AC3" s="569"/>
      <c r="AD3" s="569"/>
      <c r="AE3" s="569"/>
      <c r="AF3" s="569"/>
      <c r="AG3" s="569"/>
      <c r="AH3" s="569"/>
      <c r="AI3" s="569"/>
      <c r="AJ3" s="569"/>
      <c r="AK3" s="569"/>
      <c r="AL3" s="569"/>
      <c r="AM3" s="569"/>
      <c r="AN3" s="569"/>
      <c r="AO3" s="569"/>
      <c r="AP3" s="569"/>
      <c r="AQ3" s="569"/>
      <c r="AR3" s="569"/>
      <c r="AS3" s="569"/>
      <c r="AT3" s="569"/>
      <c r="AU3" s="569"/>
      <c r="AV3" s="569"/>
      <c r="AW3" s="569"/>
    </row>
    <row r="4" spans="1:52" ht="30" customHeight="1">
      <c r="A4" s="299" t="s">
        <v>1540</v>
      </c>
      <c r="B4" s="300"/>
      <c r="C4" s="300"/>
      <c r="D4" s="300"/>
      <c r="E4" s="301"/>
      <c r="F4" s="302"/>
      <c r="G4" s="301"/>
      <c r="H4" s="302"/>
      <c r="I4" s="301"/>
      <c r="J4" s="302"/>
      <c r="K4" s="301"/>
      <c r="L4" s="302"/>
      <c r="M4" s="300"/>
      <c r="N4" s="464" t="s">
        <v>1796</v>
      </c>
    </row>
    <row r="5" spans="1:52" ht="30" customHeight="1">
      <c r="A5" s="258" t="s">
        <v>750</v>
      </c>
      <c r="B5" s="258" t="s">
        <v>1940</v>
      </c>
      <c r="C5" s="258" t="s">
        <v>596</v>
      </c>
      <c r="D5" s="259">
        <v>1</v>
      </c>
      <c r="E5" s="303"/>
      <c r="F5" s="297"/>
      <c r="G5" s="303"/>
      <c r="H5" s="297"/>
      <c r="I5" s="303"/>
      <c r="J5" s="297"/>
      <c r="K5" s="303"/>
      <c r="L5" s="297"/>
      <c r="M5" s="258" t="s">
        <v>633</v>
      </c>
      <c r="N5" s="255" t="s">
        <v>1796</v>
      </c>
      <c r="O5" s="255" t="s">
        <v>1939</v>
      </c>
      <c r="P5" s="255" t="s">
        <v>598</v>
      </c>
      <c r="Q5" s="255" t="s">
        <v>599</v>
      </c>
      <c r="R5" s="255" t="s">
        <v>599</v>
      </c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5" t="s">
        <v>50</v>
      </c>
      <c r="AW5" s="255" t="s">
        <v>1979</v>
      </c>
      <c r="AX5" s="255" t="s">
        <v>50</v>
      </c>
      <c r="AY5" s="255" t="s">
        <v>50</v>
      </c>
      <c r="AZ5" s="255" t="s">
        <v>50</v>
      </c>
    </row>
    <row r="6" spans="1:52" ht="30" customHeight="1">
      <c r="A6" s="258" t="s">
        <v>758</v>
      </c>
      <c r="B6" s="258" t="s">
        <v>1513</v>
      </c>
      <c r="C6" s="258" t="s">
        <v>596</v>
      </c>
      <c r="D6" s="259">
        <v>1</v>
      </c>
      <c r="E6" s="303"/>
      <c r="F6" s="297"/>
      <c r="G6" s="303"/>
      <c r="H6" s="297"/>
      <c r="I6" s="303"/>
      <c r="J6" s="297"/>
      <c r="K6" s="303"/>
      <c r="L6" s="297"/>
      <c r="M6" s="258" t="s">
        <v>634</v>
      </c>
      <c r="N6" s="255" t="s">
        <v>1796</v>
      </c>
      <c r="O6" s="255" t="s">
        <v>1941</v>
      </c>
      <c r="P6" s="255" t="s">
        <v>598</v>
      </c>
      <c r="Q6" s="255" t="s">
        <v>599</v>
      </c>
      <c r="R6" s="255" t="s">
        <v>599</v>
      </c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5" t="s">
        <v>50</v>
      </c>
      <c r="AW6" s="255" t="s">
        <v>1980</v>
      </c>
      <c r="AX6" s="255" t="s">
        <v>50</v>
      </c>
      <c r="AY6" s="255" t="s">
        <v>50</v>
      </c>
      <c r="AZ6" s="255" t="s">
        <v>50</v>
      </c>
    </row>
    <row r="7" spans="1:52" ht="30" customHeight="1">
      <c r="A7" s="258" t="s">
        <v>764</v>
      </c>
      <c r="B7" s="258" t="s">
        <v>765</v>
      </c>
      <c r="C7" s="258" t="s">
        <v>596</v>
      </c>
      <c r="D7" s="259">
        <v>1</v>
      </c>
      <c r="E7" s="303"/>
      <c r="F7" s="297"/>
      <c r="G7" s="303"/>
      <c r="H7" s="297"/>
      <c r="I7" s="303"/>
      <c r="J7" s="297"/>
      <c r="K7" s="303"/>
      <c r="L7" s="297"/>
      <c r="M7" s="258" t="s">
        <v>635</v>
      </c>
      <c r="N7" s="255" t="s">
        <v>1796</v>
      </c>
      <c r="O7" s="255" t="s">
        <v>1942</v>
      </c>
      <c r="P7" s="255" t="s">
        <v>598</v>
      </c>
      <c r="Q7" s="255" t="s">
        <v>599</v>
      </c>
      <c r="R7" s="255" t="s">
        <v>599</v>
      </c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5" t="s">
        <v>50</v>
      </c>
      <c r="AW7" s="255" t="s">
        <v>1981</v>
      </c>
      <c r="AX7" s="255" t="s">
        <v>50</v>
      </c>
      <c r="AY7" s="255" t="s">
        <v>50</v>
      </c>
      <c r="AZ7" s="255" t="s">
        <v>50</v>
      </c>
    </row>
    <row r="8" spans="1:52" ht="30" customHeight="1">
      <c r="A8" s="258" t="s">
        <v>820</v>
      </c>
      <c r="B8" s="258" t="s">
        <v>50</v>
      </c>
      <c r="C8" s="258" t="s">
        <v>50</v>
      </c>
      <c r="D8" s="259"/>
      <c r="E8" s="303"/>
      <c r="F8" s="297"/>
      <c r="G8" s="303"/>
      <c r="H8" s="297"/>
      <c r="I8" s="303"/>
      <c r="J8" s="297"/>
      <c r="K8" s="303"/>
      <c r="L8" s="297"/>
      <c r="M8" s="258" t="s">
        <v>50</v>
      </c>
      <c r="N8" s="255" t="s">
        <v>617</v>
      </c>
      <c r="O8" s="255" t="s">
        <v>617</v>
      </c>
      <c r="P8" s="255" t="s">
        <v>50</v>
      </c>
      <c r="Q8" s="255" t="s">
        <v>50</v>
      </c>
      <c r="R8" s="255" t="s">
        <v>50</v>
      </c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5" t="s">
        <v>50</v>
      </c>
      <c r="AW8" s="255" t="s">
        <v>50</v>
      </c>
      <c r="AX8" s="255" t="s">
        <v>50</v>
      </c>
      <c r="AY8" s="255" t="s">
        <v>50</v>
      </c>
      <c r="AZ8" s="255" t="s">
        <v>50</v>
      </c>
    </row>
    <row r="9" spans="1:52" ht="30" customHeight="1">
      <c r="A9" s="259"/>
      <c r="B9" s="259"/>
      <c r="C9" s="259"/>
      <c r="D9" s="259"/>
      <c r="E9" s="303"/>
      <c r="F9" s="297"/>
      <c r="G9" s="303"/>
      <c r="H9" s="297"/>
      <c r="I9" s="303"/>
      <c r="J9" s="297"/>
      <c r="K9" s="303"/>
      <c r="L9" s="297"/>
      <c r="M9" s="259"/>
    </row>
    <row r="10" spans="1:52" ht="30" customHeight="1">
      <c r="A10" s="299" t="s">
        <v>1541</v>
      </c>
      <c r="B10" s="300"/>
      <c r="C10" s="300"/>
      <c r="D10" s="300"/>
      <c r="E10" s="301"/>
      <c r="F10" s="302"/>
      <c r="G10" s="301"/>
      <c r="H10" s="302"/>
      <c r="I10" s="301"/>
      <c r="J10" s="302"/>
      <c r="K10" s="301"/>
      <c r="L10" s="302"/>
      <c r="M10" s="300"/>
      <c r="N10" s="464" t="s">
        <v>1798</v>
      </c>
    </row>
    <row r="11" spans="1:52" ht="30" customHeight="1">
      <c r="A11" s="258" t="s">
        <v>755</v>
      </c>
      <c r="B11" s="258" t="s">
        <v>1947</v>
      </c>
      <c r="C11" s="258" t="s">
        <v>596</v>
      </c>
      <c r="D11" s="259">
        <v>1</v>
      </c>
      <c r="E11" s="303"/>
      <c r="F11" s="297"/>
      <c r="G11" s="303"/>
      <c r="H11" s="297"/>
      <c r="I11" s="303"/>
      <c r="J11" s="297"/>
      <c r="K11" s="303"/>
      <c r="L11" s="297"/>
      <c r="M11" s="258" t="s">
        <v>639</v>
      </c>
      <c r="N11" s="255" t="s">
        <v>1798</v>
      </c>
      <c r="O11" s="255" t="s">
        <v>1946</v>
      </c>
      <c r="P11" s="255" t="s">
        <v>598</v>
      </c>
      <c r="Q11" s="255" t="s">
        <v>599</v>
      </c>
      <c r="R11" s="255" t="s">
        <v>599</v>
      </c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5" t="s">
        <v>50</v>
      </c>
      <c r="AW11" s="255" t="s">
        <v>1982</v>
      </c>
      <c r="AX11" s="255" t="s">
        <v>50</v>
      </c>
      <c r="AY11" s="255" t="s">
        <v>50</v>
      </c>
      <c r="AZ11" s="255" t="s">
        <v>50</v>
      </c>
    </row>
    <row r="12" spans="1:52" ht="30" customHeight="1">
      <c r="A12" s="258" t="s">
        <v>756</v>
      </c>
      <c r="B12" s="258" t="s">
        <v>757</v>
      </c>
      <c r="C12" s="258" t="s">
        <v>596</v>
      </c>
      <c r="D12" s="259">
        <v>1</v>
      </c>
      <c r="E12" s="303"/>
      <c r="F12" s="297"/>
      <c r="G12" s="303"/>
      <c r="H12" s="297"/>
      <c r="I12" s="303"/>
      <c r="J12" s="297"/>
      <c r="K12" s="303"/>
      <c r="L12" s="297"/>
      <c r="M12" s="258" t="s">
        <v>640</v>
      </c>
      <c r="N12" s="255" t="s">
        <v>1798</v>
      </c>
      <c r="O12" s="255" t="s">
        <v>1948</v>
      </c>
      <c r="P12" s="255" t="s">
        <v>598</v>
      </c>
      <c r="Q12" s="255" t="s">
        <v>599</v>
      </c>
      <c r="R12" s="255" t="s">
        <v>599</v>
      </c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5" t="s">
        <v>50</v>
      </c>
      <c r="AW12" s="255" t="s">
        <v>1983</v>
      </c>
      <c r="AX12" s="255" t="s">
        <v>50</v>
      </c>
      <c r="AY12" s="255" t="s">
        <v>50</v>
      </c>
      <c r="AZ12" s="255" t="s">
        <v>50</v>
      </c>
    </row>
    <row r="13" spans="1:52" ht="30" customHeight="1">
      <c r="A13" s="258" t="s">
        <v>758</v>
      </c>
      <c r="B13" s="258" t="s">
        <v>759</v>
      </c>
      <c r="C13" s="258" t="s">
        <v>596</v>
      </c>
      <c r="D13" s="259">
        <v>1</v>
      </c>
      <c r="E13" s="303"/>
      <c r="F13" s="297"/>
      <c r="G13" s="303"/>
      <c r="H13" s="297"/>
      <c r="I13" s="303"/>
      <c r="J13" s="297"/>
      <c r="K13" s="303"/>
      <c r="L13" s="297"/>
      <c r="M13" s="258" t="s">
        <v>641</v>
      </c>
      <c r="N13" s="255" t="s">
        <v>1798</v>
      </c>
      <c r="O13" s="255" t="s">
        <v>1949</v>
      </c>
      <c r="P13" s="255" t="s">
        <v>598</v>
      </c>
      <c r="Q13" s="255" t="s">
        <v>599</v>
      </c>
      <c r="R13" s="255" t="s">
        <v>599</v>
      </c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5" t="s">
        <v>50</v>
      </c>
      <c r="AW13" s="255" t="s">
        <v>1984</v>
      </c>
      <c r="AX13" s="255" t="s">
        <v>50</v>
      </c>
      <c r="AY13" s="255" t="s">
        <v>50</v>
      </c>
      <c r="AZ13" s="255" t="s">
        <v>50</v>
      </c>
    </row>
    <row r="14" spans="1:52" ht="30" customHeight="1">
      <c r="A14" s="258" t="s">
        <v>751</v>
      </c>
      <c r="B14" s="258" t="s">
        <v>752</v>
      </c>
      <c r="C14" s="258" t="s">
        <v>650</v>
      </c>
      <c r="D14" s="259">
        <v>3.7999999999999999E-2</v>
      </c>
      <c r="E14" s="303"/>
      <c r="F14" s="297"/>
      <c r="G14" s="303"/>
      <c r="H14" s="297"/>
      <c r="I14" s="303"/>
      <c r="J14" s="297"/>
      <c r="K14" s="303"/>
      <c r="L14" s="297"/>
      <c r="M14" s="258" t="s">
        <v>636</v>
      </c>
      <c r="N14" s="255" t="s">
        <v>1798</v>
      </c>
      <c r="O14" s="255" t="s">
        <v>1943</v>
      </c>
      <c r="P14" s="255" t="s">
        <v>598</v>
      </c>
      <c r="Q14" s="255" t="s">
        <v>599</v>
      </c>
      <c r="R14" s="255" t="s">
        <v>599</v>
      </c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5" t="s">
        <v>50</v>
      </c>
      <c r="AW14" s="255" t="s">
        <v>1985</v>
      </c>
      <c r="AX14" s="255" t="s">
        <v>50</v>
      </c>
      <c r="AY14" s="255" t="s">
        <v>50</v>
      </c>
      <c r="AZ14" s="255" t="s">
        <v>50</v>
      </c>
    </row>
    <row r="15" spans="1:52" ht="30" customHeight="1">
      <c r="A15" s="258" t="s">
        <v>820</v>
      </c>
      <c r="B15" s="258" t="s">
        <v>50</v>
      </c>
      <c r="C15" s="258" t="s">
        <v>50</v>
      </c>
      <c r="D15" s="259"/>
      <c r="E15" s="303"/>
      <c r="F15" s="297"/>
      <c r="G15" s="303"/>
      <c r="H15" s="297"/>
      <c r="I15" s="303"/>
      <c r="J15" s="297"/>
      <c r="K15" s="303"/>
      <c r="L15" s="297"/>
      <c r="M15" s="258" t="s">
        <v>50</v>
      </c>
      <c r="N15" s="255" t="s">
        <v>617</v>
      </c>
      <c r="O15" s="255" t="s">
        <v>617</v>
      </c>
      <c r="P15" s="255" t="s">
        <v>50</v>
      </c>
      <c r="Q15" s="255" t="s">
        <v>50</v>
      </c>
      <c r="R15" s="255" t="s">
        <v>50</v>
      </c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5" t="s">
        <v>50</v>
      </c>
      <c r="AW15" s="255" t="s">
        <v>50</v>
      </c>
      <c r="AX15" s="255" t="s">
        <v>50</v>
      </c>
      <c r="AY15" s="255" t="s">
        <v>50</v>
      </c>
      <c r="AZ15" s="255" t="s">
        <v>50</v>
      </c>
    </row>
    <row r="16" spans="1:52" ht="30" customHeight="1">
      <c r="A16" s="259"/>
      <c r="B16" s="259"/>
      <c r="C16" s="259"/>
      <c r="D16" s="259"/>
      <c r="E16" s="303"/>
      <c r="F16" s="297"/>
      <c r="G16" s="303"/>
      <c r="H16" s="297"/>
      <c r="I16" s="303"/>
      <c r="J16" s="297"/>
      <c r="K16" s="303"/>
      <c r="L16" s="297"/>
      <c r="M16" s="259"/>
    </row>
    <row r="17" spans="1:52" ht="30" customHeight="1">
      <c r="A17" s="299" t="s">
        <v>1542</v>
      </c>
      <c r="B17" s="300"/>
      <c r="C17" s="300"/>
      <c r="D17" s="300"/>
      <c r="E17" s="301"/>
      <c r="F17" s="302"/>
      <c r="G17" s="301"/>
      <c r="H17" s="302"/>
      <c r="I17" s="301"/>
      <c r="J17" s="302"/>
      <c r="K17" s="301"/>
      <c r="L17" s="302"/>
      <c r="M17" s="300"/>
      <c r="N17" s="464" t="s">
        <v>1800</v>
      </c>
    </row>
    <row r="18" spans="1:52" ht="30" customHeight="1">
      <c r="A18" s="258" t="s">
        <v>821</v>
      </c>
      <c r="B18" s="258" t="s">
        <v>822</v>
      </c>
      <c r="C18" s="258" t="s">
        <v>604</v>
      </c>
      <c r="D18" s="259">
        <v>48</v>
      </c>
      <c r="E18" s="303"/>
      <c r="F18" s="297"/>
      <c r="G18" s="303"/>
      <c r="H18" s="297"/>
      <c r="I18" s="303"/>
      <c r="J18" s="297"/>
      <c r="K18" s="303"/>
      <c r="L18" s="297"/>
      <c r="M18" s="258" t="s">
        <v>823</v>
      </c>
      <c r="N18" s="255" t="s">
        <v>50</v>
      </c>
      <c r="O18" s="255" t="s">
        <v>1986</v>
      </c>
      <c r="P18" s="255" t="s">
        <v>599</v>
      </c>
      <c r="Q18" s="255" t="s">
        <v>599</v>
      </c>
      <c r="R18" s="255" t="s">
        <v>598</v>
      </c>
      <c r="S18" s="256"/>
      <c r="T18" s="256"/>
      <c r="U18" s="256"/>
      <c r="V18" s="256">
        <v>1</v>
      </c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  <c r="AR18" s="256"/>
      <c r="AS18" s="256"/>
      <c r="AT18" s="256"/>
      <c r="AU18" s="256"/>
      <c r="AV18" s="255" t="s">
        <v>50</v>
      </c>
      <c r="AW18" s="255" t="s">
        <v>1987</v>
      </c>
      <c r="AX18" s="255" t="s">
        <v>50</v>
      </c>
      <c r="AY18" s="255" t="s">
        <v>824</v>
      </c>
      <c r="AZ18" s="255" t="s">
        <v>50</v>
      </c>
    </row>
    <row r="19" spans="1:52" ht="30" customHeight="1">
      <c r="A19" s="258" t="s">
        <v>825</v>
      </c>
      <c r="B19" s="258" t="s">
        <v>1988</v>
      </c>
      <c r="C19" s="258" t="s">
        <v>146</v>
      </c>
      <c r="D19" s="259">
        <v>1</v>
      </c>
      <c r="E19" s="303"/>
      <c r="F19" s="297"/>
      <c r="G19" s="303"/>
      <c r="H19" s="297"/>
      <c r="I19" s="303"/>
      <c r="J19" s="297"/>
      <c r="K19" s="303"/>
      <c r="L19" s="297"/>
      <c r="M19" s="258" t="s">
        <v>50</v>
      </c>
      <c r="N19" s="255" t="s">
        <v>1800</v>
      </c>
      <c r="O19" s="255" t="s">
        <v>1900</v>
      </c>
      <c r="P19" s="255" t="s">
        <v>599</v>
      </c>
      <c r="Q19" s="255" t="s">
        <v>599</v>
      </c>
      <c r="R19" s="255" t="s">
        <v>599</v>
      </c>
      <c r="S19" s="256">
        <v>2</v>
      </c>
      <c r="T19" s="256">
        <v>2</v>
      </c>
      <c r="U19" s="256">
        <v>0.36</v>
      </c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5" t="s">
        <v>50</v>
      </c>
      <c r="AW19" s="255" t="s">
        <v>1989</v>
      </c>
      <c r="AX19" s="255" t="s">
        <v>50</v>
      </c>
      <c r="AY19" s="255" t="s">
        <v>50</v>
      </c>
      <c r="AZ19" s="255" t="s">
        <v>50</v>
      </c>
    </row>
    <row r="20" spans="1:52" ht="30" customHeight="1">
      <c r="A20" s="258" t="s">
        <v>758</v>
      </c>
      <c r="B20" s="258" t="s">
        <v>759</v>
      </c>
      <c r="C20" s="258" t="s">
        <v>596</v>
      </c>
      <c r="D20" s="259">
        <v>8</v>
      </c>
      <c r="E20" s="303"/>
      <c r="F20" s="297"/>
      <c r="G20" s="303"/>
      <c r="H20" s="297"/>
      <c r="I20" s="303"/>
      <c r="J20" s="297"/>
      <c r="K20" s="303"/>
      <c r="L20" s="297"/>
      <c r="M20" s="258" t="s">
        <v>641</v>
      </c>
      <c r="N20" s="255" t="s">
        <v>1800</v>
      </c>
      <c r="O20" s="255" t="s">
        <v>1949</v>
      </c>
      <c r="P20" s="255" t="s">
        <v>598</v>
      </c>
      <c r="Q20" s="255" t="s">
        <v>599</v>
      </c>
      <c r="R20" s="255" t="s">
        <v>599</v>
      </c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5" t="s">
        <v>50</v>
      </c>
      <c r="AW20" s="255" t="s">
        <v>1990</v>
      </c>
      <c r="AX20" s="255" t="s">
        <v>50</v>
      </c>
      <c r="AY20" s="255" t="s">
        <v>50</v>
      </c>
      <c r="AZ20" s="255" t="s">
        <v>50</v>
      </c>
    </row>
    <row r="21" spans="1:52" ht="30" customHeight="1">
      <c r="A21" s="258" t="s">
        <v>764</v>
      </c>
      <c r="B21" s="258" t="s">
        <v>765</v>
      </c>
      <c r="C21" s="258" t="s">
        <v>596</v>
      </c>
      <c r="D21" s="259">
        <v>8</v>
      </c>
      <c r="E21" s="303"/>
      <c r="F21" s="297"/>
      <c r="G21" s="303"/>
      <c r="H21" s="297"/>
      <c r="I21" s="303"/>
      <c r="J21" s="297"/>
      <c r="K21" s="303"/>
      <c r="L21" s="297"/>
      <c r="M21" s="258" t="s">
        <v>635</v>
      </c>
      <c r="N21" s="255" t="s">
        <v>1800</v>
      </c>
      <c r="O21" s="255" t="s">
        <v>1942</v>
      </c>
      <c r="P21" s="255" t="s">
        <v>598</v>
      </c>
      <c r="Q21" s="255" t="s">
        <v>599</v>
      </c>
      <c r="R21" s="255" t="s">
        <v>599</v>
      </c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5" t="s">
        <v>50</v>
      </c>
      <c r="AW21" s="255" t="s">
        <v>1991</v>
      </c>
      <c r="AX21" s="255" t="s">
        <v>50</v>
      </c>
      <c r="AY21" s="255" t="s">
        <v>50</v>
      </c>
      <c r="AZ21" s="255" t="s">
        <v>50</v>
      </c>
    </row>
    <row r="22" spans="1:52" ht="30" customHeight="1">
      <c r="A22" s="258" t="s">
        <v>820</v>
      </c>
      <c r="B22" s="258" t="s">
        <v>50</v>
      </c>
      <c r="C22" s="258" t="s">
        <v>50</v>
      </c>
      <c r="D22" s="259"/>
      <c r="E22" s="303"/>
      <c r="F22" s="297"/>
      <c r="G22" s="303"/>
      <c r="H22" s="297"/>
      <c r="I22" s="303"/>
      <c r="J22" s="297"/>
      <c r="K22" s="303"/>
      <c r="L22" s="297"/>
      <c r="M22" s="258" t="s">
        <v>50</v>
      </c>
      <c r="N22" s="255" t="s">
        <v>617</v>
      </c>
      <c r="O22" s="255" t="s">
        <v>617</v>
      </c>
      <c r="P22" s="255" t="s">
        <v>50</v>
      </c>
      <c r="Q22" s="255" t="s">
        <v>50</v>
      </c>
      <c r="R22" s="255" t="s">
        <v>50</v>
      </c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5" t="s">
        <v>50</v>
      </c>
      <c r="AW22" s="255" t="s">
        <v>50</v>
      </c>
      <c r="AX22" s="255" t="s">
        <v>50</v>
      </c>
      <c r="AY22" s="255" t="s">
        <v>50</v>
      </c>
      <c r="AZ22" s="255" t="s">
        <v>50</v>
      </c>
    </row>
    <row r="23" spans="1:52" ht="30" customHeight="1">
      <c r="A23" s="259"/>
      <c r="B23" s="259"/>
      <c r="C23" s="259"/>
      <c r="D23" s="259"/>
      <c r="E23" s="303"/>
      <c r="F23" s="297"/>
      <c r="G23" s="303"/>
      <c r="H23" s="297"/>
      <c r="I23" s="303"/>
      <c r="J23" s="297"/>
      <c r="K23" s="303"/>
      <c r="L23" s="297"/>
      <c r="M23" s="259"/>
    </row>
    <row r="24" spans="1:52" ht="30" customHeight="1">
      <c r="A24" s="299" t="s">
        <v>1543</v>
      </c>
      <c r="B24" s="300"/>
      <c r="C24" s="300"/>
      <c r="D24" s="300"/>
      <c r="E24" s="301"/>
      <c r="F24" s="302"/>
      <c r="G24" s="301"/>
      <c r="H24" s="302"/>
      <c r="I24" s="301"/>
      <c r="J24" s="302"/>
      <c r="K24" s="301"/>
      <c r="L24" s="302"/>
      <c r="M24" s="300"/>
      <c r="N24" s="464" t="s">
        <v>1802</v>
      </c>
    </row>
    <row r="25" spans="1:52" ht="30" customHeight="1">
      <c r="A25" s="258" t="s">
        <v>1544</v>
      </c>
      <c r="B25" s="258" t="s">
        <v>1545</v>
      </c>
      <c r="C25" s="258" t="s">
        <v>704</v>
      </c>
      <c r="D25" s="259">
        <v>0.23</v>
      </c>
      <c r="E25" s="303"/>
      <c r="F25" s="297"/>
      <c r="G25" s="303"/>
      <c r="H25" s="297"/>
      <c r="I25" s="303"/>
      <c r="J25" s="297"/>
      <c r="K25" s="303"/>
      <c r="L25" s="297"/>
      <c r="M25" s="258" t="s">
        <v>823</v>
      </c>
      <c r="N25" s="255" t="s">
        <v>50</v>
      </c>
      <c r="O25" s="255" t="s">
        <v>1992</v>
      </c>
      <c r="P25" s="255" t="s">
        <v>599</v>
      </c>
      <c r="Q25" s="255" t="s">
        <v>599</v>
      </c>
      <c r="R25" s="255" t="s">
        <v>598</v>
      </c>
      <c r="S25" s="256"/>
      <c r="T25" s="256"/>
      <c r="U25" s="256"/>
      <c r="V25" s="256">
        <v>1</v>
      </c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5" t="s">
        <v>50</v>
      </c>
      <c r="AW25" s="255" t="s">
        <v>1993</v>
      </c>
      <c r="AX25" s="255" t="s">
        <v>50</v>
      </c>
      <c r="AY25" s="255" t="s">
        <v>824</v>
      </c>
      <c r="AZ25" s="255" t="s">
        <v>50</v>
      </c>
    </row>
    <row r="26" spans="1:52" ht="30" customHeight="1">
      <c r="A26" s="258" t="s">
        <v>1539</v>
      </c>
      <c r="B26" s="258" t="s">
        <v>1537</v>
      </c>
      <c r="C26" s="258" t="s">
        <v>602</v>
      </c>
      <c r="D26" s="259">
        <v>1</v>
      </c>
      <c r="E26" s="303"/>
      <c r="F26" s="297"/>
      <c r="G26" s="303"/>
      <c r="H26" s="297"/>
      <c r="I26" s="303"/>
      <c r="J26" s="297"/>
      <c r="K26" s="303"/>
      <c r="L26" s="297"/>
      <c r="M26" s="258" t="s">
        <v>823</v>
      </c>
      <c r="N26" s="255" t="s">
        <v>50</v>
      </c>
      <c r="O26" s="255" t="s">
        <v>1950</v>
      </c>
      <c r="P26" s="255" t="s">
        <v>598</v>
      </c>
      <c r="Q26" s="255" t="s">
        <v>599</v>
      </c>
      <c r="R26" s="255" t="s">
        <v>599</v>
      </c>
      <c r="S26" s="256"/>
      <c r="T26" s="256"/>
      <c r="U26" s="256"/>
      <c r="V26" s="256">
        <v>1</v>
      </c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5" t="s">
        <v>50</v>
      </c>
      <c r="AW26" s="255" t="s">
        <v>1994</v>
      </c>
      <c r="AX26" s="255" t="s">
        <v>50</v>
      </c>
      <c r="AY26" s="255" t="s">
        <v>824</v>
      </c>
      <c r="AZ26" s="255" t="s">
        <v>50</v>
      </c>
    </row>
    <row r="27" spans="1:52" ht="30" customHeight="1">
      <c r="A27" s="258" t="s">
        <v>826</v>
      </c>
      <c r="B27" s="258" t="s">
        <v>827</v>
      </c>
      <c r="C27" s="258" t="s">
        <v>146</v>
      </c>
      <c r="D27" s="259">
        <v>1</v>
      </c>
      <c r="E27" s="303"/>
      <c r="F27" s="297"/>
      <c r="G27" s="303"/>
      <c r="H27" s="297"/>
      <c r="I27" s="303"/>
      <c r="J27" s="297"/>
      <c r="K27" s="303"/>
      <c r="L27" s="297"/>
      <c r="M27" s="258" t="s">
        <v>50</v>
      </c>
      <c r="N27" s="255" t="s">
        <v>1802</v>
      </c>
      <c r="O27" s="255" t="s">
        <v>1900</v>
      </c>
      <c r="P27" s="255" t="s">
        <v>599</v>
      </c>
      <c r="Q27" s="255" t="s">
        <v>599</v>
      </c>
      <c r="R27" s="255" t="s">
        <v>599</v>
      </c>
      <c r="S27" s="256">
        <v>3</v>
      </c>
      <c r="T27" s="256">
        <v>2</v>
      </c>
      <c r="U27" s="256">
        <v>1</v>
      </c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5" t="s">
        <v>50</v>
      </c>
      <c r="AW27" s="255" t="s">
        <v>1995</v>
      </c>
      <c r="AX27" s="255" t="s">
        <v>50</v>
      </c>
      <c r="AY27" s="255" t="s">
        <v>50</v>
      </c>
      <c r="AZ27" s="255" t="s">
        <v>50</v>
      </c>
    </row>
    <row r="28" spans="1:52" ht="30" customHeight="1">
      <c r="A28" s="258" t="s">
        <v>820</v>
      </c>
      <c r="B28" s="258" t="s">
        <v>50</v>
      </c>
      <c r="C28" s="258" t="s">
        <v>50</v>
      </c>
      <c r="D28" s="259"/>
      <c r="E28" s="303"/>
      <c r="F28" s="297"/>
      <c r="G28" s="303"/>
      <c r="H28" s="297"/>
      <c r="I28" s="303"/>
      <c r="J28" s="297"/>
      <c r="K28" s="303"/>
      <c r="L28" s="297"/>
      <c r="M28" s="258" t="s">
        <v>50</v>
      </c>
      <c r="N28" s="255" t="s">
        <v>617</v>
      </c>
      <c r="O28" s="255" t="s">
        <v>617</v>
      </c>
      <c r="P28" s="255" t="s">
        <v>50</v>
      </c>
      <c r="Q28" s="255" t="s">
        <v>50</v>
      </c>
      <c r="R28" s="255" t="s">
        <v>50</v>
      </c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5" t="s">
        <v>50</v>
      </c>
      <c r="AW28" s="255" t="s">
        <v>50</v>
      </c>
      <c r="AX28" s="255" t="s">
        <v>50</v>
      </c>
      <c r="AY28" s="255" t="s">
        <v>50</v>
      </c>
      <c r="AZ28" s="255" t="s">
        <v>50</v>
      </c>
    </row>
    <row r="29" spans="1:52" ht="30" customHeight="1">
      <c r="A29" s="259"/>
      <c r="B29" s="259"/>
      <c r="C29" s="259"/>
      <c r="D29" s="259"/>
      <c r="E29" s="303"/>
      <c r="F29" s="297"/>
      <c r="G29" s="303"/>
      <c r="H29" s="297"/>
      <c r="I29" s="303"/>
      <c r="J29" s="297"/>
      <c r="K29" s="303"/>
      <c r="L29" s="297"/>
      <c r="M29" s="259"/>
    </row>
    <row r="30" spans="1:52" ht="30" customHeight="1">
      <c r="A30" s="299" t="s">
        <v>1546</v>
      </c>
      <c r="B30" s="300"/>
      <c r="C30" s="300"/>
      <c r="D30" s="300"/>
      <c r="E30" s="301"/>
      <c r="F30" s="302"/>
      <c r="G30" s="301"/>
      <c r="H30" s="302"/>
      <c r="I30" s="301"/>
      <c r="J30" s="302"/>
      <c r="K30" s="301"/>
      <c r="L30" s="302"/>
      <c r="M30" s="300"/>
      <c r="N30" s="464" t="s">
        <v>1804</v>
      </c>
    </row>
    <row r="31" spans="1:52" ht="30" customHeight="1">
      <c r="A31" s="258" t="s">
        <v>1544</v>
      </c>
      <c r="B31" s="258" t="s">
        <v>1545</v>
      </c>
      <c r="C31" s="258" t="s">
        <v>704</v>
      </c>
      <c r="D31" s="259">
        <v>0.23</v>
      </c>
      <c r="E31" s="303"/>
      <c r="F31" s="297"/>
      <c r="G31" s="303"/>
      <c r="H31" s="297"/>
      <c r="I31" s="303"/>
      <c r="J31" s="297"/>
      <c r="K31" s="303"/>
      <c r="L31" s="297"/>
      <c r="M31" s="258" t="s">
        <v>823</v>
      </c>
      <c r="N31" s="255" t="s">
        <v>50</v>
      </c>
      <c r="O31" s="255" t="s">
        <v>1992</v>
      </c>
      <c r="P31" s="255" t="s">
        <v>599</v>
      </c>
      <c r="Q31" s="255" t="s">
        <v>599</v>
      </c>
      <c r="R31" s="255" t="s">
        <v>598</v>
      </c>
      <c r="S31" s="256"/>
      <c r="T31" s="256"/>
      <c r="U31" s="256"/>
      <c r="V31" s="256">
        <v>1</v>
      </c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5" t="s">
        <v>50</v>
      </c>
      <c r="AW31" s="255" t="s">
        <v>1996</v>
      </c>
      <c r="AX31" s="255" t="s">
        <v>50</v>
      </c>
      <c r="AY31" s="255" t="s">
        <v>824</v>
      </c>
      <c r="AZ31" s="255" t="s">
        <v>50</v>
      </c>
    </row>
    <row r="32" spans="1:52" ht="30" customHeight="1">
      <c r="A32" s="258" t="s">
        <v>1539</v>
      </c>
      <c r="B32" s="258" t="s">
        <v>1537</v>
      </c>
      <c r="C32" s="258" t="s">
        <v>602</v>
      </c>
      <c r="D32" s="259">
        <v>1</v>
      </c>
      <c r="E32" s="303"/>
      <c r="F32" s="297"/>
      <c r="G32" s="303"/>
      <c r="H32" s="297"/>
      <c r="I32" s="303"/>
      <c r="J32" s="297"/>
      <c r="K32" s="303"/>
      <c r="L32" s="297"/>
      <c r="M32" s="258" t="s">
        <v>823</v>
      </c>
      <c r="N32" s="255" t="s">
        <v>50</v>
      </c>
      <c r="O32" s="255" t="s">
        <v>1950</v>
      </c>
      <c r="P32" s="255" t="s">
        <v>598</v>
      </c>
      <c r="Q32" s="255" t="s">
        <v>599</v>
      </c>
      <c r="R32" s="255" t="s">
        <v>599</v>
      </c>
      <c r="S32" s="256"/>
      <c r="T32" s="256"/>
      <c r="U32" s="256"/>
      <c r="V32" s="256">
        <v>1</v>
      </c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5" t="s">
        <v>50</v>
      </c>
      <c r="AW32" s="255" t="s">
        <v>1997</v>
      </c>
      <c r="AX32" s="255" t="s">
        <v>50</v>
      </c>
      <c r="AY32" s="255" t="s">
        <v>824</v>
      </c>
      <c r="AZ32" s="255" t="s">
        <v>50</v>
      </c>
    </row>
    <row r="33" spans="1:52" ht="30" customHeight="1">
      <c r="A33" s="258" t="s">
        <v>826</v>
      </c>
      <c r="B33" s="258" t="s">
        <v>827</v>
      </c>
      <c r="C33" s="258" t="s">
        <v>146</v>
      </c>
      <c r="D33" s="259">
        <v>1</v>
      </c>
      <c r="E33" s="303"/>
      <c r="F33" s="297"/>
      <c r="G33" s="303"/>
      <c r="H33" s="297"/>
      <c r="I33" s="303"/>
      <c r="J33" s="297"/>
      <c r="K33" s="303"/>
      <c r="L33" s="297"/>
      <c r="M33" s="258" t="s">
        <v>50</v>
      </c>
      <c r="N33" s="255" t="s">
        <v>1804</v>
      </c>
      <c r="O33" s="255" t="s">
        <v>1900</v>
      </c>
      <c r="P33" s="255" t="s">
        <v>599</v>
      </c>
      <c r="Q33" s="255" t="s">
        <v>599</v>
      </c>
      <c r="R33" s="255" t="s">
        <v>599</v>
      </c>
      <c r="S33" s="256">
        <v>3</v>
      </c>
      <c r="T33" s="256">
        <v>2</v>
      </c>
      <c r="U33" s="256">
        <v>1</v>
      </c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5" t="s">
        <v>50</v>
      </c>
      <c r="AW33" s="255" t="s">
        <v>1998</v>
      </c>
      <c r="AX33" s="255" t="s">
        <v>50</v>
      </c>
      <c r="AY33" s="255" t="s">
        <v>50</v>
      </c>
      <c r="AZ33" s="255" t="s">
        <v>50</v>
      </c>
    </row>
    <row r="34" spans="1:52" ht="30" customHeight="1">
      <c r="A34" s="258" t="s">
        <v>820</v>
      </c>
      <c r="B34" s="258" t="s">
        <v>50</v>
      </c>
      <c r="C34" s="258" t="s">
        <v>50</v>
      </c>
      <c r="D34" s="259"/>
      <c r="E34" s="303"/>
      <c r="F34" s="297"/>
      <c r="G34" s="303"/>
      <c r="H34" s="297"/>
      <c r="I34" s="303"/>
      <c r="J34" s="297"/>
      <c r="K34" s="303"/>
      <c r="L34" s="297"/>
      <c r="M34" s="258" t="s">
        <v>50</v>
      </c>
      <c r="N34" s="255" t="s">
        <v>617</v>
      </c>
      <c r="O34" s="255" t="s">
        <v>617</v>
      </c>
      <c r="P34" s="255" t="s">
        <v>50</v>
      </c>
      <c r="Q34" s="255" t="s">
        <v>50</v>
      </c>
      <c r="R34" s="255" t="s">
        <v>50</v>
      </c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5" t="s">
        <v>50</v>
      </c>
      <c r="AW34" s="255" t="s">
        <v>50</v>
      </c>
      <c r="AX34" s="255" t="s">
        <v>50</v>
      </c>
      <c r="AY34" s="255" t="s">
        <v>50</v>
      </c>
      <c r="AZ34" s="255" t="s">
        <v>50</v>
      </c>
    </row>
    <row r="35" spans="1:52" ht="30" customHeight="1">
      <c r="A35" s="259"/>
      <c r="B35" s="259"/>
      <c r="C35" s="259"/>
      <c r="D35" s="259"/>
      <c r="E35" s="303"/>
      <c r="F35" s="297"/>
      <c r="G35" s="303"/>
      <c r="H35" s="297"/>
      <c r="I35" s="303"/>
      <c r="J35" s="297"/>
      <c r="K35" s="303"/>
      <c r="L35" s="297"/>
      <c r="M35" s="259"/>
    </row>
    <row r="36" spans="1:52" ht="30" customHeight="1">
      <c r="A36" s="299" t="s">
        <v>1547</v>
      </c>
      <c r="B36" s="300"/>
      <c r="C36" s="300"/>
      <c r="D36" s="300"/>
      <c r="E36" s="301"/>
      <c r="F36" s="302"/>
      <c r="G36" s="301"/>
      <c r="H36" s="302"/>
      <c r="I36" s="301"/>
      <c r="J36" s="302"/>
      <c r="K36" s="301"/>
      <c r="L36" s="302"/>
      <c r="M36" s="300"/>
      <c r="N36" s="464" t="s">
        <v>1806</v>
      </c>
    </row>
    <row r="37" spans="1:52" ht="30" customHeight="1">
      <c r="A37" s="258" t="s">
        <v>1544</v>
      </c>
      <c r="B37" s="258" t="s">
        <v>1548</v>
      </c>
      <c r="C37" s="258" t="s">
        <v>704</v>
      </c>
      <c r="D37" s="259">
        <v>0.23</v>
      </c>
      <c r="E37" s="303"/>
      <c r="F37" s="297"/>
      <c r="G37" s="303"/>
      <c r="H37" s="297"/>
      <c r="I37" s="303"/>
      <c r="J37" s="297"/>
      <c r="K37" s="303"/>
      <c r="L37" s="297"/>
      <c r="M37" s="258" t="s">
        <v>823</v>
      </c>
      <c r="N37" s="255" t="s">
        <v>50</v>
      </c>
      <c r="O37" s="255" t="s">
        <v>1999</v>
      </c>
      <c r="P37" s="255" t="s">
        <v>599</v>
      </c>
      <c r="Q37" s="255" t="s">
        <v>599</v>
      </c>
      <c r="R37" s="255" t="s">
        <v>598</v>
      </c>
      <c r="S37" s="256"/>
      <c r="T37" s="256"/>
      <c r="U37" s="256"/>
      <c r="V37" s="256">
        <v>1</v>
      </c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5" t="s">
        <v>50</v>
      </c>
      <c r="AW37" s="255" t="s">
        <v>2000</v>
      </c>
      <c r="AX37" s="255" t="s">
        <v>50</v>
      </c>
      <c r="AY37" s="255" t="s">
        <v>824</v>
      </c>
      <c r="AZ37" s="255" t="s">
        <v>50</v>
      </c>
    </row>
    <row r="38" spans="1:52" ht="30" customHeight="1">
      <c r="A38" s="258" t="s">
        <v>1539</v>
      </c>
      <c r="B38" s="258" t="s">
        <v>1537</v>
      </c>
      <c r="C38" s="258" t="s">
        <v>602</v>
      </c>
      <c r="D38" s="259">
        <v>1</v>
      </c>
      <c r="E38" s="303"/>
      <c r="F38" s="297"/>
      <c r="G38" s="303"/>
      <c r="H38" s="297"/>
      <c r="I38" s="303"/>
      <c r="J38" s="297"/>
      <c r="K38" s="303"/>
      <c r="L38" s="297"/>
      <c r="M38" s="258" t="s">
        <v>823</v>
      </c>
      <c r="N38" s="255" t="s">
        <v>50</v>
      </c>
      <c r="O38" s="255" t="s">
        <v>1950</v>
      </c>
      <c r="P38" s="255" t="s">
        <v>598</v>
      </c>
      <c r="Q38" s="255" t="s">
        <v>599</v>
      </c>
      <c r="R38" s="255" t="s">
        <v>599</v>
      </c>
      <c r="S38" s="256"/>
      <c r="T38" s="256"/>
      <c r="U38" s="256"/>
      <c r="V38" s="256">
        <v>1</v>
      </c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5" t="s">
        <v>50</v>
      </c>
      <c r="AW38" s="255" t="s">
        <v>2001</v>
      </c>
      <c r="AX38" s="255" t="s">
        <v>50</v>
      </c>
      <c r="AY38" s="255" t="s">
        <v>824</v>
      </c>
      <c r="AZ38" s="255" t="s">
        <v>50</v>
      </c>
    </row>
    <row r="39" spans="1:52" ht="30" customHeight="1">
      <c r="A39" s="258" t="s">
        <v>826</v>
      </c>
      <c r="B39" s="258" t="s">
        <v>827</v>
      </c>
      <c r="C39" s="258" t="s">
        <v>146</v>
      </c>
      <c r="D39" s="259">
        <v>1</v>
      </c>
      <c r="E39" s="303"/>
      <c r="F39" s="297"/>
      <c r="G39" s="303"/>
      <c r="H39" s="297"/>
      <c r="I39" s="303"/>
      <c r="J39" s="297"/>
      <c r="K39" s="303"/>
      <c r="L39" s="297"/>
      <c r="M39" s="258" t="s">
        <v>50</v>
      </c>
      <c r="N39" s="255" t="s">
        <v>1806</v>
      </c>
      <c r="O39" s="255" t="s">
        <v>1900</v>
      </c>
      <c r="P39" s="255" t="s">
        <v>599</v>
      </c>
      <c r="Q39" s="255" t="s">
        <v>599</v>
      </c>
      <c r="R39" s="255" t="s">
        <v>599</v>
      </c>
      <c r="S39" s="256">
        <v>3</v>
      </c>
      <c r="T39" s="256">
        <v>2</v>
      </c>
      <c r="U39" s="256">
        <v>1</v>
      </c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5" t="s">
        <v>50</v>
      </c>
      <c r="AW39" s="255" t="s">
        <v>2002</v>
      </c>
      <c r="AX39" s="255" t="s">
        <v>50</v>
      </c>
      <c r="AY39" s="255" t="s">
        <v>50</v>
      </c>
      <c r="AZ39" s="255" t="s">
        <v>50</v>
      </c>
    </row>
    <row r="40" spans="1:52" ht="30" customHeight="1">
      <c r="A40" s="258" t="s">
        <v>820</v>
      </c>
      <c r="B40" s="258" t="s">
        <v>50</v>
      </c>
      <c r="C40" s="258" t="s">
        <v>50</v>
      </c>
      <c r="D40" s="259"/>
      <c r="E40" s="303"/>
      <c r="F40" s="297"/>
      <c r="G40" s="303"/>
      <c r="H40" s="297"/>
      <c r="I40" s="303"/>
      <c r="J40" s="297"/>
      <c r="K40" s="303"/>
      <c r="L40" s="297"/>
      <c r="M40" s="258" t="s">
        <v>50</v>
      </c>
      <c r="N40" s="255" t="s">
        <v>617</v>
      </c>
      <c r="O40" s="255" t="s">
        <v>617</v>
      </c>
      <c r="P40" s="255" t="s">
        <v>50</v>
      </c>
      <c r="Q40" s="255" t="s">
        <v>50</v>
      </c>
      <c r="R40" s="255" t="s">
        <v>50</v>
      </c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5" t="s">
        <v>50</v>
      </c>
      <c r="AW40" s="255" t="s">
        <v>50</v>
      </c>
      <c r="AX40" s="255" t="s">
        <v>50</v>
      </c>
      <c r="AY40" s="255" t="s">
        <v>50</v>
      </c>
      <c r="AZ40" s="255" t="s">
        <v>50</v>
      </c>
    </row>
    <row r="41" spans="1:52" ht="30" customHeight="1">
      <c r="A41" s="259"/>
      <c r="B41" s="259"/>
      <c r="C41" s="259"/>
      <c r="D41" s="259"/>
      <c r="E41" s="303"/>
      <c r="F41" s="297"/>
      <c r="G41" s="303"/>
      <c r="H41" s="297"/>
      <c r="I41" s="303"/>
      <c r="J41" s="297"/>
      <c r="K41" s="303"/>
      <c r="L41" s="297"/>
      <c r="M41" s="259"/>
    </row>
    <row r="42" spans="1:52" ht="30" customHeight="1">
      <c r="A42" s="299" t="s">
        <v>1549</v>
      </c>
      <c r="B42" s="300"/>
      <c r="C42" s="300"/>
      <c r="D42" s="300"/>
      <c r="E42" s="301"/>
      <c r="F42" s="302"/>
      <c r="G42" s="301"/>
      <c r="H42" s="302"/>
      <c r="I42" s="301"/>
      <c r="J42" s="302"/>
      <c r="K42" s="301"/>
      <c r="L42" s="302"/>
      <c r="M42" s="300"/>
      <c r="N42" s="464" t="s">
        <v>1808</v>
      </c>
    </row>
    <row r="43" spans="1:52" ht="30" customHeight="1">
      <c r="A43" s="258" t="s">
        <v>1544</v>
      </c>
      <c r="B43" s="258" t="s">
        <v>1548</v>
      </c>
      <c r="C43" s="258" t="s">
        <v>704</v>
      </c>
      <c r="D43" s="259">
        <v>0.23</v>
      </c>
      <c r="E43" s="303"/>
      <c r="F43" s="297"/>
      <c r="G43" s="303"/>
      <c r="H43" s="297"/>
      <c r="I43" s="303"/>
      <c r="J43" s="297"/>
      <c r="K43" s="303"/>
      <c r="L43" s="297"/>
      <c r="M43" s="258" t="s">
        <v>823</v>
      </c>
      <c r="N43" s="255" t="s">
        <v>50</v>
      </c>
      <c r="O43" s="255" t="s">
        <v>1999</v>
      </c>
      <c r="P43" s="255" t="s">
        <v>599</v>
      </c>
      <c r="Q43" s="255" t="s">
        <v>599</v>
      </c>
      <c r="R43" s="255" t="s">
        <v>598</v>
      </c>
      <c r="S43" s="256"/>
      <c r="T43" s="256"/>
      <c r="U43" s="256"/>
      <c r="V43" s="256">
        <v>1</v>
      </c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5" t="s">
        <v>50</v>
      </c>
      <c r="AW43" s="255" t="s">
        <v>2003</v>
      </c>
      <c r="AX43" s="255" t="s">
        <v>50</v>
      </c>
      <c r="AY43" s="255" t="s">
        <v>824</v>
      </c>
      <c r="AZ43" s="255" t="s">
        <v>50</v>
      </c>
    </row>
    <row r="44" spans="1:52" ht="30" customHeight="1">
      <c r="A44" s="258" t="s">
        <v>1539</v>
      </c>
      <c r="B44" s="258" t="s">
        <v>1537</v>
      </c>
      <c r="C44" s="258" t="s">
        <v>602</v>
      </c>
      <c r="D44" s="259">
        <v>1</v>
      </c>
      <c r="E44" s="303"/>
      <c r="F44" s="297"/>
      <c r="G44" s="303"/>
      <c r="H44" s="297"/>
      <c r="I44" s="303"/>
      <c r="J44" s="297"/>
      <c r="K44" s="303"/>
      <c r="L44" s="297"/>
      <c r="M44" s="258" t="s">
        <v>823</v>
      </c>
      <c r="N44" s="255" t="s">
        <v>50</v>
      </c>
      <c r="O44" s="255" t="s">
        <v>1950</v>
      </c>
      <c r="P44" s="255" t="s">
        <v>598</v>
      </c>
      <c r="Q44" s="255" t="s">
        <v>599</v>
      </c>
      <c r="R44" s="255" t="s">
        <v>599</v>
      </c>
      <c r="S44" s="256"/>
      <c r="T44" s="256"/>
      <c r="U44" s="256"/>
      <c r="V44" s="256">
        <v>1</v>
      </c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5" t="s">
        <v>50</v>
      </c>
      <c r="AW44" s="255" t="s">
        <v>2004</v>
      </c>
      <c r="AX44" s="255" t="s">
        <v>50</v>
      </c>
      <c r="AY44" s="255" t="s">
        <v>824</v>
      </c>
      <c r="AZ44" s="255" t="s">
        <v>50</v>
      </c>
    </row>
    <row r="45" spans="1:52" ht="30" customHeight="1">
      <c r="A45" s="258" t="s">
        <v>826</v>
      </c>
      <c r="B45" s="258" t="s">
        <v>827</v>
      </c>
      <c r="C45" s="258" t="s">
        <v>146</v>
      </c>
      <c r="D45" s="259">
        <v>1</v>
      </c>
      <c r="E45" s="303"/>
      <c r="F45" s="297"/>
      <c r="G45" s="303"/>
      <c r="H45" s="297"/>
      <c r="I45" s="303"/>
      <c r="J45" s="297"/>
      <c r="K45" s="303"/>
      <c r="L45" s="297"/>
      <c r="M45" s="258" t="s">
        <v>50</v>
      </c>
      <c r="N45" s="255" t="s">
        <v>1808</v>
      </c>
      <c r="O45" s="255" t="s">
        <v>1900</v>
      </c>
      <c r="P45" s="255" t="s">
        <v>599</v>
      </c>
      <c r="Q45" s="255" t="s">
        <v>599</v>
      </c>
      <c r="R45" s="255" t="s">
        <v>599</v>
      </c>
      <c r="S45" s="256">
        <v>3</v>
      </c>
      <c r="T45" s="256">
        <v>2</v>
      </c>
      <c r="U45" s="256">
        <v>1</v>
      </c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5" t="s">
        <v>50</v>
      </c>
      <c r="AW45" s="255" t="s">
        <v>2005</v>
      </c>
      <c r="AX45" s="255" t="s">
        <v>50</v>
      </c>
      <c r="AY45" s="255" t="s">
        <v>50</v>
      </c>
      <c r="AZ45" s="255" t="s">
        <v>50</v>
      </c>
    </row>
    <row r="46" spans="1:52" ht="30" customHeight="1">
      <c r="A46" s="258" t="s">
        <v>820</v>
      </c>
      <c r="B46" s="258" t="s">
        <v>50</v>
      </c>
      <c r="C46" s="258" t="s">
        <v>50</v>
      </c>
      <c r="D46" s="259"/>
      <c r="E46" s="303"/>
      <c r="F46" s="297"/>
      <c r="G46" s="303"/>
      <c r="H46" s="297"/>
      <c r="I46" s="303"/>
      <c r="J46" s="297"/>
      <c r="K46" s="303"/>
      <c r="L46" s="297"/>
      <c r="M46" s="258" t="s">
        <v>50</v>
      </c>
      <c r="N46" s="255" t="s">
        <v>617</v>
      </c>
      <c r="O46" s="255" t="s">
        <v>617</v>
      </c>
      <c r="P46" s="255" t="s">
        <v>50</v>
      </c>
      <c r="Q46" s="255" t="s">
        <v>50</v>
      </c>
      <c r="R46" s="255" t="s">
        <v>50</v>
      </c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5" t="s">
        <v>50</v>
      </c>
      <c r="AW46" s="255" t="s">
        <v>50</v>
      </c>
      <c r="AX46" s="255" t="s">
        <v>50</v>
      </c>
      <c r="AY46" s="255" t="s">
        <v>50</v>
      </c>
      <c r="AZ46" s="255" t="s">
        <v>50</v>
      </c>
    </row>
    <row r="47" spans="1:52" ht="30" customHeight="1">
      <c r="A47" s="259"/>
      <c r="B47" s="259"/>
      <c r="C47" s="259"/>
      <c r="D47" s="259"/>
      <c r="E47" s="303"/>
      <c r="F47" s="297"/>
      <c r="G47" s="303"/>
      <c r="H47" s="297"/>
      <c r="I47" s="303"/>
      <c r="J47" s="297"/>
      <c r="K47" s="303"/>
      <c r="L47" s="297"/>
      <c r="M47" s="259"/>
    </row>
    <row r="48" spans="1:52" ht="30" customHeight="1">
      <c r="A48" s="299" t="s">
        <v>1550</v>
      </c>
      <c r="B48" s="300"/>
      <c r="C48" s="300"/>
      <c r="D48" s="300"/>
      <c r="E48" s="301"/>
      <c r="F48" s="302"/>
      <c r="G48" s="301"/>
      <c r="H48" s="302"/>
      <c r="I48" s="301"/>
      <c r="J48" s="302"/>
      <c r="K48" s="301"/>
      <c r="L48" s="302"/>
      <c r="M48" s="300"/>
      <c r="N48" s="464" t="s">
        <v>1810</v>
      </c>
    </row>
    <row r="49" spans="1:52" ht="30" customHeight="1">
      <c r="A49" s="258" t="s">
        <v>768</v>
      </c>
      <c r="B49" s="258" t="s">
        <v>1537</v>
      </c>
      <c r="C49" s="258" t="s">
        <v>602</v>
      </c>
      <c r="D49" s="259">
        <v>1</v>
      </c>
      <c r="E49" s="303"/>
      <c r="F49" s="297"/>
      <c r="G49" s="303"/>
      <c r="H49" s="297"/>
      <c r="I49" s="303"/>
      <c r="J49" s="297"/>
      <c r="K49" s="303"/>
      <c r="L49" s="297"/>
      <c r="M49" s="258" t="s">
        <v>823</v>
      </c>
      <c r="N49" s="255" t="s">
        <v>50</v>
      </c>
      <c r="O49" s="255" t="s">
        <v>1952</v>
      </c>
      <c r="P49" s="255" t="s">
        <v>598</v>
      </c>
      <c r="Q49" s="255" t="s">
        <v>599</v>
      </c>
      <c r="R49" s="255" t="s">
        <v>599</v>
      </c>
      <c r="S49" s="256"/>
      <c r="T49" s="256"/>
      <c r="U49" s="256"/>
      <c r="V49" s="256">
        <v>1</v>
      </c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5" t="s">
        <v>50</v>
      </c>
      <c r="AW49" s="255" t="s">
        <v>2006</v>
      </c>
      <c r="AX49" s="255" t="s">
        <v>50</v>
      </c>
      <c r="AY49" s="255" t="s">
        <v>824</v>
      </c>
      <c r="AZ49" s="255" t="s">
        <v>50</v>
      </c>
    </row>
    <row r="50" spans="1:52" ht="30" customHeight="1">
      <c r="A50" s="258" t="s">
        <v>826</v>
      </c>
      <c r="B50" s="258" t="s">
        <v>827</v>
      </c>
      <c r="C50" s="258" t="s">
        <v>146</v>
      </c>
      <c r="D50" s="259">
        <v>1</v>
      </c>
      <c r="E50" s="303"/>
      <c r="F50" s="297"/>
      <c r="G50" s="303"/>
      <c r="H50" s="297"/>
      <c r="I50" s="303"/>
      <c r="J50" s="297"/>
      <c r="K50" s="303"/>
      <c r="L50" s="297"/>
      <c r="M50" s="258" t="s">
        <v>50</v>
      </c>
      <c r="N50" s="255" t="s">
        <v>1810</v>
      </c>
      <c r="O50" s="255" t="s">
        <v>1900</v>
      </c>
      <c r="P50" s="255" t="s">
        <v>599</v>
      </c>
      <c r="Q50" s="255" t="s">
        <v>599</v>
      </c>
      <c r="R50" s="255" t="s">
        <v>599</v>
      </c>
      <c r="S50" s="256">
        <v>3</v>
      </c>
      <c r="T50" s="256">
        <v>2</v>
      </c>
      <c r="U50" s="256">
        <v>1</v>
      </c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  <c r="AU50" s="256"/>
      <c r="AV50" s="255" t="s">
        <v>50</v>
      </c>
      <c r="AW50" s="255" t="s">
        <v>2007</v>
      </c>
      <c r="AX50" s="255" t="s">
        <v>50</v>
      </c>
      <c r="AY50" s="255" t="s">
        <v>50</v>
      </c>
      <c r="AZ50" s="255" t="s">
        <v>50</v>
      </c>
    </row>
    <row r="51" spans="1:52" ht="30" customHeight="1">
      <c r="A51" s="258" t="s">
        <v>820</v>
      </c>
      <c r="B51" s="258" t="s">
        <v>50</v>
      </c>
      <c r="C51" s="258" t="s">
        <v>50</v>
      </c>
      <c r="D51" s="259"/>
      <c r="E51" s="303"/>
      <c r="F51" s="297"/>
      <c r="G51" s="303"/>
      <c r="H51" s="297"/>
      <c r="I51" s="303"/>
      <c r="J51" s="297"/>
      <c r="K51" s="303"/>
      <c r="L51" s="297"/>
      <c r="M51" s="258" t="s">
        <v>50</v>
      </c>
      <c r="N51" s="255" t="s">
        <v>617</v>
      </c>
      <c r="O51" s="255" t="s">
        <v>617</v>
      </c>
      <c r="P51" s="255" t="s">
        <v>50</v>
      </c>
      <c r="Q51" s="255" t="s">
        <v>50</v>
      </c>
      <c r="R51" s="255" t="s">
        <v>50</v>
      </c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5" t="s">
        <v>50</v>
      </c>
      <c r="AW51" s="255" t="s">
        <v>50</v>
      </c>
      <c r="AX51" s="255" t="s">
        <v>50</v>
      </c>
      <c r="AY51" s="255" t="s">
        <v>50</v>
      </c>
      <c r="AZ51" s="255" t="s">
        <v>50</v>
      </c>
    </row>
    <row r="52" spans="1:52" ht="30" customHeight="1">
      <c r="A52" s="259"/>
      <c r="B52" s="259"/>
      <c r="C52" s="259"/>
      <c r="D52" s="259"/>
      <c r="E52" s="303"/>
      <c r="F52" s="297"/>
      <c r="G52" s="303"/>
      <c r="H52" s="297"/>
      <c r="I52" s="303"/>
      <c r="J52" s="297"/>
      <c r="K52" s="303"/>
      <c r="L52" s="297"/>
      <c r="M52" s="259"/>
    </row>
    <row r="53" spans="1:52" ht="30" customHeight="1">
      <c r="A53" s="299" t="s">
        <v>1551</v>
      </c>
      <c r="B53" s="300"/>
      <c r="C53" s="300"/>
      <c r="D53" s="300"/>
      <c r="E53" s="301"/>
      <c r="F53" s="302"/>
      <c r="G53" s="301"/>
      <c r="H53" s="302"/>
      <c r="I53" s="301"/>
      <c r="J53" s="302"/>
      <c r="K53" s="301"/>
      <c r="L53" s="302"/>
      <c r="M53" s="300"/>
      <c r="N53" s="464" t="s">
        <v>1812</v>
      </c>
    </row>
    <row r="54" spans="1:52" ht="30" customHeight="1">
      <c r="A54" s="258" t="s">
        <v>832</v>
      </c>
      <c r="B54" s="258" t="s">
        <v>833</v>
      </c>
      <c r="C54" s="258" t="s">
        <v>610</v>
      </c>
      <c r="D54" s="259">
        <v>0.23</v>
      </c>
      <c r="E54" s="303"/>
      <c r="F54" s="297"/>
      <c r="G54" s="303"/>
      <c r="H54" s="297"/>
      <c r="I54" s="303"/>
      <c r="J54" s="297"/>
      <c r="K54" s="303"/>
      <c r="L54" s="297"/>
      <c r="M54" s="258" t="s">
        <v>823</v>
      </c>
      <c r="N54" s="255" t="s">
        <v>50</v>
      </c>
      <c r="O54" s="255" t="s">
        <v>2008</v>
      </c>
      <c r="P54" s="255" t="s">
        <v>599</v>
      </c>
      <c r="Q54" s="255" t="s">
        <v>599</v>
      </c>
      <c r="R54" s="255" t="s">
        <v>598</v>
      </c>
      <c r="S54" s="256"/>
      <c r="T54" s="256"/>
      <c r="U54" s="256"/>
      <c r="V54" s="256">
        <v>1</v>
      </c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5" t="s">
        <v>50</v>
      </c>
      <c r="AW54" s="255" t="s">
        <v>2009</v>
      </c>
      <c r="AX54" s="255" t="s">
        <v>50</v>
      </c>
      <c r="AY54" s="255" t="s">
        <v>824</v>
      </c>
      <c r="AZ54" s="255" t="s">
        <v>50</v>
      </c>
    </row>
    <row r="55" spans="1:52" ht="30" customHeight="1">
      <c r="A55" s="258" t="s">
        <v>1539</v>
      </c>
      <c r="B55" s="258" t="s">
        <v>769</v>
      </c>
      <c r="C55" s="258" t="s">
        <v>602</v>
      </c>
      <c r="D55" s="259">
        <v>1</v>
      </c>
      <c r="E55" s="303"/>
      <c r="F55" s="297"/>
      <c r="G55" s="303"/>
      <c r="H55" s="297"/>
      <c r="I55" s="303"/>
      <c r="J55" s="297"/>
      <c r="K55" s="303"/>
      <c r="L55" s="297"/>
      <c r="M55" s="258" t="s">
        <v>823</v>
      </c>
      <c r="N55" s="255" t="s">
        <v>50</v>
      </c>
      <c r="O55" s="255" t="s">
        <v>1953</v>
      </c>
      <c r="P55" s="255" t="s">
        <v>598</v>
      </c>
      <c r="Q55" s="255" t="s">
        <v>599</v>
      </c>
      <c r="R55" s="255" t="s">
        <v>599</v>
      </c>
      <c r="S55" s="256"/>
      <c r="T55" s="256"/>
      <c r="U55" s="256"/>
      <c r="V55" s="256">
        <v>1</v>
      </c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5" t="s">
        <v>50</v>
      </c>
      <c r="AW55" s="255" t="s">
        <v>2010</v>
      </c>
      <c r="AX55" s="255" t="s">
        <v>50</v>
      </c>
      <c r="AY55" s="255" t="s">
        <v>824</v>
      </c>
      <c r="AZ55" s="255" t="s">
        <v>50</v>
      </c>
    </row>
    <row r="56" spans="1:52" ht="30" customHeight="1">
      <c r="A56" s="258" t="s">
        <v>826</v>
      </c>
      <c r="B56" s="258" t="s">
        <v>827</v>
      </c>
      <c r="C56" s="258" t="s">
        <v>146</v>
      </c>
      <c r="D56" s="259">
        <v>1</v>
      </c>
      <c r="E56" s="303"/>
      <c r="F56" s="297"/>
      <c r="G56" s="303"/>
      <c r="H56" s="297"/>
      <c r="I56" s="303"/>
      <c r="J56" s="297"/>
      <c r="K56" s="303"/>
      <c r="L56" s="297"/>
      <c r="M56" s="258" t="s">
        <v>50</v>
      </c>
      <c r="N56" s="255" t="s">
        <v>1812</v>
      </c>
      <c r="O56" s="255" t="s">
        <v>1900</v>
      </c>
      <c r="P56" s="255" t="s">
        <v>599</v>
      </c>
      <c r="Q56" s="255" t="s">
        <v>599</v>
      </c>
      <c r="R56" s="255" t="s">
        <v>599</v>
      </c>
      <c r="S56" s="256">
        <v>3</v>
      </c>
      <c r="T56" s="256">
        <v>2</v>
      </c>
      <c r="U56" s="256">
        <v>1</v>
      </c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  <c r="AT56" s="256"/>
      <c r="AU56" s="256"/>
      <c r="AV56" s="255" t="s">
        <v>50</v>
      </c>
      <c r="AW56" s="255" t="s">
        <v>2011</v>
      </c>
      <c r="AX56" s="255" t="s">
        <v>50</v>
      </c>
      <c r="AY56" s="255" t="s">
        <v>50</v>
      </c>
      <c r="AZ56" s="255" t="s">
        <v>50</v>
      </c>
    </row>
    <row r="57" spans="1:52" ht="30" customHeight="1">
      <c r="A57" s="258" t="s">
        <v>820</v>
      </c>
      <c r="B57" s="258" t="s">
        <v>50</v>
      </c>
      <c r="C57" s="258" t="s">
        <v>50</v>
      </c>
      <c r="D57" s="259"/>
      <c r="E57" s="303"/>
      <c r="F57" s="297"/>
      <c r="G57" s="303"/>
      <c r="H57" s="297"/>
      <c r="I57" s="303"/>
      <c r="J57" s="297"/>
      <c r="K57" s="303"/>
      <c r="L57" s="297"/>
      <c r="M57" s="258" t="s">
        <v>50</v>
      </c>
      <c r="N57" s="255" t="s">
        <v>617</v>
      </c>
      <c r="O57" s="255" t="s">
        <v>617</v>
      </c>
      <c r="P57" s="255" t="s">
        <v>50</v>
      </c>
      <c r="Q57" s="255" t="s">
        <v>50</v>
      </c>
      <c r="R57" s="255" t="s">
        <v>50</v>
      </c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6"/>
      <c r="AK57" s="256"/>
      <c r="AL57" s="256"/>
      <c r="AM57" s="256"/>
      <c r="AN57" s="256"/>
      <c r="AO57" s="256"/>
      <c r="AP57" s="256"/>
      <c r="AQ57" s="256"/>
      <c r="AR57" s="256"/>
      <c r="AS57" s="256"/>
      <c r="AT57" s="256"/>
      <c r="AU57" s="256"/>
      <c r="AV57" s="255" t="s">
        <v>50</v>
      </c>
      <c r="AW57" s="255" t="s">
        <v>50</v>
      </c>
      <c r="AX57" s="255" t="s">
        <v>50</v>
      </c>
      <c r="AY57" s="255" t="s">
        <v>50</v>
      </c>
      <c r="AZ57" s="255" t="s">
        <v>50</v>
      </c>
    </row>
    <row r="58" spans="1:52" ht="30" customHeight="1">
      <c r="A58" s="259"/>
      <c r="B58" s="259"/>
      <c r="C58" s="259"/>
      <c r="D58" s="259"/>
      <c r="E58" s="303"/>
      <c r="F58" s="297"/>
      <c r="G58" s="303"/>
      <c r="H58" s="297"/>
      <c r="I58" s="303"/>
      <c r="J58" s="297"/>
      <c r="K58" s="303"/>
      <c r="L58" s="297"/>
      <c r="M58" s="259"/>
    </row>
    <row r="59" spans="1:52" ht="30" customHeight="1">
      <c r="A59" s="299" t="s">
        <v>1514</v>
      </c>
      <c r="B59" s="300"/>
      <c r="C59" s="300"/>
      <c r="D59" s="300"/>
      <c r="E59" s="301"/>
      <c r="F59" s="302"/>
      <c r="G59" s="301"/>
      <c r="H59" s="302"/>
      <c r="I59" s="301"/>
      <c r="J59" s="302"/>
      <c r="K59" s="301"/>
      <c r="L59" s="302"/>
      <c r="M59" s="300"/>
      <c r="N59" s="464" t="s">
        <v>1814</v>
      </c>
    </row>
    <row r="60" spans="1:52" ht="30" customHeight="1">
      <c r="A60" s="258" t="s">
        <v>834</v>
      </c>
      <c r="B60" s="258" t="s">
        <v>50</v>
      </c>
      <c r="C60" s="258" t="s">
        <v>50</v>
      </c>
      <c r="D60" s="259"/>
      <c r="E60" s="303"/>
      <c r="F60" s="297"/>
      <c r="G60" s="303"/>
      <c r="H60" s="297"/>
      <c r="I60" s="303"/>
      <c r="J60" s="297"/>
      <c r="K60" s="303"/>
      <c r="L60" s="297"/>
      <c r="M60" s="258" t="s">
        <v>823</v>
      </c>
      <c r="N60" s="255" t="s">
        <v>50</v>
      </c>
      <c r="O60" s="255" t="s">
        <v>2012</v>
      </c>
      <c r="P60" s="255" t="s">
        <v>599</v>
      </c>
      <c r="Q60" s="255" t="s">
        <v>599</v>
      </c>
      <c r="R60" s="255" t="s">
        <v>598</v>
      </c>
      <c r="S60" s="256"/>
      <c r="T60" s="256"/>
      <c r="U60" s="256"/>
      <c r="V60" s="256">
        <v>1</v>
      </c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5" t="s">
        <v>50</v>
      </c>
      <c r="AW60" s="255" t="s">
        <v>2013</v>
      </c>
      <c r="AX60" s="255" t="s">
        <v>50</v>
      </c>
      <c r="AY60" s="255" t="s">
        <v>824</v>
      </c>
      <c r="AZ60" s="255" t="s">
        <v>50</v>
      </c>
    </row>
    <row r="61" spans="1:52" ht="30" customHeight="1">
      <c r="A61" s="258" t="s">
        <v>835</v>
      </c>
      <c r="B61" s="258" t="s">
        <v>836</v>
      </c>
      <c r="C61" s="258" t="s">
        <v>837</v>
      </c>
      <c r="D61" s="259">
        <v>6</v>
      </c>
      <c r="E61" s="303"/>
      <c r="F61" s="297"/>
      <c r="G61" s="303"/>
      <c r="H61" s="297"/>
      <c r="I61" s="303"/>
      <c r="J61" s="297"/>
      <c r="K61" s="303"/>
      <c r="L61" s="297"/>
      <c r="M61" s="258" t="s">
        <v>823</v>
      </c>
      <c r="N61" s="255" t="s">
        <v>50</v>
      </c>
      <c r="O61" s="255" t="s">
        <v>2014</v>
      </c>
      <c r="P61" s="255" t="s">
        <v>599</v>
      </c>
      <c r="Q61" s="255" t="s">
        <v>599</v>
      </c>
      <c r="R61" s="255" t="s">
        <v>598</v>
      </c>
      <c r="S61" s="256"/>
      <c r="T61" s="256"/>
      <c r="U61" s="256"/>
      <c r="V61" s="256">
        <v>1</v>
      </c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5" t="s">
        <v>50</v>
      </c>
      <c r="AW61" s="255" t="s">
        <v>2015</v>
      </c>
      <c r="AX61" s="255" t="s">
        <v>50</v>
      </c>
      <c r="AY61" s="255" t="s">
        <v>824</v>
      </c>
      <c r="AZ61" s="255" t="s">
        <v>50</v>
      </c>
    </row>
    <row r="62" spans="1:52" ht="30" customHeight="1">
      <c r="A62" s="258" t="s">
        <v>838</v>
      </c>
      <c r="B62" s="258" t="s">
        <v>50</v>
      </c>
      <c r="C62" s="258" t="s">
        <v>50</v>
      </c>
      <c r="D62" s="259"/>
      <c r="E62" s="303"/>
      <c r="F62" s="297"/>
      <c r="G62" s="303"/>
      <c r="H62" s="297"/>
      <c r="I62" s="303"/>
      <c r="J62" s="297"/>
      <c r="K62" s="303"/>
      <c r="L62" s="297"/>
      <c r="M62" s="258" t="s">
        <v>823</v>
      </c>
      <c r="N62" s="255" t="s">
        <v>50</v>
      </c>
      <c r="O62" s="255" t="s">
        <v>2016</v>
      </c>
      <c r="P62" s="255" t="s">
        <v>599</v>
      </c>
      <c r="Q62" s="255" t="s">
        <v>599</v>
      </c>
      <c r="R62" s="255" t="s">
        <v>598</v>
      </c>
      <c r="S62" s="256"/>
      <c r="T62" s="256"/>
      <c r="U62" s="256"/>
      <c r="V62" s="256">
        <v>1</v>
      </c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55" t="s">
        <v>50</v>
      </c>
      <c r="AW62" s="255" t="s">
        <v>2017</v>
      </c>
      <c r="AX62" s="255" t="s">
        <v>50</v>
      </c>
      <c r="AY62" s="255" t="s">
        <v>824</v>
      </c>
      <c r="AZ62" s="255" t="s">
        <v>50</v>
      </c>
    </row>
    <row r="63" spans="1:52" ht="30" customHeight="1">
      <c r="A63" s="258" t="s">
        <v>839</v>
      </c>
      <c r="B63" s="258" t="s">
        <v>840</v>
      </c>
      <c r="C63" s="258" t="s">
        <v>650</v>
      </c>
      <c r="D63" s="259">
        <v>44.4</v>
      </c>
      <c r="E63" s="303"/>
      <c r="F63" s="297"/>
      <c r="G63" s="303"/>
      <c r="H63" s="297"/>
      <c r="I63" s="303"/>
      <c r="J63" s="297"/>
      <c r="K63" s="303"/>
      <c r="L63" s="297"/>
      <c r="M63" s="258" t="s">
        <v>823</v>
      </c>
      <c r="N63" s="255" t="s">
        <v>50</v>
      </c>
      <c r="O63" s="255" t="s">
        <v>2018</v>
      </c>
      <c r="P63" s="255" t="s">
        <v>599</v>
      </c>
      <c r="Q63" s="255" t="s">
        <v>599</v>
      </c>
      <c r="R63" s="255" t="s">
        <v>598</v>
      </c>
      <c r="S63" s="256"/>
      <c r="T63" s="256"/>
      <c r="U63" s="256"/>
      <c r="V63" s="256">
        <v>1</v>
      </c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  <c r="AI63" s="256"/>
      <c r="AJ63" s="256"/>
      <c r="AK63" s="256"/>
      <c r="AL63" s="256"/>
      <c r="AM63" s="256"/>
      <c r="AN63" s="256"/>
      <c r="AO63" s="256"/>
      <c r="AP63" s="256"/>
      <c r="AQ63" s="256"/>
      <c r="AR63" s="256"/>
      <c r="AS63" s="256"/>
      <c r="AT63" s="256"/>
      <c r="AU63" s="256"/>
      <c r="AV63" s="255" t="s">
        <v>50</v>
      </c>
      <c r="AW63" s="255" t="s">
        <v>2019</v>
      </c>
      <c r="AX63" s="255" t="s">
        <v>50</v>
      </c>
      <c r="AY63" s="255" t="s">
        <v>824</v>
      </c>
      <c r="AZ63" s="255" t="s">
        <v>50</v>
      </c>
    </row>
    <row r="64" spans="1:52" ht="30" customHeight="1">
      <c r="A64" s="258" t="s">
        <v>1503</v>
      </c>
      <c r="B64" s="258" t="s">
        <v>50</v>
      </c>
      <c r="C64" s="258" t="s">
        <v>678</v>
      </c>
      <c r="D64" s="259">
        <v>1</v>
      </c>
      <c r="E64" s="303"/>
      <c r="F64" s="297"/>
      <c r="G64" s="303"/>
      <c r="H64" s="297"/>
      <c r="I64" s="303"/>
      <c r="J64" s="297"/>
      <c r="K64" s="303"/>
      <c r="L64" s="297"/>
      <c r="M64" s="258" t="s">
        <v>823</v>
      </c>
      <c r="N64" s="255" t="s">
        <v>50</v>
      </c>
      <c r="O64" s="255" t="s">
        <v>1954</v>
      </c>
      <c r="P64" s="255" t="s">
        <v>598</v>
      </c>
      <c r="Q64" s="255" t="s">
        <v>599</v>
      </c>
      <c r="R64" s="255" t="s">
        <v>599</v>
      </c>
      <c r="S64" s="256"/>
      <c r="T64" s="256"/>
      <c r="U64" s="256"/>
      <c r="V64" s="256">
        <v>1</v>
      </c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5" t="s">
        <v>50</v>
      </c>
      <c r="AW64" s="255" t="s">
        <v>2020</v>
      </c>
      <c r="AX64" s="255" t="s">
        <v>50</v>
      </c>
      <c r="AY64" s="255" t="s">
        <v>824</v>
      </c>
      <c r="AZ64" s="255" t="s">
        <v>50</v>
      </c>
    </row>
    <row r="65" spans="1:52" ht="30" customHeight="1">
      <c r="A65" s="258" t="s">
        <v>841</v>
      </c>
      <c r="B65" s="258" t="s">
        <v>842</v>
      </c>
      <c r="C65" s="258" t="s">
        <v>596</v>
      </c>
      <c r="D65" s="259">
        <v>50</v>
      </c>
      <c r="E65" s="303"/>
      <c r="F65" s="297"/>
      <c r="G65" s="303"/>
      <c r="H65" s="297"/>
      <c r="I65" s="303"/>
      <c r="J65" s="297"/>
      <c r="K65" s="303"/>
      <c r="L65" s="297"/>
      <c r="M65" s="258" t="s">
        <v>823</v>
      </c>
      <c r="N65" s="255" t="s">
        <v>50</v>
      </c>
      <c r="O65" s="255" t="s">
        <v>2021</v>
      </c>
      <c r="P65" s="255" t="s">
        <v>599</v>
      </c>
      <c r="Q65" s="255" t="s">
        <v>599</v>
      </c>
      <c r="R65" s="255" t="s">
        <v>598</v>
      </c>
      <c r="S65" s="256"/>
      <c r="T65" s="256"/>
      <c r="U65" s="256"/>
      <c r="V65" s="256">
        <v>1</v>
      </c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  <c r="AH65" s="256"/>
      <c r="AI65" s="256"/>
      <c r="AJ65" s="256"/>
      <c r="AK65" s="256"/>
      <c r="AL65" s="256"/>
      <c r="AM65" s="256"/>
      <c r="AN65" s="256"/>
      <c r="AO65" s="256"/>
      <c r="AP65" s="256"/>
      <c r="AQ65" s="256"/>
      <c r="AR65" s="256"/>
      <c r="AS65" s="256"/>
      <c r="AT65" s="256"/>
      <c r="AU65" s="256"/>
      <c r="AV65" s="255" t="s">
        <v>50</v>
      </c>
      <c r="AW65" s="255" t="s">
        <v>2022</v>
      </c>
      <c r="AX65" s="255" t="s">
        <v>50</v>
      </c>
      <c r="AY65" s="255" t="s">
        <v>824</v>
      </c>
      <c r="AZ65" s="255" t="s">
        <v>50</v>
      </c>
    </row>
    <row r="66" spans="1:52" ht="30" customHeight="1">
      <c r="A66" s="258" t="s">
        <v>843</v>
      </c>
      <c r="B66" s="258" t="s">
        <v>844</v>
      </c>
      <c r="C66" s="258" t="s">
        <v>819</v>
      </c>
      <c r="D66" s="259">
        <v>50</v>
      </c>
      <c r="E66" s="303"/>
      <c r="F66" s="297"/>
      <c r="G66" s="303"/>
      <c r="H66" s="297"/>
      <c r="I66" s="303"/>
      <c r="J66" s="297"/>
      <c r="K66" s="303"/>
      <c r="L66" s="297"/>
      <c r="M66" s="258" t="s">
        <v>823</v>
      </c>
      <c r="N66" s="255" t="s">
        <v>50</v>
      </c>
      <c r="O66" s="255" t="s">
        <v>2023</v>
      </c>
      <c r="P66" s="255" t="s">
        <v>599</v>
      </c>
      <c r="Q66" s="255" t="s">
        <v>599</v>
      </c>
      <c r="R66" s="255" t="s">
        <v>598</v>
      </c>
      <c r="S66" s="256"/>
      <c r="T66" s="256"/>
      <c r="U66" s="256"/>
      <c r="V66" s="256">
        <v>1</v>
      </c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5" t="s">
        <v>50</v>
      </c>
      <c r="AW66" s="255" t="s">
        <v>2024</v>
      </c>
      <c r="AX66" s="255" t="s">
        <v>50</v>
      </c>
      <c r="AY66" s="255" t="s">
        <v>824</v>
      </c>
      <c r="AZ66" s="255" t="s">
        <v>50</v>
      </c>
    </row>
    <row r="67" spans="1:52" ht="30" customHeight="1">
      <c r="A67" s="258" t="s">
        <v>845</v>
      </c>
      <c r="B67" s="258" t="s">
        <v>830</v>
      </c>
      <c r="C67" s="258" t="s">
        <v>831</v>
      </c>
      <c r="D67" s="259">
        <v>2.4300000000000002</v>
      </c>
      <c r="E67" s="303"/>
      <c r="F67" s="297"/>
      <c r="G67" s="303"/>
      <c r="H67" s="297"/>
      <c r="I67" s="303"/>
      <c r="J67" s="297"/>
      <c r="K67" s="303"/>
      <c r="L67" s="297"/>
      <c r="M67" s="258" t="s">
        <v>823</v>
      </c>
      <c r="N67" s="255" t="s">
        <v>50</v>
      </c>
      <c r="O67" s="255" t="s">
        <v>2025</v>
      </c>
      <c r="P67" s="255" t="s">
        <v>599</v>
      </c>
      <c r="Q67" s="255" t="s">
        <v>599</v>
      </c>
      <c r="R67" s="255" t="s">
        <v>598</v>
      </c>
      <c r="S67" s="256"/>
      <c r="T67" s="256"/>
      <c r="U67" s="256"/>
      <c r="V67" s="256">
        <v>1</v>
      </c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5" t="s">
        <v>50</v>
      </c>
      <c r="AW67" s="255" t="s">
        <v>2026</v>
      </c>
      <c r="AX67" s="255" t="s">
        <v>50</v>
      </c>
      <c r="AY67" s="255" t="s">
        <v>824</v>
      </c>
      <c r="AZ67" s="255" t="s">
        <v>50</v>
      </c>
    </row>
    <row r="68" spans="1:52" ht="30" customHeight="1">
      <c r="A68" s="258" t="s">
        <v>829</v>
      </c>
      <c r="B68" s="258" t="s">
        <v>830</v>
      </c>
      <c r="C68" s="258" t="s">
        <v>831</v>
      </c>
      <c r="D68" s="259">
        <v>2.4300000000000002</v>
      </c>
      <c r="E68" s="303"/>
      <c r="F68" s="297"/>
      <c r="G68" s="303"/>
      <c r="H68" s="297"/>
      <c r="I68" s="303"/>
      <c r="J68" s="297"/>
      <c r="K68" s="303"/>
      <c r="L68" s="297"/>
      <c r="M68" s="258" t="s">
        <v>823</v>
      </c>
      <c r="N68" s="255" t="s">
        <v>50</v>
      </c>
      <c r="O68" s="255" t="s">
        <v>2027</v>
      </c>
      <c r="P68" s="255" t="s">
        <v>599</v>
      </c>
      <c r="Q68" s="255" t="s">
        <v>599</v>
      </c>
      <c r="R68" s="255" t="s">
        <v>598</v>
      </c>
      <c r="S68" s="256"/>
      <c r="T68" s="256"/>
      <c r="U68" s="256"/>
      <c r="V68" s="256">
        <v>1</v>
      </c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55" t="s">
        <v>50</v>
      </c>
      <c r="AW68" s="255" t="s">
        <v>2028</v>
      </c>
      <c r="AX68" s="255" t="s">
        <v>50</v>
      </c>
      <c r="AY68" s="255" t="s">
        <v>824</v>
      </c>
      <c r="AZ68" s="255" t="s">
        <v>50</v>
      </c>
    </row>
    <row r="69" spans="1:52" ht="30" customHeight="1">
      <c r="A69" s="258" t="s">
        <v>846</v>
      </c>
      <c r="B69" s="258" t="s">
        <v>830</v>
      </c>
      <c r="C69" s="258" t="s">
        <v>831</v>
      </c>
      <c r="D69" s="259">
        <v>2.6</v>
      </c>
      <c r="E69" s="303"/>
      <c r="F69" s="297"/>
      <c r="G69" s="303"/>
      <c r="H69" s="297"/>
      <c r="I69" s="303"/>
      <c r="J69" s="297"/>
      <c r="K69" s="303"/>
      <c r="L69" s="297"/>
      <c r="M69" s="258" t="s">
        <v>823</v>
      </c>
      <c r="N69" s="255" t="s">
        <v>50</v>
      </c>
      <c r="O69" s="255" t="s">
        <v>2029</v>
      </c>
      <c r="P69" s="255" t="s">
        <v>599</v>
      </c>
      <c r="Q69" s="255" t="s">
        <v>599</v>
      </c>
      <c r="R69" s="255" t="s">
        <v>598</v>
      </c>
      <c r="S69" s="256"/>
      <c r="T69" s="256"/>
      <c r="U69" s="256"/>
      <c r="V69" s="256">
        <v>1</v>
      </c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5" t="s">
        <v>50</v>
      </c>
      <c r="AW69" s="255" t="s">
        <v>2030</v>
      </c>
      <c r="AX69" s="255" t="s">
        <v>50</v>
      </c>
      <c r="AY69" s="255" t="s">
        <v>824</v>
      </c>
      <c r="AZ69" s="255" t="s">
        <v>50</v>
      </c>
    </row>
    <row r="70" spans="1:52" ht="30" customHeight="1">
      <c r="A70" s="258" t="s">
        <v>826</v>
      </c>
      <c r="B70" s="258" t="s">
        <v>827</v>
      </c>
      <c r="C70" s="258" t="s">
        <v>146</v>
      </c>
      <c r="D70" s="259">
        <v>1</v>
      </c>
      <c r="E70" s="303"/>
      <c r="F70" s="297"/>
      <c r="G70" s="303"/>
      <c r="H70" s="297"/>
      <c r="I70" s="303"/>
      <c r="J70" s="297"/>
      <c r="K70" s="303"/>
      <c r="L70" s="297"/>
      <c r="M70" s="258" t="s">
        <v>50</v>
      </c>
      <c r="N70" s="255" t="s">
        <v>1814</v>
      </c>
      <c r="O70" s="255" t="s">
        <v>1900</v>
      </c>
      <c r="P70" s="255" t="s">
        <v>599</v>
      </c>
      <c r="Q70" s="255" t="s">
        <v>599</v>
      </c>
      <c r="R70" s="255" t="s">
        <v>599</v>
      </c>
      <c r="S70" s="256">
        <v>3</v>
      </c>
      <c r="T70" s="256">
        <v>2</v>
      </c>
      <c r="U70" s="256">
        <v>1</v>
      </c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5" t="s">
        <v>50</v>
      </c>
      <c r="AW70" s="255" t="s">
        <v>2031</v>
      </c>
      <c r="AX70" s="255" t="s">
        <v>50</v>
      </c>
      <c r="AY70" s="255" t="s">
        <v>50</v>
      </c>
      <c r="AZ70" s="255" t="s">
        <v>50</v>
      </c>
    </row>
    <row r="71" spans="1:52" ht="30" customHeight="1">
      <c r="A71" s="258" t="s">
        <v>820</v>
      </c>
      <c r="B71" s="258" t="s">
        <v>50</v>
      </c>
      <c r="C71" s="258" t="s">
        <v>50</v>
      </c>
      <c r="D71" s="259"/>
      <c r="E71" s="303"/>
      <c r="F71" s="297"/>
      <c r="G71" s="303"/>
      <c r="H71" s="297"/>
      <c r="I71" s="303"/>
      <c r="J71" s="297"/>
      <c r="K71" s="303"/>
      <c r="L71" s="297"/>
      <c r="M71" s="258" t="s">
        <v>50</v>
      </c>
      <c r="N71" s="255" t="s">
        <v>617</v>
      </c>
      <c r="O71" s="255" t="s">
        <v>617</v>
      </c>
      <c r="P71" s="255" t="s">
        <v>50</v>
      </c>
      <c r="Q71" s="255" t="s">
        <v>50</v>
      </c>
      <c r="R71" s="255" t="s">
        <v>50</v>
      </c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5" t="s">
        <v>50</v>
      </c>
      <c r="AW71" s="255" t="s">
        <v>50</v>
      </c>
      <c r="AX71" s="255" t="s">
        <v>50</v>
      </c>
      <c r="AY71" s="255" t="s">
        <v>50</v>
      </c>
      <c r="AZ71" s="255" t="s">
        <v>50</v>
      </c>
    </row>
    <row r="72" spans="1:52" ht="30" customHeight="1">
      <c r="A72" s="259"/>
      <c r="B72" s="259"/>
      <c r="C72" s="259"/>
      <c r="D72" s="259"/>
      <c r="E72" s="303"/>
      <c r="F72" s="297"/>
      <c r="G72" s="303"/>
      <c r="H72" s="297"/>
      <c r="I72" s="303"/>
      <c r="J72" s="297"/>
      <c r="K72" s="303"/>
      <c r="L72" s="297"/>
      <c r="M72" s="259"/>
    </row>
    <row r="73" spans="1:52" ht="30" customHeight="1">
      <c r="A73" s="299" t="s">
        <v>1552</v>
      </c>
      <c r="B73" s="300"/>
      <c r="C73" s="300"/>
      <c r="D73" s="300"/>
      <c r="E73" s="301"/>
      <c r="F73" s="302"/>
      <c r="G73" s="301"/>
      <c r="H73" s="302"/>
      <c r="I73" s="301"/>
      <c r="J73" s="302"/>
      <c r="K73" s="301"/>
      <c r="L73" s="302"/>
      <c r="M73" s="300"/>
      <c r="N73" s="464" t="s">
        <v>1816</v>
      </c>
    </row>
    <row r="74" spans="1:52" ht="30" customHeight="1">
      <c r="A74" s="258" t="s">
        <v>1544</v>
      </c>
      <c r="B74" s="258" t="s">
        <v>1548</v>
      </c>
      <c r="C74" s="258" t="s">
        <v>704</v>
      </c>
      <c r="D74" s="259">
        <v>0.36599999999999999</v>
      </c>
      <c r="E74" s="303"/>
      <c r="F74" s="297"/>
      <c r="G74" s="303"/>
      <c r="H74" s="297"/>
      <c r="I74" s="303"/>
      <c r="J74" s="297"/>
      <c r="K74" s="303"/>
      <c r="L74" s="297"/>
      <c r="M74" s="258" t="s">
        <v>823</v>
      </c>
      <c r="N74" s="255" t="s">
        <v>50</v>
      </c>
      <c r="O74" s="255" t="s">
        <v>1999</v>
      </c>
      <c r="P74" s="255" t="s">
        <v>599</v>
      </c>
      <c r="Q74" s="255" t="s">
        <v>599</v>
      </c>
      <c r="R74" s="255" t="s">
        <v>598</v>
      </c>
      <c r="S74" s="256"/>
      <c r="T74" s="256"/>
      <c r="U74" s="256"/>
      <c r="V74" s="256">
        <v>1</v>
      </c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  <c r="AI74" s="256"/>
      <c r="AJ74" s="256"/>
      <c r="AK74" s="256"/>
      <c r="AL74" s="256"/>
      <c r="AM74" s="256"/>
      <c r="AN74" s="256"/>
      <c r="AO74" s="256"/>
      <c r="AP74" s="256"/>
      <c r="AQ74" s="256"/>
      <c r="AR74" s="256"/>
      <c r="AS74" s="256"/>
      <c r="AT74" s="256"/>
      <c r="AU74" s="256"/>
      <c r="AV74" s="255" t="s">
        <v>50</v>
      </c>
      <c r="AW74" s="255" t="s">
        <v>2032</v>
      </c>
      <c r="AX74" s="255" t="s">
        <v>50</v>
      </c>
      <c r="AY74" s="255" t="s">
        <v>824</v>
      </c>
      <c r="AZ74" s="255" t="s">
        <v>50</v>
      </c>
    </row>
    <row r="75" spans="1:52" ht="30" customHeight="1">
      <c r="A75" s="258" t="s">
        <v>826</v>
      </c>
      <c r="B75" s="258" t="s">
        <v>827</v>
      </c>
      <c r="C75" s="258" t="s">
        <v>146</v>
      </c>
      <c r="D75" s="259">
        <v>1</v>
      </c>
      <c r="E75" s="303"/>
      <c r="F75" s="297"/>
      <c r="G75" s="303"/>
      <c r="H75" s="297"/>
      <c r="I75" s="303"/>
      <c r="J75" s="297"/>
      <c r="K75" s="303"/>
      <c r="L75" s="297"/>
      <c r="M75" s="258" t="s">
        <v>50</v>
      </c>
      <c r="N75" s="255" t="s">
        <v>1816</v>
      </c>
      <c r="O75" s="255" t="s">
        <v>1900</v>
      </c>
      <c r="P75" s="255" t="s">
        <v>599</v>
      </c>
      <c r="Q75" s="255" t="s">
        <v>599</v>
      </c>
      <c r="R75" s="255" t="s">
        <v>599</v>
      </c>
      <c r="S75" s="256">
        <v>3</v>
      </c>
      <c r="T75" s="256">
        <v>2</v>
      </c>
      <c r="U75" s="256">
        <v>1</v>
      </c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  <c r="AI75" s="256"/>
      <c r="AJ75" s="256"/>
      <c r="AK75" s="256"/>
      <c r="AL75" s="256"/>
      <c r="AM75" s="256"/>
      <c r="AN75" s="256"/>
      <c r="AO75" s="256"/>
      <c r="AP75" s="256"/>
      <c r="AQ75" s="256"/>
      <c r="AR75" s="256"/>
      <c r="AS75" s="256"/>
      <c r="AT75" s="256"/>
      <c r="AU75" s="256"/>
      <c r="AV75" s="255" t="s">
        <v>50</v>
      </c>
      <c r="AW75" s="255" t="s">
        <v>2033</v>
      </c>
      <c r="AX75" s="255" t="s">
        <v>50</v>
      </c>
      <c r="AY75" s="255" t="s">
        <v>50</v>
      </c>
      <c r="AZ75" s="255" t="s">
        <v>50</v>
      </c>
    </row>
    <row r="76" spans="1:52" ht="30" customHeight="1">
      <c r="A76" s="258" t="s">
        <v>820</v>
      </c>
      <c r="B76" s="258" t="s">
        <v>50</v>
      </c>
      <c r="C76" s="258" t="s">
        <v>50</v>
      </c>
      <c r="D76" s="259"/>
      <c r="E76" s="303"/>
      <c r="F76" s="297"/>
      <c r="G76" s="303"/>
      <c r="H76" s="297"/>
      <c r="I76" s="303"/>
      <c r="J76" s="297"/>
      <c r="K76" s="303"/>
      <c r="L76" s="297"/>
      <c r="M76" s="258" t="s">
        <v>50</v>
      </c>
      <c r="N76" s="255" t="s">
        <v>617</v>
      </c>
      <c r="O76" s="255" t="s">
        <v>617</v>
      </c>
      <c r="P76" s="255" t="s">
        <v>50</v>
      </c>
      <c r="Q76" s="255" t="s">
        <v>50</v>
      </c>
      <c r="R76" s="255" t="s">
        <v>50</v>
      </c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5" t="s">
        <v>50</v>
      </c>
      <c r="AW76" s="255" t="s">
        <v>50</v>
      </c>
      <c r="AX76" s="255" t="s">
        <v>50</v>
      </c>
      <c r="AY76" s="255" t="s">
        <v>50</v>
      </c>
      <c r="AZ76" s="255" t="s">
        <v>50</v>
      </c>
    </row>
    <row r="77" spans="1:52" ht="30" customHeight="1">
      <c r="A77" s="259"/>
      <c r="B77" s="259"/>
      <c r="C77" s="259"/>
      <c r="D77" s="259"/>
      <c r="E77" s="303"/>
      <c r="F77" s="297"/>
      <c r="G77" s="303"/>
      <c r="H77" s="297"/>
      <c r="I77" s="303"/>
      <c r="J77" s="297"/>
      <c r="K77" s="303"/>
      <c r="L77" s="297"/>
      <c r="M77" s="259"/>
    </row>
    <row r="78" spans="1:52" ht="30" customHeight="1">
      <c r="A78" s="299" t="s">
        <v>1553</v>
      </c>
      <c r="B78" s="300"/>
      <c r="C78" s="300"/>
      <c r="D78" s="300"/>
      <c r="E78" s="301"/>
      <c r="F78" s="302"/>
      <c r="G78" s="301"/>
      <c r="H78" s="302"/>
      <c r="I78" s="301"/>
      <c r="J78" s="302"/>
      <c r="K78" s="301"/>
      <c r="L78" s="302"/>
      <c r="M78" s="300"/>
      <c r="N78" s="464" t="s">
        <v>1828</v>
      </c>
    </row>
    <row r="79" spans="1:52" ht="30" customHeight="1">
      <c r="A79" s="258" t="s">
        <v>849</v>
      </c>
      <c r="B79" s="258" t="s">
        <v>850</v>
      </c>
      <c r="C79" s="258" t="s">
        <v>650</v>
      </c>
      <c r="D79" s="259">
        <v>1</v>
      </c>
      <c r="E79" s="303"/>
      <c r="F79" s="297"/>
      <c r="G79" s="303"/>
      <c r="H79" s="297"/>
      <c r="I79" s="303"/>
      <c r="J79" s="297"/>
      <c r="K79" s="303"/>
      <c r="L79" s="297"/>
      <c r="M79" s="258" t="s">
        <v>719</v>
      </c>
      <c r="N79" s="255" t="s">
        <v>1828</v>
      </c>
      <c r="O79" s="255" t="s">
        <v>2034</v>
      </c>
      <c r="P79" s="255" t="s">
        <v>599</v>
      </c>
      <c r="Q79" s="255" t="s">
        <v>598</v>
      </c>
      <c r="R79" s="255" t="s">
        <v>599</v>
      </c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5" t="s">
        <v>50</v>
      </c>
      <c r="AW79" s="255" t="s">
        <v>2035</v>
      </c>
      <c r="AX79" s="255" t="s">
        <v>50</v>
      </c>
      <c r="AY79" s="255" t="s">
        <v>50</v>
      </c>
      <c r="AZ79" s="255" t="s">
        <v>50</v>
      </c>
    </row>
    <row r="80" spans="1:52" ht="30" customHeight="1">
      <c r="A80" s="258" t="s">
        <v>820</v>
      </c>
      <c r="B80" s="258" t="s">
        <v>50</v>
      </c>
      <c r="C80" s="258" t="s">
        <v>50</v>
      </c>
      <c r="D80" s="259"/>
      <c r="E80" s="303"/>
      <c r="F80" s="297"/>
      <c r="G80" s="303"/>
      <c r="H80" s="297"/>
      <c r="I80" s="303"/>
      <c r="J80" s="297"/>
      <c r="K80" s="303"/>
      <c r="L80" s="297"/>
      <c r="M80" s="258" t="s">
        <v>50</v>
      </c>
      <c r="N80" s="255" t="s">
        <v>617</v>
      </c>
      <c r="O80" s="255" t="s">
        <v>617</v>
      </c>
      <c r="P80" s="255" t="s">
        <v>50</v>
      </c>
      <c r="Q80" s="255" t="s">
        <v>50</v>
      </c>
      <c r="R80" s="255" t="s">
        <v>50</v>
      </c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  <c r="AI80" s="256"/>
      <c r="AJ80" s="256"/>
      <c r="AK80" s="256"/>
      <c r="AL80" s="256"/>
      <c r="AM80" s="256"/>
      <c r="AN80" s="256"/>
      <c r="AO80" s="256"/>
      <c r="AP80" s="256"/>
      <c r="AQ80" s="256"/>
      <c r="AR80" s="256"/>
      <c r="AS80" s="256"/>
      <c r="AT80" s="256"/>
      <c r="AU80" s="256"/>
      <c r="AV80" s="255" t="s">
        <v>50</v>
      </c>
      <c r="AW80" s="255" t="s">
        <v>50</v>
      </c>
      <c r="AX80" s="255" t="s">
        <v>50</v>
      </c>
      <c r="AY80" s="255" t="s">
        <v>50</v>
      </c>
      <c r="AZ80" s="255" t="s">
        <v>50</v>
      </c>
    </row>
    <row r="81" spans="1:52" ht="30" customHeight="1">
      <c r="A81" s="259"/>
      <c r="B81" s="259"/>
      <c r="C81" s="259"/>
      <c r="D81" s="259"/>
      <c r="E81" s="303"/>
      <c r="F81" s="297"/>
      <c r="G81" s="303"/>
      <c r="H81" s="297"/>
      <c r="I81" s="303"/>
      <c r="J81" s="297"/>
      <c r="K81" s="303"/>
      <c r="L81" s="297"/>
      <c r="M81" s="259"/>
    </row>
    <row r="82" spans="1:52" ht="30" customHeight="1">
      <c r="A82" s="299" t="s">
        <v>1554</v>
      </c>
      <c r="B82" s="300"/>
      <c r="C82" s="300"/>
      <c r="D82" s="300"/>
      <c r="E82" s="301"/>
      <c r="F82" s="302"/>
      <c r="G82" s="301"/>
      <c r="H82" s="302"/>
      <c r="I82" s="301"/>
      <c r="J82" s="302"/>
      <c r="K82" s="301"/>
      <c r="L82" s="302"/>
      <c r="M82" s="300"/>
      <c r="N82" s="464" t="s">
        <v>1830</v>
      </c>
    </row>
    <row r="83" spans="1:52" ht="30" customHeight="1">
      <c r="A83" s="258" t="s">
        <v>851</v>
      </c>
      <c r="B83" s="258" t="s">
        <v>852</v>
      </c>
      <c r="C83" s="258" t="s">
        <v>704</v>
      </c>
      <c r="D83" s="259">
        <v>2</v>
      </c>
      <c r="E83" s="303"/>
      <c r="F83" s="297"/>
      <c r="G83" s="303"/>
      <c r="H83" s="297"/>
      <c r="I83" s="303"/>
      <c r="J83" s="297"/>
      <c r="K83" s="303"/>
      <c r="L83" s="297"/>
      <c r="M83" s="258" t="s">
        <v>50</v>
      </c>
      <c r="N83" s="255" t="s">
        <v>1830</v>
      </c>
      <c r="O83" s="255" t="s">
        <v>2036</v>
      </c>
      <c r="P83" s="255" t="s">
        <v>599</v>
      </c>
      <c r="Q83" s="255" t="s">
        <v>599</v>
      </c>
      <c r="R83" s="255" t="s">
        <v>598</v>
      </c>
      <c r="S83" s="256"/>
      <c r="T83" s="256"/>
      <c r="U83" s="256"/>
      <c r="V83" s="256"/>
      <c r="W83" s="256"/>
      <c r="X83" s="256"/>
      <c r="Y83" s="256"/>
      <c r="Z83" s="256"/>
      <c r="AA83" s="256"/>
      <c r="AB83" s="256"/>
      <c r="AC83" s="256"/>
      <c r="AD83" s="256"/>
      <c r="AE83" s="256"/>
      <c r="AF83" s="256"/>
      <c r="AG83" s="256"/>
      <c r="AH83" s="256"/>
      <c r="AI83" s="256"/>
      <c r="AJ83" s="256"/>
      <c r="AK83" s="256"/>
      <c r="AL83" s="256"/>
      <c r="AM83" s="256"/>
      <c r="AN83" s="256"/>
      <c r="AO83" s="256"/>
      <c r="AP83" s="256"/>
      <c r="AQ83" s="256"/>
      <c r="AR83" s="256"/>
      <c r="AS83" s="256"/>
      <c r="AT83" s="256"/>
      <c r="AU83" s="256"/>
      <c r="AV83" s="255" t="s">
        <v>50</v>
      </c>
      <c r="AW83" s="255" t="s">
        <v>2037</v>
      </c>
      <c r="AX83" s="255" t="s">
        <v>50</v>
      </c>
      <c r="AY83" s="255" t="s">
        <v>50</v>
      </c>
      <c r="AZ83" s="255" t="s">
        <v>50</v>
      </c>
    </row>
    <row r="84" spans="1:52" ht="30" customHeight="1">
      <c r="A84" s="258" t="s">
        <v>820</v>
      </c>
      <c r="B84" s="258" t="s">
        <v>50</v>
      </c>
      <c r="C84" s="258" t="s">
        <v>50</v>
      </c>
      <c r="D84" s="259"/>
      <c r="E84" s="303"/>
      <c r="F84" s="297"/>
      <c r="G84" s="303"/>
      <c r="H84" s="297"/>
      <c r="I84" s="303"/>
      <c r="J84" s="297"/>
      <c r="K84" s="303"/>
      <c r="L84" s="297"/>
      <c r="M84" s="258" t="s">
        <v>50</v>
      </c>
      <c r="N84" s="255" t="s">
        <v>617</v>
      </c>
      <c r="O84" s="255" t="s">
        <v>617</v>
      </c>
      <c r="P84" s="255" t="s">
        <v>50</v>
      </c>
      <c r="Q84" s="255" t="s">
        <v>50</v>
      </c>
      <c r="R84" s="255" t="s">
        <v>50</v>
      </c>
      <c r="S84" s="256"/>
      <c r="T84" s="256"/>
      <c r="U84" s="256"/>
      <c r="V84" s="256"/>
      <c r="W84" s="256"/>
      <c r="X84" s="256"/>
      <c r="Y84" s="256"/>
      <c r="Z84" s="256"/>
      <c r="AA84" s="256"/>
      <c r="AB84" s="256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5" t="s">
        <v>50</v>
      </c>
      <c r="AW84" s="255" t="s">
        <v>50</v>
      </c>
      <c r="AX84" s="255" t="s">
        <v>50</v>
      </c>
      <c r="AY84" s="255" t="s">
        <v>50</v>
      </c>
      <c r="AZ84" s="255" t="s">
        <v>50</v>
      </c>
    </row>
    <row r="85" spans="1:52" ht="30" customHeight="1">
      <c r="A85" s="259"/>
      <c r="B85" s="259"/>
      <c r="C85" s="259"/>
      <c r="D85" s="259"/>
      <c r="E85" s="303"/>
      <c r="F85" s="297"/>
      <c r="G85" s="303"/>
      <c r="H85" s="297"/>
      <c r="I85" s="303"/>
      <c r="J85" s="297"/>
      <c r="K85" s="303"/>
      <c r="L85" s="297"/>
      <c r="M85" s="259"/>
    </row>
    <row r="86" spans="1:52" ht="30" customHeight="1">
      <c r="A86" s="299" t="s">
        <v>1555</v>
      </c>
      <c r="B86" s="300"/>
      <c r="C86" s="300"/>
      <c r="D86" s="300"/>
      <c r="E86" s="301"/>
      <c r="F86" s="302"/>
      <c r="G86" s="301"/>
      <c r="H86" s="302"/>
      <c r="I86" s="301"/>
      <c r="J86" s="302"/>
      <c r="K86" s="301"/>
      <c r="L86" s="302"/>
      <c r="M86" s="300"/>
      <c r="N86" s="464" t="s">
        <v>1832</v>
      </c>
    </row>
    <row r="87" spans="1:52" ht="30" customHeight="1">
      <c r="A87" s="258" t="s">
        <v>853</v>
      </c>
      <c r="B87" s="258" t="s">
        <v>854</v>
      </c>
      <c r="C87" s="258" t="s">
        <v>644</v>
      </c>
      <c r="D87" s="259">
        <v>0.1</v>
      </c>
      <c r="E87" s="303"/>
      <c r="F87" s="297"/>
      <c r="G87" s="303"/>
      <c r="H87" s="297"/>
      <c r="I87" s="303"/>
      <c r="J87" s="297"/>
      <c r="K87" s="303"/>
      <c r="L87" s="297"/>
      <c r="M87" s="258" t="s">
        <v>823</v>
      </c>
      <c r="N87" s="255" t="s">
        <v>50</v>
      </c>
      <c r="O87" s="255" t="s">
        <v>2038</v>
      </c>
      <c r="P87" s="255" t="s">
        <v>599</v>
      </c>
      <c r="Q87" s="255" t="s">
        <v>599</v>
      </c>
      <c r="R87" s="255" t="s">
        <v>598</v>
      </c>
      <c r="S87" s="256"/>
      <c r="T87" s="256"/>
      <c r="U87" s="256"/>
      <c r="V87" s="256">
        <v>1</v>
      </c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6"/>
      <c r="AI87" s="256"/>
      <c r="AJ87" s="256"/>
      <c r="AK87" s="256"/>
      <c r="AL87" s="256"/>
      <c r="AM87" s="256"/>
      <c r="AN87" s="256"/>
      <c r="AO87" s="256"/>
      <c r="AP87" s="256"/>
      <c r="AQ87" s="256"/>
      <c r="AR87" s="256"/>
      <c r="AS87" s="256"/>
      <c r="AT87" s="256"/>
      <c r="AU87" s="256"/>
      <c r="AV87" s="255" t="s">
        <v>50</v>
      </c>
      <c r="AW87" s="255" t="s">
        <v>2039</v>
      </c>
      <c r="AX87" s="255" t="s">
        <v>50</v>
      </c>
      <c r="AY87" s="255" t="s">
        <v>824</v>
      </c>
      <c r="AZ87" s="255" t="s">
        <v>50</v>
      </c>
    </row>
    <row r="88" spans="1:52" ht="30" customHeight="1">
      <c r="A88" s="258" t="s">
        <v>855</v>
      </c>
      <c r="B88" s="258" t="s">
        <v>856</v>
      </c>
      <c r="C88" s="258" t="s">
        <v>146</v>
      </c>
      <c r="D88" s="259">
        <v>1</v>
      </c>
      <c r="E88" s="303"/>
      <c r="F88" s="297"/>
      <c r="G88" s="303"/>
      <c r="H88" s="297"/>
      <c r="I88" s="303"/>
      <c r="J88" s="297"/>
      <c r="K88" s="303"/>
      <c r="L88" s="297"/>
      <c r="M88" s="258" t="s">
        <v>50</v>
      </c>
      <c r="N88" s="255" t="s">
        <v>1832</v>
      </c>
      <c r="O88" s="255" t="s">
        <v>1900</v>
      </c>
      <c r="P88" s="255" t="s">
        <v>599</v>
      </c>
      <c r="Q88" s="255" t="s">
        <v>599</v>
      </c>
      <c r="R88" s="255" t="s">
        <v>599</v>
      </c>
      <c r="S88" s="256">
        <v>0</v>
      </c>
      <c r="T88" s="256">
        <v>0</v>
      </c>
      <c r="U88" s="256">
        <v>0.05</v>
      </c>
      <c r="V88" s="256"/>
      <c r="W88" s="256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56"/>
      <c r="AQ88" s="256"/>
      <c r="AR88" s="256"/>
      <c r="AS88" s="256"/>
      <c r="AT88" s="256"/>
      <c r="AU88" s="256"/>
      <c r="AV88" s="255" t="s">
        <v>50</v>
      </c>
      <c r="AW88" s="255" t="s">
        <v>2040</v>
      </c>
      <c r="AX88" s="255" t="s">
        <v>50</v>
      </c>
      <c r="AY88" s="255" t="s">
        <v>50</v>
      </c>
      <c r="AZ88" s="255" t="s">
        <v>50</v>
      </c>
    </row>
    <row r="89" spans="1:52" ht="30" customHeight="1">
      <c r="A89" s="258" t="s">
        <v>820</v>
      </c>
      <c r="B89" s="258" t="s">
        <v>50</v>
      </c>
      <c r="C89" s="258" t="s">
        <v>50</v>
      </c>
      <c r="D89" s="259"/>
      <c r="E89" s="303"/>
      <c r="F89" s="297"/>
      <c r="G89" s="303"/>
      <c r="H89" s="297"/>
      <c r="I89" s="303"/>
      <c r="J89" s="297"/>
      <c r="K89" s="303"/>
      <c r="L89" s="297"/>
      <c r="M89" s="258" t="s">
        <v>50</v>
      </c>
      <c r="N89" s="255" t="s">
        <v>617</v>
      </c>
      <c r="O89" s="255" t="s">
        <v>617</v>
      </c>
      <c r="P89" s="255" t="s">
        <v>50</v>
      </c>
      <c r="Q89" s="255" t="s">
        <v>50</v>
      </c>
      <c r="R89" s="255" t="s">
        <v>50</v>
      </c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56"/>
      <c r="AM89" s="256"/>
      <c r="AN89" s="256"/>
      <c r="AO89" s="256"/>
      <c r="AP89" s="256"/>
      <c r="AQ89" s="256"/>
      <c r="AR89" s="256"/>
      <c r="AS89" s="256"/>
      <c r="AT89" s="256"/>
      <c r="AU89" s="256"/>
      <c r="AV89" s="255" t="s">
        <v>50</v>
      </c>
      <c r="AW89" s="255" t="s">
        <v>50</v>
      </c>
      <c r="AX89" s="255" t="s">
        <v>50</v>
      </c>
      <c r="AY89" s="255" t="s">
        <v>50</v>
      </c>
      <c r="AZ89" s="255" t="s">
        <v>50</v>
      </c>
    </row>
    <row r="90" spans="1:52" ht="30" customHeight="1">
      <c r="A90" s="259"/>
      <c r="B90" s="259"/>
      <c r="C90" s="259"/>
      <c r="D90" s="259"/>
      <c r="E90" s="303"/>
      <c r="F90" s="297"/>
      <c r="G90" s="303"/>
      <c r="H90" s="297"/>
      <c r="I90" s="303"/>
      <c r="J90" s="297"/>
      <c r="K90" s="303"/>
      <c r="L90" s="297"/>
      <c r="M90" s="259"/>
    </row>
    <row r="91" spans="1:52" ht="30" customHeight="1">
      <c r="A91" s="299" t="s">
        <v>1556</v>
      </c>
      <c r="B91" s="300"/>
      <c r="C91" s="300"/>
      <c r="D91" s="300"/>
      <c r="E91" s="301"/>
      <c r="F91" s="302"/>
      <c r="G91" s="301"/>
      <c r="H91" s="302"/>
      <c r="I91" s="301"/>
      <c r="J91" s="302"/>
      <c r="K91" s="301"/>
      <c r="L91" s="302"/>
      <c r="M91" s="300"/>
      <c r="N91" s="464" t="s">
        <v>1834</v>
      </c>
    </row>
    <row r="92" spans="1:52" ht="30" customHeight="1">
      <c r="A92" s="258" t="s">
        <v>1515</v>
      </c>
      <c r="B92" s="258" t="s">
        <v>1516</v>
      </c>
      <c r="C92" s="258" t="s">
        <v>644</v>
      </c>
      <c r="D92" s="259">
        <v>1</v>
      </c>
      <c r="E92" s="303"/>
      <c r="F92" s="297"/>
      <c r="G92" s="303"/>
      <c r="H92" s="297"/>
      <c r="I92" s="303"/>
      <c r="J92" s="297"/>
      <c r="K92" s="303"/>
      <c r="L92" s="297"/>
      <c r="M92" s="258" t="s">
        <v>848</v>
      </c>
      <c r="N92" s="255" t="s">
        <v>1834</v>
      </c>
      <c r="O92" s="255" t="s">
        <v>2041</v>
      </c>
      <c r="P92" s="255" t="s">
        <v>599</v>
      </c>
      <c r="Q92" s="255" t="s">
        <v>599</v>
      </c>
      <c r="R92" s="255" t="s">
        <v>598</v>
      </c>
      <c r="S92" s="256"/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256"/>
      <c r="AG92" s="256"/>
      <c r="AH92" s="256"/>
      <c r="AI92" s="256"/>
      <c r="AJ92" s="256"/>
      <c r="AK92" s="256"/>
      <c r="AL92" s="256"/>
      <c r="AM92" s="256"/>
      <c r="AN92" s="256"/>
      <c r="AO92" s="256"/>
      <c r="AP92" s="256"/>
      <c r="AQ92" s="256"/>
      <c r="AR92" s="256"/>
      <c r="AS92" s="256"/>
      <c r="AT92" s="256"/>
      <c r="AU92" s="256"/>
      <c r="AV92" s="255" t="s">
        <v>50</v>
      </c>
      <c r="AW92" s="255" t="s">
        <v>2042</v>
      </c>
      <c r="AX92" s="255" t="s">
        <v>50</v>
      </c>
      <c r="AY92" s="255" t="s">
        <v>50</v>
      </c>
      <c r="AZ92" s="255" t="s">
        <v>50</v>
      </c>
    </row>
    <row r="93" spans="1:52" ht="30" customHeight="1">
      <c r="A93" s="258" t="s">
        <v>820</v>
      </c>
      <c r="B93" s="258" t="s">
        <v>50</v>
      </c>
      <c r="C93" s="258" t="s">
        <v>50</v>
      </c>
      <c r="D93" s="259"/>
      <c r="E93" s="303"/>
      <c r="F93" s="297"/>
      <c r="G93" s="303"/>
      <c r="H93" s="297"/>
      <c r="I93" s="303"/>
      <c r="J93" s="297"/>
      <c r="K93" s="303"/>
      <c r="L93" s="297"/>
      <c r="M93" s="258" t="s">
        <v>50</v>
      </c>
      <c r="N93" s="255" t="s">
        <v>617</v>
      </c>
      <c r="O93" s="255" t="s">
        <v>617</v>
      </c>
      <c r="P93" s="255" t="s">
        <v>50</v>
      </c>
      <c r="Q93" s="255" t="s">
        <v>50</v>
      </c>
      <c r="R93" s="255" t="s">
        <v>50</v>
      </c>
      <c r="S93" s="256"/>
      <c r="T93" s="256"/>
      <c r="U93" s="256"/>
      <c r="V93" s="256"/>
      <c r="W93" s="256"/>
      <c r="X93" s="256"/>
      <c r="Y93" s="256"/>
      <c r="Z93" s="256"/>
      <c r="AA93" s="256"/>
      <c r="AB93" s="256"/>
      <c r="AC93" s="256"/>
      <c r="AD93" s="256"/>
      <c r="AE93" s="256"/>
      <c r="AF93" s="256"/>
      <c r="AG93" s="256"/>
      <c r="AH93" s="256"/>
      <c r="AI93" s="256"/>
      <c r="AJ93" s="256"/>
      <c r="AK93" s="256"/>
      <c r="AL93" s="256"/>
      <c r="AM93" s="256"/>
      <c r="AN93" s="256"/>
      <c r="AO93" s="256"/>
      <c r="AP93" s="256"/>
      <c r="AQ93" s="256"/>
      <c r="AR93" s="256"/>
      <c r="AS93" s="256"/>
      <c r="AT93" s="256"/>
      <c r="AU93" s="256"/>
      <c r="AV93" s="255" t="s">
        <v>50</v>
      </c>
      <c r="AW93" s="255" t="s">
        <v>50</v>
      </c>
      <c r="AX93" s="255" t="s">
        <v>50</v>
      </c>
      <c r="AY93" s="255" t="s">
        <v>50</v>
      </c>
      <c r="AZ93" s="255" t="s">
        <v>50</v>
      </c>
    </row>
    <row r="94" spans="1:52" ht="30" customHeight="1">
      <c r="A94" s="259"/>
      <c r="B94" s="259"/>
      <c r="C94" s="259"/>
      <c r="D94" s="259"/>
      <c r="E94" s="303"/>
      <c r="F94" s="297"/>
      <c r="G94" s="303"/>
      <c r="H94" s="297"/>
      <c r="I94" s="303"/>
      <c r="J94" s="297"/>
      <c r="K94" s="303"/>
      <c r="L94" s="297"/>
      <c r="M94" s="259"/>
    </row>
    <row r="95" spans="1:52" ht="30" customHeight="1">
      <c r="A95" s="299" t="s">
        <v>1557</v>
      </c>
      <c r="B95" s="300"/>
      <c r="C95" s="300"/>
      <c r="D95" s="300"/>
      <c r="E95" s="301"/>
      <c r="F95" s="302"/>
      <c r="G95" s="301"/>
      <c r="H95" s="302"/>
      <c r="I95" s="301"/>
      <c r="J95" s="302"/>
      <c r="K95" s="301"/>
      <c r="L95" s="302"/>
      <c r="M95" s="300"/>
      <c r="N95" s="464" t="s">
        <v>1836</v>
      </c>
    </row>
    <row r="96" spans="1:52" ht="30" customHeight="1">
      <c r="A96" s="258" t="s">
        <v>858</v>
      </c>
      <c r="B96" s="258" t="s">
        <v>859</v>
      </c>
      <c r="C96" s="258" t="s">
        <v>704</v>
      </c>
      <c r="D96" s="259">
        <v>1</v>
      </c>
      <c r="E96" s="303"/>
      <c r="F96" s="297"/>
      <c r="G96" s="303"/>
      <c r="H96" s="297"/>
      <c r="I96" s="303"/>
      <c r="J96" s="297"/>
      <c r="K96" s="303"/>
      <c r="L96" s="297"/>
      <c r="M96" s="258" t="s">
        <v>50</v>
      </c>
      <c r="N96" s="255" t="s">
        <v>1836</v>
      </c>
      <c r="O96" s="255" t="s">
        <v>2043</v>
      </c>
      <c r="P96" s="255" t="s">
        <v>599</v>
      </c>
      <c r="Q96" s="255" t="s">
        <v>599</v>
      </c>
      <c r="R96" s="255" t="s">
        <v>598</v>
      </c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6"/>
      <c r="AI96" s="256"/>
      <c r="AJ96" s="256"/>
      <c r="AK96" s="256"/>
      <c r="AL96" s="256"/>
      <c r="AM96" s="256"/>
      <c r="AN96" s="256"/>
      <c r="AO96" s="256"/>
      <c r="AP96" s="256"/>
      <c r="AQ96" s="256"/>
      <c r="AR96" s="256"/>
      <c r="AS96" s="256"/>
      <c r="AT96" s="256"/>
      <c r="AU96" s="256"/>
      <c r="AV96" s="255" t="s">
        <v>50</v>
      </c>
      <c r="AW96" s="255" t="s">
        <v>2044</v>
      </c>
      <c r="AX96" s="255" t="s">
        <v>50</v>
      </c>
      <c r="AY96" s="255" t="s">
        <v>50</v>
      </c>
      <c r="AZ96" s="255" t="s">
        <v>50</v>
      </c>
    </row>
    <row r="97" spans="1:52" ht="30" customHeight="1">
      <c r="A97" s="258" t="s">
        <v>829</v>
      </c>
      <c r="B97" s="258" t="s">
        <v>830</v>
      </c>
      <c r="C97" s="258" t="s">
        <v>831</v>
      </c>
      <c r="D97" s="259">
        <v>0.05</v>
      </c>
      <c r="E97" s="303"/>
      <c r="F97" s="297"/>
      <c r="G97" s="303"/>
      <c r="H97" s="297"/>
      <c r="I97" s="303"/>
      <c r="J97" s="297"/>
      <c r="K97" s="303"/>
      <c r="L97" s="297"/>
      <c r="M97" s="258" t="s">
        <v>50</v>
      </c>
      <c r="N97" s="255" t="s">
        <v>1836</v>
      </c>
      <c r="O97" s="255" t="s">
        <v>2027</v>
      </c>
      <c r="P97" s="255" t="s">
        <v>599</v>
      </c>
      <c r="Q97" s="255" t="s">
        <v>599</v>
      </c>
      <c r="R97" s="255" t="s">
        <v>598</v>
      </c>
      <c r="S97" s="256"/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6"/>
      <c r="AH97" s="256"/>
      <c r="AI97" s="256"/>
      <c r="AJ97" s="256"/>
      <c r="AK97" s="256"/>
      <c r="AL97" s="256"/>
      <c r="AM97" s="256"/>
      <c r="AN97" s="256"/>
      <c r="AO97" s="256"/>
      <c r="AP97" s="256"/>
      <c r="AQ97" s="256"/>
      <c r="AR97" s="256"/>
      <c r="AS97" s="256"/>
      <c r="AT97" s="256"/>
      <c r="AU97" s="256"/>
      <c r="AV97" s="255" t="s">
        <v>50</v>
      </c>
      <c r="AW97" s="255" t="s">
        <v>2045</v>
      </c>
      <c r="AX97" s="255" t="s">
        <v>50</v>
      </c>
      <c r="AY97" s="255" t="s">
        <v>50</v>
      </c>
      <c r="AZ97" s="255" t="s">
        <v>50</v>
      </c>
    </row>
    <row r="98" spans="1:52" ht="30" customHeight="1">
      <c r="A98" s="258" t="s">
        <v>820</v>
      </c>
      <c r="B98" s="258" t="s">
        <v>50</v>
      </c>
      <c r="C98" s="258" t="s">
        <v>50</v>
      </c>
      <c r="D98" s="259"/>
      <c r="E98" s="303"/>
      <c r="F98" s="297"/>
      <c r="G98" s="303"/>
      <c r="H98" s="297"/>
      <c r="I98" s="303"/>
      <c r="J98" s="297"/>
      <c r="K98" s="303"/>
      <c r="L98" s="297"/>
      <c r="M98" s="258" t="s">
        <v>50</v>
      </c>
      <c r="N98" s="255" t="s">
        <v>617</v>
      </c>
      <c r="O98" s="255" t="s">
        <v>617</v>
      </c>
      <c r="P98" s="255" t="s">
        <v>50</v>
      </c>
      <c r="Q98" s="255" t="s">
        <v>50</v>
      </c>
      <c r="R98" s="255" t="s">
        <v>50</v>
      </c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256"/>
      <c r="AK98" s="256"/>
      <c r="AL98" s="256"/>
      <c r="AM98" s="256"/>
      <c r="AN98" s="256"/>
      <c r="AO98" s="256"/>
      <c r="AP98" s="256"/>
      <c r="AQ98" s="256"/>
      <c r="AR98" s="256"/>
      <c r="AS98" s="256"/>
      <c r="AT98" s="256"/>
      <c r="AU98" s="256"/>
      <c r="AV98" s="255" t="s">
        <v>50</v>
      </c>
      <c r="AW98" s="255" t="s">
        <v>50</v>
      </c>
      <c r="AX98" s="255" t="s">
        <v>50</v>
      </c>
      <c r="AY98" s="255" t="s">
        <v>50</v>
      </c>
      <c r="AZ98" s="255" t="s">
        <v>50</v>
      </c>
    </row>
    <row r="99" spans="1:52" ht="30" customHeight="1">
      <c r="A99" s="259"/>
      <c r="B99" s="259"/>
      <c r="C99" s="259"/>
      <c r="D99" s="259"/>
      <c r="E99" s="303"/>
      <c r="F99" s="297"/>
      <c r="G99" s="303"/>
      <c r="H99" s="297"/>
      <c r="I99" s="303"/>
      <c r="J99" s="297"/>
      <c r="K99" s="303"/>
      <c r="L99" s="297"/>
      <c r="M99" s="259"/>
    </row>
    <row r="100" spans="1:52" ht="30" customHeight="1">
      <c r="A100" s="299" t="s">
        <v>1558</v>
      </c>
      <c r="B100" s="300"/>
      <c r="C100" s="300"/>
      <c r="D100" s="300"/>
      <c r="E100" s="301"/>
      <c r="F100" s="302"/>
      <c r="G100" s="301"/>
      <c r="H100" s="302"/>
      <c r="I100" s="301"/>
      <c r="J100" s="302"/>
      <c r="K100" s="301"/>
      <c r="L100" s="302"/>
      <c r="M100" s="300"/>
      <c r="N100" s="464" t="s">
        <v>1838</v>
      </c>
    </row>
    <row r="101" spans="1:52" ht="30" customHeight="1">
      <c r="A101" s="258" t="s">
        <v>695</v>
      </c>
      <c r="B101" s="258" t="s">
        <v>696</v>
      </c>
      <c r="C101" s="258" t="s">
        <v>650</v>
      </c>
      <c r="D101" s="259">
        <v>9.1600000000000001E-2</v>
      </c>
      <c r="E101" s="303"/>
      <c r="F101" s="297"/>
      <c r="G101" s="303"/>
      <c r="H101" s="297"/>
      <c r="I101" s="303"/>
      <c r="J101" s="297"/>
      <c r="K101" s="303"/>
      <c r="L101" s="297"/>
      <c r="M101" s="258" t="s">
        <v>645</v>
      </c>
      <c r="N101" s="255" t="s">
        <v>1838</v>
      </c>
      <c r="O101" s="255" t="s">
        <v>2046</v>
      </c>
      <c r="P101" s="255" t="s">
        <v>599</v>
      </c>
      <c r="Q101" s="255" t="s">
        <v>599</v>
      </c>
      <c r="R101" s="255" t="s">
        <v>598</v>
      </c>
      <c r="S101" s="256"/>
      <c r="T101" s="25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  <c r="AM101" s="256"/>
      <c r="AN101" s="256"/>
      <c r="AO101" s="256"/>
      <c r="AP101" s="256"/>
      <c r="AQ101" s="256"/>
      <c r="AR101" s="256"/>
      <c r="AS101" s="256"/>
      <c r="AT101" s="256"/>
      <c r="AU101" s="256"/>
      <c r="AV101" s="255" t="s">
        <v>50</v>
      </c>
      <c r="AW101" s="255" t="s">
        <v>2047</v>
      </c>
      <c r="AX101" s="255" t="s">
        <v>50</v>
      </c>
      <c r="AY101" s="255" t="s">
        <v>50</v>
      </c>
      <c r="AZ101" s="255" t="s">
        <v>50</v>
      </c>
    </row>
    <row r="102" spans="1:52" ht="30" customHeight="1">
      <c r="A102" s="258" t="s">
        <v>774</v>
      </c>
      <c r="B102" s="258" t="s">
        <v>775</v>
      </c>
      <c r="C102" s="258" t="s">
        <v>650</v>
      </c>
      <c r="D102" s="259">
        <v>9.0700000000000003E-2</v>
      </c>
      <c r="E102" s="303"/>
      <c r="F102" s="297"/>
      <c r="G102" s="303"/>
      <c r="H102" s="297"/>
      <c r="I102" s="303"/>
      <c r="J102" s="297"/>
      <c r="K102" s="303"/>
      <c r="L102" s="297"/>
      <c r="M102" s="258" t="s">
        <v>675</v>
      </c>
      <c r="N102" s="255" t="s">
        <v>1838</v>
      </c>
      <c r="O102" s="255" t="s">
        <v>1958</v>
      </c>
      <c r="P102" s="255" t="s">
        <v>598</v>
      </c>
      <c r="Q102" s="255" t="s">
        <v>599</v>
      </c>
      <c r="R102" s="255" t="s">
        <v>599</v>
      </c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5" t="s">
        <v>50</v>
      </c>
      <c r="AW102" s="255" t="s">
        <v>2048</v>
      </c>
      <c r="AX102" s="255" t="s">
        <v>50</v>
      </c>
      <c r="AY102" s="255" t="s">
        <v>50</v>
      </c>
      <c r="AZ102" s="255" t="s">
        <v>50</v>
      </c>
    </row>
    <row r="103" spans="1:52" ht="30" customHeight="1">
      <c r="A103" s="258" t="s">
        <v>820</v>
      </c>
      <c r="B103" s="258" t="s">
        <v>50</v>
      </c>
      <c r="C103" s="258" t="s">
        <v>50</v>
      </c>
      <c r="D103" s="259"/>
      <c r="E103" s="303"/>
      <c r="F103" s="297"/>
      <c r="G103" s="303"/>
      <c r="H103" s="297"/>
      <c r="I103" s="303"/>
      <c r="J103" s="297"/>
      <c r="K103" s="303"/>
      <c r="L103" s="297"/>
      <c r="M103" s="258" t="s">
        <v>50</v>
      </c>
      <c r="N103" s="255" t="s">
        <v>617</v>
      </c>
      <c r="O103" s="255" t="s">
        <v>617</v>
      </c>
      <c r="P103" s="255" t="s">
        <v>50</v>
      </c>
      <c r="Q103" s="255" t="s">
        <v>50</v>
      </c>
      <c r="R103" s="255" t="s">
        <v>50</v>
      </c>
      <c r="S103" s="256"/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  <c r="AM103" s="256"/>
      <c r="AN103" s="256"/>
      <c r="AO103" s="256"/>
      <c r="AP103" s="256"/>
      <c r="AQ103" s="256"/>
      <c r="AR103" s="256"/>
      <c r="AS103" s="256"/>
      <c r="AT103" s="256"/>
      <c r="AU103" s="256"/>
      <c r="AV103" s="255" t="s">
        <v>50</v>
      </c>
      <c r="AW103" s="255" t="s">
        <v>50</v>
      </c>
      <c r="AX103" s="255" t="s">
        <v>50</v>
      </c>
      <c r="AY103" s="255" t="s">
        <v>50</v>
      </c>
      <c r="AZ103" s="255" t="s">
        <v>50</v>
      </c>
    </row>
    <row r="104" spans="1:52" ht="30" customHeight="1">
      <c r="A104" s="259"/>
      <c r="B104" s="259"/>
      <c r="C104" s="259"/>
      <c r="D104" s="259"/>
      <c r="E104" s="303"/>
      <c r="F104" s="297"/>
      <c r="G104" s="303"/>
      <c r="H104" s="297"/>
      <c r="I104" s="303"/>
      <c r="J104" s="297"/>
      <c r="K104" s="303"/>
      <c r="L104" s="297"/>
      <c r="M104" s="259"/>
    </row>
    <row r="105" spans="1:52" ht="30" customHeight="1">
      <c r="A105" s="299" t="s">
        <v>1559</v>
      </c>
      <c r="B105" s="300"/>
      <c r="C105" s="300"/>
      <c r="D105" s="300"/>
      <c r="E105" s="301"/>
      <c r="F105" s="302"/>
      <c r="G105" s="301"/>
      <c r="H105" s="302"/>
      <c r="I105" s="301"/>
      <c r="J105" s="302"/>
      <c r="K105" s="301"/>
      <c r="L105" s="302"/>
      <c r="M105" s="300"/>
      <c r="N105" s="464" t="s">
        <v>1840</v>
      </c>
    </row>
    <row r="106" spans="1:52" ht="30" customHeight="1">
      <c r="A106" s="258" t="s">
        <v>665</v>
      </c>
      <c r="B106" s="258" t="s">
        <v>776</v>
      </c>
      <c r="C106" s="258" t="s">
        <v>644</v>
      </c>
      <c r="D106" s="259">
        <v>6.6659999999999997E-2</v>
      </c>
      <c r="E106" s="303"/>
      <c r="F106" s="297"/>
      <c r="G106" s="303"/>
      <c r="H106" s="297"/>
      <c r="I106" s="303"/>
      <c r="J106" s="297"/>
      <c r="K106" s="303"/>
      <c r="L106" s="297"/>
      <c r="M106" s="258" t="s">
        <v>679</v>
      </c>
      <c r="N106" s="255" t="s">
        <v>1840</v>
      </c>
      <c r="O106" s="255" t="s">
        <v>1959</v>
      </c>
      <c r="P106" s="255" t="s">
        <v>598</v>
      </c>
      <c r="Q106" s="255" t="s">
        <v>599</v>
      </c>
      <c r="R106" s="255" t="s">
        <v>599</v>
      </c>
      <c r="S106" s="256"/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  <c r="AN106" s="256"/>
      <c r="AO106" s="256"/>
      <c r="AP106" s="256"/>
      <c r="AQ106" s="256"/>
      <c r="AR106" s="256"/>
      <c r="AS106" s="256"/>
      <c r="AT106" s="256"/>
      <c r="AU106" s="256"/>
      <c r="AV106" s="255" t="s">
        <v>50</v>
      </c>
      <c r="AW106" s="255" t="s">
        <v>2049</v>
      </c>
      <c r="AX106" s="255" t="s">
        <v>50</v>
      </c>
      <c r="AY106" s="255" t="s">
        <v>50</v>
      </c>
      <c r="AZ106" s="255" t="s">
        <v>50</v>
      </c>
    </row>
    <row r="107" spans="1:52" ht="30" customHeight="1">
      <c r="A107" s="258" t="s">
        <v>820</v>
      </c>
      <c r="B107" s="258" t="s">
        <v>50</v>
      </c>
      <c r="C107" s="258" t="s">
        <v>50</v>
      </c>
      <c r="D107" s="259"/>
      <c r="E107" s="303"/>
      <c r="F107" s="297"/>
      <c r="G107" s="303"/>
      <c r="H107" s="297"/>
      <c r="I107" s="303"/>
      <c r="J107" s="297"/>
      <c r="K107" s="303"/>
      <c r="L107" s="297"/>
      <c r="M107" s="258" t="s">
        <v>50</v>
      </c>
      <c r="N107" s="255" t="s">
        <v>617</v>
      </c>
      <c r="O107" s="255" t="s">
        <v>617</v>
      </c>
      <c r="P107" s="255" t="s">
        <v>50</v>
      </c>
      <c r="Q107" s="255" t="s">
        <v>50</v>
      </c>
      <c r="R107" s="255" t="s">
        <v>50</v>
      </c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256"/>
      <c r="AN107" s="256"/>
      <c r="AO107" s="256"/>
      <c r="AP107" s="256"/>
      <c r="AQ107" s="256"/>
      <c r="AR107" s="256"/>
      <c r="AS107" s="256"/>
      <c r="AT107" s="256"/>
      <c r="AU107" s="256"/>
      <c r="AV107" s="255" t="s">
        <v>50</v>
      </c>
      <c r="AW107" s="255" t="s">
        <v>50</v>
      </c>
      <c r="AX107" s="255" t="s">
        <v>50</v>
      </c>
      <c r="AY107" s="255" t="s">
        <v>50</v>
      </c>
      <c r="AZ107" s="255" t="s">
        <v>50</v>
      </c>
    </row>
    <row r="108" spans="1:52" ht="30" customHeight="1">
      <c r="A108" s="259"/>
      <c r="B108" s="259"/>
      <c r="C108" s="259"/>
      <c r="D108" s="259"/>
      <c r="E108" s="303"/>
      <c r="F108" s="297"/>
      <c r="G108" s="303"/>
      <c r="H108" s="297"/>
      <c r="I108" s="303"/>
      <c r="J108" s="297"/>
      <c r="K108" s="303"/>
      <c r="L108" s="297"/>
      <c r="M108" s="259"/>
    </row>
    <row r="109" spans="1:52" ht="30" customHeight="1">
      <c r="A109" s="299" t="s">
        <v>1560</v>
      </c>
      <c r="B109" s="300"/>
      <c r="C109" s="300"/>
      <c r="D109" s="300"/>
      <c r="E109" s="301"/>
      <c r="F109" s="302"/>
      <c r="G109" s="301"/>
      <c r="H109" s="302"/>
      <c r="I109" s="301"/>
      <c r="J109" s="302"/>
      <c r="K109" s="301"/>
      <c r="L109" s="302"/>
      <c r="M109" s="300"/>
      <c r="N109" s="464" t="s">
        <v>1842</v>
      </c>
    </row>
    <row r="110" spans="1:52" ht="30" customHeight="1">
      <c r="A110" s="258" t="s">
        <v>665</v>
      </c>
      <c r="B110" s="258" t="s">
        <v>792</v>
      </c>
      <c r="C110" s="258" t="s">
        <v>644</v>
      </c>
      <c r="D110" s="259">
        <v>5.2630000000000003E-2</v>
      </c>
      <c r="E110" s="303"/>
      <c r="F110" s="297"/>
      <c r="G110" s="303"/>
      <c r="H110" s="297"/>
      <c r="I110" s="303"/>
      <c r="J110" s="297"/>
      <c r="K110" s="303"/>
      <c r="L110" s="297"/>
      <c r="M110" s="258" t="s">
        <v>690</v>
      </c>
      <c r="N110" s="255" t="s">
        <v>1842</v>
      </c>
      <c r="O110" s="255" t="s">
        <v>1967</v>
      </c>
      <c r="P110" s="255" t="s">
        <v>598</v>
      </c>
      <c r="Q110" s="255" t="s">
        <v>599</v>
      </c>
      <c r="R110" s="255" t="s">
        <v>599</v>
      </c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  <c r="AN110" s="256"/>
      <c r="AO110" s="256"/>
      <c r="AP110" s="256"/>
      <c r="AQ110" s="256"/>
      <c r="AR110" s="256"/>
      <c r="AS110" s="256"/>
      <c r="AT110" s="256"/>
      <c r="AU110" s="256"/>
      <c r="AV110" s="255" t="s">
        <v>50</v>
      </c>
      <c r="AW110" s="255" t="s">
        <v>2050</v>
      </c>
      <c r="AX110" s="255" t="s">
        <v>50</v>
      </c>
      <c r="AY110" s="255" t="s">
        <v>50</v>
      </c>
      <c r="AZ110" s="255" t="s">
        <v>50</v>
      </c>
    </row>
    <row r="111" spans="1:52" ht="30" customHeight="1">
      <c r="A111" s="258" t="s">
        <v>820</v>
      </c>
      <c r="B111" s="258" t="s">
        <v>50</v>
      </c>
      <c r="C111" s="258" t="s">
        <v>50</v>
      </c>
      <c r="D111" s="259"/>
      <c r="E111" s="303"/>
      <c r="F111" s="297"/>
      <c r="G111" s="303"/>
      <c r="H111" s="297"/>
      <c r="I111" s="303"/>
      <c r="J111" s="297"/>
      <c r="K111" s="303"/>
      <c r="L111" s="297"/>
      <c r="M111" s="258" t="s">
        <v>50</v>
      </c>
      <c r="N111" s="255" t="s">
        <v>617</v>
      </c>
      <c r="O111" s="255" t="s">
        <v>617</v>
      </c>
      <c r="P111" s="255" t="s">
        <v>50</v>
      </c>
      <c r="Q111" s="255" t="s">
        <v>50</v>
      </c>
      <c r="R111" s="255" t="s">
        <v>50</v>
      </c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5" t="s">
        <v>50</v>
      </c>
      <c r="AW111" s="255" t="s">
        <v>50</v>
      </c>
      <c r="AX111" s="255" t="s">
        <v>50</v>
      </c>
      <c r="AY111" s="255" t="s">
        <v>50</v>
      </c>
      <c r="AZ111" s="255" t="s">
        <v>50</v>
      </c>
    </row>
    <row r="112" spans="1:52" ht="30" customHeight="1">
      <c r="A112" s="259"/>
      <c r="B112" s="259"/>
      <c r="C112" s="259"/>
      <c r="D112" s="259"/>
      <c r="E112" s="303"/>
      <c r="F112" s="297"/>
      <c r="G112" s="303"/>
      <c r="H112" s="297"/>
      <c r="I112" s="303"/>
      <c r="J112" s="297"/>
      <c r="K112" s="303"/>
      <c r="L112" s="297"/>
      <c r="M112" s="259"/>
    </row>
    <row r="113" spans="1:52" ht="30" customHeight="1">
      <c r="A113" s="299" t="s">
        <v>1561</v>
      </c>
      <c r="B113" s="300"/>
      <c r="C113" s="300"/>
      <c r="D113" s="300"/>
      <c r="E113" s="301"/>
      <c r="F113" s="302"/>
      <c r="G113" s="301"/>
      <c r="H113" s="302"/>
      <c r="I113" s="301"/>
      <c r="J113" s="302"/>
      <c r="K113" s="301"/>
      <c r="L113" s="302"/>
      <c r="M113" s="300"/>
      <c r="N113" s="464" t="s">
        <v>1846</v>
      </c>
    </row>
    <row r="114" spans="1:52" ht="30" customHeight="1">
      <c r="A114" s="258" t="s">
        <v>860</v>
      </c>
      <c r="B114" s="258" t="s">
        <v>830</v>
      </c>
      <c r="C114" s="258" t="s">
        <v>831</v>
      </c>
      <c r="D114" s="259">
        <v>7.7000000000000002E-3</v>
      </c>
      <c r="E114" s="303"/>
      <c r="F114" s="297"/>
      <c r="G114" s="303"/>
      <c r="H114" s="297"/>
      <c r="I114" s="303"/>
      <c r="J114" s="297"/>
      <c r="K114" s="303"/>
      <c r="L114" s="297"/>
      <c r="M114" s="258" t="s">
        <v>50</v>
      </c>
      <c r="N114" s="255" t="s">
        <v>1846</v>
      </c>
      <c r="O114" s="255" t="s">
        <v>2051</v>
      </c>
      <c r="P114" s="255" t="s">
        <v>599</v>
      </c>
      <c r="Q114" s="255" t="s">
        <v>599</v>
      </c>
      <c r="R114" s="255" t="s">
        <v>598</v>
      </c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5" t="s">
        <v>50</v>
      </c>
      <c r="AW114" s="255" t="s">
        <v>2052</v>
      </c>
      <c r="AX114" s="255" t="s">
        <v>50</v>
      </c>
      <c r="AY114" s="255" t="s">
        <v>50</v>
      </c>
      <c r="AZ114" s="255" t="s">
        <v>50</v>
      </c>
    </row>
    <row r="115" spans="1:52" ht="30" customHeight="1">
      <c r="A115" s="258" t="s">
        <v>829</v>
      </c>
      <c r="B115" s="258" t="s">
        <v>830</v>
      </c>
      <c r="C115" s="258" t="s">
        <v>831</v>
      </c>
      <c r="D115" s="259">
        <v>7.7000000000000002E-3</v>
      </c>
      <c r="E115" s="303"/>
      <c r="F115" s="297"/>
      <c r="G115" s="303"/>
      <c r="H115" s="297"/>
      <c r="I115" s="303"/>
      <c r="J115" s="297"/>
      <c r="K115" s="303"/>
      <c r="L115" s="297"/>
      <c r="M115" s="258" t="s">
        <v>50</v>
      </c>
      <c r="N115" s="255" t="s">
        <v>1846</v>
      </c>
      <c r="O115" s="255" t="s">
        <v>2027</v>
      </c>
      <c r="P115" s="255" t="s">
        <v>599</v>
      </c>
      <c r="Q115" s="255" t="s">
        <v>599</v>
      </c>
      <c r="R115" s="255" t="s">
        <v>598</v>
      </c>
      <c r="S115" s="256"/>
      <c r="T115" s="256"/>
      <c r="U115" s="256"/>
      <c r="V115" s="256"/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  <c r="AN115" s="256"/>
      <c r="AO115" s="256"/>
      <c r="AP115" s="256"/>
      <c r="AQ115" s="256"/>
      <c r="AR115" s="256"/>
      <c r="AS115" s="256"/>
      <c r="AT115" s="256"/>
      <c r="AU115" s="256"/>
      <c r="AV115" s="255" t="s">
        <v>50</v>
      </c>
      <c r="AW115" s="255" t="s">
        <v>2053</v>
      </c>
      <c r="AX115" s="255" t="s">
        <v>50</v>
      </c>
      <c r="AY115" s="255" t="s">
        <v>50</v>
      </c>
      <c r="AZ115" s="255" t="s">
        <v>50</v>
      </c>
    </row>
    <row r="116" spans="1:52" ht="30" customHeight="1">
      <c r="A116" s="258" t="s">
        <v>760</v>
      </c>
      <c r="B116" s="258" t="s">
        <v>761</v>
      </c>
      <c r="C116" s="258" t="s">
        <v>762</v>
      </c>
      <c r="D116" s="259">
        <v>6.1499999999999999E-2</v>
      </c>
      <c r="E116" s="303"/>
      <c r="F116" s="297"/>
      <c r="G116" s="303"/>
      <c r="H116" s="297"/>
      <c r="I116" s="303"/>
      <c r="J116" s="297"/>
      <c r="K116" s="303"/>
      <c r="L116" s="297"/>
      <c r="M116" s="258" t="s">
        <v>637</v>
      </c>
      <c r="N116" s="255" t="s">
        <v>1846</v>
      </c>
      <c r="O116" s="255" t="s">
        <v>1944</v>
      </c>
      <c r="P116" s="255" t="s">
        <v>598</v>
      </c>
      <c r="Q116" s="255" t="s">
        <v>599</v>
      </c>
      <c r="R116" s="255" t="s">
        <v>599</v>
      </c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5" t="s">
        <v>50</v>
      </c>
      <c r="AW116" s="255" t="s">
        <v>2054</v>
      </c>
      <c r="AX116" s="255" t="s">
        <v>50</v>
      </c>
      <c r="AY116" s="255" t="s">
        <v>50</v>
      </c>
      <c r="AZ116" s="255" t="s">
        <v>50</v>
      </c>
    </row>
    <row r="117" spans="1:52" ht="30" customHeight="1">
      <c r="A117" s="258" t="s">
        <v>800</v>
      </c>
      <c r="B117" s="258" t="s">
        <v>801</v>
      </c>
      <c r="C117" s="258" t="s">
        <v>762</v>
      </c>
      <c r="D117" s="259">
        <v>3.0800000000000001E-2</v>
      </c>
      <c r="E117" s="303"/>
      <c r="F117" s="297"/>
      <c r="G117" s="303"/>
      <c r="H117" s="297"/>
      <c r="I117" s="303"/>
      <c r="J117" s="297"/>
      <c r="K117" s="303"/>
      <c r="L117" s="297"/>
      <c r="M117" s="258" t="s">
        <v>697</v>
      </c>
      <c r="N117" s="255" t="s">
        <v>1846</v>
      </c>
      <c r="O117" s="255" t="s">
        <v>1972</v>
      </c>
      <c r="P117" s="255" t="s">
        <v>598</v>
      </c>
      <c r="Q117" s="255" t="s">
        <v>599</v>
      </c>
      <c r="R117" s="255" t="s">
        <v>599</v>
      </c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5" t="s">
        <v>50</v>
      </c>
      <c r="AW117" s="255" t="s">
        <v>2055</v>
      </c>
      <c r="AX117" s="255" t="s">
        <v>50</v>
      </c>
      <c r="AY117" s="255" t="s">
        <v>50</v>
      </c>
      <c r="AZ117" s="255" t="s">
        <v>50</v>
      </c>
    </row>
    <row r="118" spans="1:52" ht="30" customHeight="1">
      <c r="A118" s="258" t="s">
        <v>802</v>
      </c>
      <c r="B118" s="258" t="s">
        <v>803</v>
      </c>
      <c r="C118" s="258" t="s">
        <v>762</v>
      </c>
      <c r="D118" s="259">
        <v>6.1499999999999999E-2</v>
      </c>
      <c r="E118" s="303"/>
      <c r="F118" s="297"/>
      <c r="G118" s="303"/>
      <c r="H118" s="297"/>
      <c r="I118" s="303"/>
      <c r="J118" s="297"/>
      <c r="K118" s="303"/>
      <c r="L118" s="297"/>
      <c r="M118" s="258" t="s">
        <v>698</v>
      </c>
      <c r="N118" s="255" t="s">
        <v>1846</v>
      </c>
      <c r="O118" s="255" t="s">
        <v>1973</v>
      </c>
      <c r="P118" s="255" t="s">
        <v>598</v>
      </c>
      <c r="Q118" s="255" t="s">
        <v>599</v>
      </c>
      <c r="R118" s="255" t="s">
        <v>599</v>
      </c>
      <c r="S118" s="256"/>
      <c r="T118" s="256"/>
      <c r="U118" s="256"/>
      <c r="V118" s="256">
        <v>1</v>
      </c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  <c r="AN118" s="256"/>
      <c r="AO118" s="256"/>
      <c r="AP118" s="256"/>
      <c r="AQ118" s="256"/>
      <c r="AR118" s="256"/>
      <c r="AS118" s="256"/>
      <c r="AT118" s="256"/>
      <c r="AU118" s="256"/>
      <c r="AV118" s="255" t="s">
        <v>50</v>
      </c>
      <c r="AW118" s="255" t="s">
        <v>2056</v>
      </c>
      <c r="AX118" s="255" t="s">
        <v>50</v>
      </c>
      <c r="AY118" s="255" t="s">
        <v>50</v>
      </c>
      <c r="AZ118" s="255" t="s">
        <v>50</v>
      </c>
    </row>
    <row r="119" spans="1:52" ht="30" customHeight="1">
      <c r="A119" s="258" t="s">
        <v>861</v>
      </c>
      <c r="B119" s="258" t="s">
        <v>862</v>
      </c>
      <c r="C119" s="258" t="s">
        <v>146</v>
      </c>
      <c r="D119" s="259">
        <v>-1</v>
      </c>
      <c r="E119" s="303"/>
      <c r="F119" s="297"/>
      <c r="G119" s="303"/>
      <c r="H119" s="297"/>
      <c r="I119" s="303"/>
      <c r="J119" s="297"/>
      <c r="K119" s="303"/>
      <c r="L119" s="297"/>
      <c r="M119" s="258" t="s">
        <v>50</v>
      </c>
      <c r="N119" s="255" t="s">
        <v>1846</v>
      </c>
      <c r="O119" s="255" t="s">
        <v>1900</v>
      </c>
      <c r="P119" s="255" t="s">
        <v>599</v>
      </c>
      <c r="Q119" s="255" t="s">
        <v>599</v>
      </c>
      <c r="R119" s="255" t="s">
        <v>599</v>
      </c>
      <c r="S119" s="256">
        <v>1</v>
      </c>
      <c r="T119" s="256">
        <v>1</v>
      </c>
      <c r="U119" s="256">
        <v>1</v>
      </c>
      <c r="V119" s="256"/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  <c r="AN119" s="256"/>
      <c r="AO119" s="256"/>
      <c r="AP119" s="256"/>
      <c r="AQ119" s="256"/>
      <c r="AR119" s="256"/>
      <c r="AS119" s="256"/>
      <c r="AT119" s="256"/>
      <c r="AU119" s="256"/>
      <c r="AV119" s="255" t="s">
        <v>50</v>
      </c>
      <c r="AW119" s="255" t="s">
        <v>2057</v>
      </c>
      <c r="AX119" s="255" t="s">
        <v>50</v>
      </c>
      <c r="AY119" s="255" t="s">
        <v>50</v>
      </c>
      <c r="AZ119" s="255" t="s">
        <v>50</v>
      </c>
    </row>
    <row r="120" spans="1:52" ht="30" customHeight="1">
      <c r="A120" s="258" t="s">
        <v>820</v>
      </c>
      <c r="B120" s="258" t="s">
        <v>50</v>
      </c>
      <c r="C120" s="258" t="s">
        <v>50</v>
      </c>
      <c r="D120" s="259"/>
      <c r="E120" s="303"/>
      <c r="F120" s="297"/>
      <c r="G120" s="303"/>
      <c r="H120" s="297"/>
      <c r="I120" s="303"/>
      <c r="J120" s="297"/>
      <c r="K120" s="303"/>
      <c r="L120" s="297"/>
      <c r="M120" s="258" t="s">
        <v>50</v>
      </c>
      <c r="N120" s="255" t="s">
        <v>617</v>
      </c>
      <c r="O120" s="255" t="s">
        <v>617</v>
      </c>
      <c r="P120" s="255" t="s">
        <v>50</v>
      </c>
      <c r="Q120" s="255" t="s">
        <v>50</v>
      </c>
      <c r="R120" s="255" t="s">
        <v>50</v>
      </c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5" t="s">
        <v>50</v>
      </c>
      <c r="AW120" s="255" t="s">
        <v>50</v>
      </c>
      <c r="AX120" s="255" t="s">
        <v>50</v>
      </c>
      <c r="AY120" s="255" t="s">
        <v>50</v>
      </c>
      <c r="AZ120" s="255" t="s">
        <v>50</v>
      </c>
    </row>
    <row r="121" spans="1:52" ht="30" customHeight="1">
      <c r="A121" s="259"/>
      <c r="B121" s="259"/>
      <c r="C121" s="259"/>
      <c r="D121" s="259"/>
      <c r="E121" s="303"/>
      <c r="F121" s="297"/>
      <c r="G121" s="303"/>
      <c r="H121" s="297"/>
      <c r="I121" s="303"/>
      <c r="J121" s="297"/>
      <c r="K121" s="303"/>
      <c r="L121" s="297"/>
      <c r="M121" s="259"/>
    </row>
    <row r="122" spans="1:52" ht="30" customHeight="1">
      <c r="A122" s="299" t="s">
        <v>1562</v>
      </c>
      <c r="B122" s="300"/>
      <c r="C122" s="300"/>
      <c r="D122" s="300"/>
      <c r="E122" s="301"/>
      <c r="F122" s="302"/>
      <c r="G122" s="301"/>
      <c r="H122" s="302"/>
      <c r="I122" s="301"/>
      <c r="J122" s="302"/>
      <c r="K122" s="301"/>
      <c r="L122" s="302"/>
      <c r="M122" s="300"/>
      <c r="N122" s="464" t="s">
        <v>1848</v>
      </c>
    </row>
    <row r="123" spans="1:52" ht="30" customHeight="1">
      <c r="A123" s="258" t="s">
        <v>863</v>
      </c>
      <c r="B123" s="258" t="s">
        <v>830</v>
      </c>
      <c r="C123" s="258" t="s">
        <v>831</v>
      </c>
      <c r="D123" s="259">
        <v>3</v>
      </c>
      <c r="E123" s="303"/>
      <c r="F123" s="297"/>
      <c r="G123" s="303"/>
      <c r="H123" s="297"/>
      <c r="I123" s="303"/>
      <c r="J123" s="297"/>
      <c r="K123" s="303"/>
      <c r="L123" s="297"/>
      <c r="M123" s="258" t="s">
        <v>50</v>
      </c>
      <c r="N123" s="255" t="s">
        <v>1848</v>
      </c>
      <c r="O123" s="255" t="s">
        <v>2058</v>
      </c>
      <c r="P123" s="255" t="s">
        <v>599</v>
      </c>
      <c r="Q123" s="255" t="s">
        <v>599</v>
      </c>
      <c r="R123" s="255" t="s">
        <v>598</v>
      </c>
      <c r="S123" s="256"/>
      <c r="T123" s="256"/>
      <c r="U123" s="256"/>
      <c r="V123" s="256">
        <v>1</v>
      </c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5" t="s">
        <v>50</v>
      </c>
      <c r="AW123" s="255" t="s">
        <v>2059</v>
      </c>
      <c r="AX123" s="255" t="s">
        <v>50</v>
      </c>
      <c r="AY123" s="255" t="s">
        <v>50</v>
      </c>
      <c r="AZ123" s="255" t="s">
        <v>50</v>
      </c>
    </row>
    <row r="124" spans="1:52" ht="30" customHeight="1">
      <c r="A124" s="258" t="s">
        <v>864</v>
      </c>
      <c r="B124" s="258" t="s">
        <v>830</v>
      </c>
      <c r="C124" s="258" t="s">
        <v>831</v>
      </c>
      <c r="D124" s="259">
        <v>6</v>
      </c>
      <c r="E124" s="303"/>
      <c r="F124" s="297"/>
      <c r="G124" s="303"/>
      <c r="H124" s="297"/>
      <c r="I124" s="303"/>
      <c r="J124" s="297"/>
      <c r="K124" s="303"/>
      <c r="L124" s="297"/>
      <c r="M124" s="258" t="s">
        <v>50</v>
      </c>
      <c r="N124" s="255" t="s">
        <v>1848</v>
      </c>
      <c r="O124" s="255" t="s">
        <v>2060</v>
      </c>
      <c r="P124" s="255" t="s">
        <v>599</v>
      </c>
      <c r="Q124" s="255" t="s">
        <v>599</v>
      </c>
      <c r="R124" s="255" t="s">
        <v>598</v>
      </c>
      <c r="S124" s="256"/>
      <c r="T124" s="256"/>
      <c r="U124" s="256"/>
      <c r="V124" s="256">
        <v>1</v>
      </c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  <c r="AN124" s="256"/>
      <c r="AO124" s="256"/>
      <c r="AP124" s="256"/>
      <c r="AQ124" s="256"/>
      <c r="AR124" s="256"/>
      <c r="AS124" s="256"/>
      <c r="AT124" s="256"/>
      <c r="AU124" s="256"/>
      <c r="AV124" s="255" t="s">
        <v>50</v>
      </c>
      <c r="AW124" s="255" t="s">
        <v>2061</v>
      </c>
      <c r="AX124" s="255" t="s">
        <v>50</v>
      </c>
      <c r="AY124" s="255" t="s">
        <v>50</v>
      </c>
      <c r="AZ124" s="255" t="s">
        <v>50</v>
      </c>
    </row>
    <row r="125" spans="1:52" ht="30" customHeight="1">
      <c r="A125" s="258" t="s">
        <v>860</v>
      </c>
      <c r="B125" s="258" t="s">
        <v>830</v>
      </c>
      <c r="C125" s="258" t="s">
        <v>831</v>
      </c>
      <c r="D125" s="259">
        <v>3</v>
      </c>
      <c r="E125" s="303"/>
      <c r="F125" s="297"/>
      <c r="G125" s="303"/>
      <c r="H125" s="297"/>
      <c r="I125" s="303"/>
      <c r="J125" s="297"/>
      <c r="K125" s="303"/>
      <c r="L125" s="297"/>
      <c r="M125" s="258" t="s">
        <v>50</v>
      </c>
      <c r="N125" s="255" t="s">
        <v>1848</v>
      </c>
      <c r="O125" s="255" t="s">
        <v>2051</v>
      </c>
      <c r="P125" s="255" t="s">
        <v>599</v>
      </c>
      <c r="Q125" s="255" t="s">
        <v>599</v>
      </c>
      <c r="R125" s="255" t="s">
        <v>598</v>
      </c>
      <c r="S125" s="256"/>
      <c r="T125" s="256"/>
      <c r="U125" s="256"/>
      <c r="V125" s="256">
        <v>1</v>
      </c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  <c r="AN125" s="256"/>
      <c r="AO125" s="256"/>
      <c r="AP125" s="256"/>
      <c r="AQ125" s="256"/>
      <c r="AR125" s="256"/>
      <c r="AS125" s="256"/>
      <c r="AT125" s="256"/>
      <c r="AU125" s="256"/>
      <c r="AV125" s="255" t="s">
        <v>50</v>
      </c>
      <c r="AW125" s="255" t="s">
        <v>2062</v>
      </c>
      <c r="AX125" s="255" t="s">
        <v>50</v>
      </c>
      <c r="AY125" s="255" t="s">
        <v>50</v>
      </c>
      <c r="AZ125" s="255" t="s">
        <v>50</v>
      </c>
    </row>
    <row r="126" spans="1:52" ht="30" customHeight="1">
      <c r="A126" s="258" t="s">
        <v>865</v>
      </c>
      <c r="B126" s="258" t="s">
        <v>866</v>
      </c>
      <c r="C126" s="258" t="s">
        <v>146</v>
      </c>
      <c r="D126" s="259">
        <v>1</v>
      </c>
      <c r="E126" s="303"/>
      <c r="F126" s="297"/>
      <c r="G126" s="303"/>
      <c r="H126" s="297"/>
      <c r="I126" s="303"/>
      <c r="J126" s="297"/>
      <c r="K126" s="303"/>
      <c r="L126" s="297"/>
      <c r="M126" s="258" t="s">
        <v>50</v>
      </c>
      <c r="N126" s="255" t="s">
        <v>1848</v>
      </c>
      <c r="O126" s="255" t="s">
        <v>1900</v>
      </c>
      <c r="P126" s="255" t="s">
        <v>599</v>
      </c>
      <c r="Q126" s="255" t="s">
        <v>599</v>
      </c>
      <c r="R126" s="255" t="s">
        <v>599</v>
      </c>
      <c r="S126" s="256">
        <v>1</v>
      </c>
      <c r="T126" s="256">
        <v>2</v>
      </c>
      <c r="U126" s="256">
        <v>0.03</v>
      </c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5" t="s">
        <v>50</v>
      </c>
      <c r="AW126" s="255" t="s">
        <v>2063</v>
      </c>
      <c r="AX126" s="255" t="s">
        <v>50</v>
      </c>
      <c r="AY126" s="255" t="s">
        <v>50</v>
      </c>
      <c r="AZ126" s="255" t="s">
        <v>50</v>
      </c>
    </row>
    <row r="127" spans="1:52" ht="30" customHeight="1">
      <c r="A127" s="258" t="s">
        <v>790</v>
      </c>
      <c r="B127" s="258" t="s">
        <v>804</v>
      </c>
      <c r="C127" s="258" t="s">
        <v>762</v>
      </c>
      <c r="D127" s="259">
        <v>24</v>
      </c>
      <c r="E127" s="303"/>
      <c r="F127" s="297"/>
      <c r="G127" s="303"/>
      <c r="H127" s="297"/>
      <c r="I127" s="303"/>
      <c r="J127" s="297"/>
      <c r="K127" s="303"/>
      <c r="L127" s="297"/>
      <c r="M127" s="258" t="s">
        <v>699</v>
      </c>
      <c r="N127" s="255" t="s">
        <v>1848</v>
      </c>
      <c r="O127" s="255" t="s">
        <v>1974</v>
      </c>
      <c r="P127" s="255" t="s">
        <v>598</v>
      </c>
      <c r="Q127" s="255" t="s">
        <v>599</v>
      </c>
      <c r="R127" s="255" t="s">
        <v>599</v>
      </c>
      <c r="S127" s="256"/>
      <c r="T127" s="256"/>
      <c r="U127" s="256"/>
      <c r="V127" s="256"/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  <c r="AM127" s="256"/>
      <c r="AN127" s="256"/>
      <c r="AO127" s="256"/>
      <c r="AP127" s="256"/>
      <c r="AQ127" s="256"/>
      <c r="AR127" s="256"/>
      <c r="AS127" s="256"/>
      <c r="AT127" s="256"/>
      <c r="AU127" s="256"/>
      <c r="AV127" s="255" t="s">
        <v>50</v>
      </c>
      <c r="AW127" s="255" t="s">
        <v>2064</v>
      </c>
      <c r="AX127" s="255" t="s">
        <v>50</v>
      </c>
      <c r="AY127" s="255" t="s">
        <v>50</v>
      </c>
      <c r="AZ127" s="255" t="s">
        <v>50</v>
      </c>
    </row>
    <row r="128" spans="1:52" ht="30" customHeight="1">
      <c r="A128" s="258" t="s">
        <v>820</v>
      </c>
      <c r="B128" s="258" t="s">
        <v>50</v>
      </c>
      <c r="C128" s="258" t="s">
        <v>50</v>
      </c>
      <c r="D128" s="259"/>
      <c r="E128" s="303"/>
      <c r="F128" s="297"/>
      <c r="G128" s="303"/>
      <c r="H128" s="297"/>
      <c r="I128" s="303"/>
      <c r="J128" s="297"/>
      <c r="K128" s="303"/>
      <c r="L128" s="297"/>
      <c r="M128" s="258" t="s">
        <v>50</v>
      </c>
      <c r="N128" s="255" t="s">
        <v>617</v>
      </c>
      <c r="O128" s="255" t="s">
        <v>617</v>
      </c>
      <c r="P128" s="255" t="s">
        <v>50</v>
      </c>
      <c r="Q128" s="255" t="s">
        <v>50</v>
      </c>
      <c r="R128" s="255" t="s">
        <v>50</v>
      </c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  <c r="AN128" s="256"/>
      <c r="AO128" s="256"/>
      <c r="AP128" s="256"/>
      <c r="AQ128" s="256"/>
      <c r="AR128" s="256"/>
      <c r="AS128" s="256"/>
      <c r="AT128" s="256"/>
      <c r="AU128" s="256"/>
      <c r="AV128" s="255" t="s">
        <v>50</v>
      </c>
      <c r="AW128" s="255" t="s">
        <v>50</v>
      </c>
      <c r="AX128" s="255" t="s">
        <v>50</v>
      </c>
      <c r="AY128" s="255" t="s">
        <v>50</v>
      </c>
      <c r="AZ128" s="255" t="s">
        <v>50</v>
      </c>
    </row>
    <row r="129" spans="1:52" ht="30" customHeight="1">
      <c r="A129" s="259"/>
      <c r="B129" s="259"/>
      <c r="C129" s="259"/>
      <c r="D129" s="259"/>
      <c r="E129" s="303"/>
      <c r="F129" s="297"/>
      <c r="G129" s="303"/>
      <c r="H129" s="297"/>
      <c r="I129" s="303"/>
      <c r="J129" s="297"/>
      <c r="K129" s="303"/>
      <c r="L129" s="297"/>
      <c r="M129" s="259"/>
    </row>
    <row r="130" spans="1:52" ht="30" customHeight="1">
      <c r="A130" s="299" t="s">
        <v>1563</v>
      </c>
      <c r="B130" s="300"/>
      <c r="C130" s="300"/>
      <c r="D130" s="300"/>
      <c r="E130" s="301"/>
      <c r="F130" s="302"/>
      <c r="G130" s="301"/>
      <c r="H130" s="302"/>
      <c r="I130" s="301"/>
      <c r="J130" s="302"/>
      <c r="K130" s="301"/>
      <c r="L130" s="302"/>
      <c r="M130" s="300"/>
      <c r="N130" s="464" t="s">
        <v>1850</v>
      </c>
    </row>
    <row r="131" spans="1:52" ht="30" customHeight="1">
      <c r="A131" s="258" t="s">
        <v>863</v>
      </c>
      <c r="B131" s="258" t="s">
        <v>830</v>
      </c>
      <c r="C131" s="258" t="s">
        <v>831</v>
      </c>
      <c r="D131" s="259">
        <v>1.5</v>
      </c>
      <c r="E131" s="303"/>
      <c r="F131" s="297"/>
      <c r="G131" s="303"/>
      <c r="H131" s="297"/>
      <c r="I131" s="303"/>
      <c r="J131" s="297"/>
      <c r="K131" s="303"/>
      <c r="L131" s="297"/>
      <c r="M131" s="258" t="s">
        <v>50</v>
      </c>
      <c r="N131" s="255" t="s">
        <v>1850</v>
      </c>
      <c r="O131" s="255" t="s">
        <v>2058</v>
      </c>
      <c r="P131" s="255" t="s">
        <v>599</v>
      </c>
      <c r="Q131" s="255" t="s">
        <v>599</v>
      </c>
      <c r="R131" s="255" t="s">
        <v>598</v>
      </c>
      <c r="S131" s="256"/>
      <c r="T131" s="256"/>
      <c r="U131" s="256"/>
      <c r="V131" s="256">
        <v>1</v>
      </c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  <c r="AM131" s="256"/>
      <c r="AN131" s="256"/>
      <c r="AO131" s="256"/>
      <c r="AP131" s="256"/>
      <c r="AQ131" s="256"/>
      <c r="AR131" s="256"/>
      <c r="AS131" s="256"/>
      <c r="AT131" s="256"/>
      <c r="AU131" s="256"/>
      <c r="AV131" s="255" t="s">
        <v>50</v>
      </c>
      <c r="AW131" s="255" t="s">
        <v>2065</v>
      </c>
      <c r="AX131" s="255" t="s">
        <v>50</v>
      </c>
      <c r="AY131" s="255" t="s">
        <v>50</v>
      </c>
      <c r="AZ131" s="255" t="s">
        <v>50</v>
      </c>
    </row>
    <row r="132" spans="1:52" ht="30" customHeight="1">
      <c r="A132" s="258" t="s">
        <v>864</v>
      </c>
      <c r="B132" s="258" t="s">
        <v>830</v>
      </c>
      <c r="C132" s="258" t="s">
        <v>831</v>
      </c>
      <c r="D132" s="259">
        <v>3</v>
      </c>
      <c r="E132" s="303"/>
      <c r="F132" s="297"/>
      <c r="G132" s="303"/>
      <c r="H132" s="297"/>
      <c r="I132" s="303"/>
      <c r="J132" s="297"/>
      <c r="K132" s="303"/>
      <c r="L132" s="297"/>
      <c r="M132" s="258" t="s">
        <v>50</v>
      </c>
      <c r="N132" s="255" t="s">
        <v>1850</v>
      </c>
      <c r="O132" s="255" t="s">
        <v>2060</v>
      </c>
      <c r="P132" s="255" t="s">
        <v>599</v>
      </c>
      <c r="Q132" s="255" t="s">
        <v>599</v>
      </c>
      <c r="R132" s="255" t="s">
        <v>598</v>
      </c>
      <c r="S132" s="256"/>
      <c r="T132" s="256"/>
      <c r="U132" s="256"/>
      <c r="V132" s="256">
        <v>1</v>
      </c>
      <c r="W132" s="256"/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5" t="s">
        <v>50</v>
      </c>
      <c r="AW132" s="255" t="s">
        <v>2066</v>
      </c>
      <c r="AX132" s="255" t="s">
        <v>50</v>
      </c>
      <c r="AY132" s="255" t="s">
        <v>50</v>
      </c>
      <c r="AZ132" s="255" t="s">
        <v>50</v>
      </c>
    </row>
    <row r="133" spans="1:52" ht="30" customHeight="1">
      <c r="A133" s="258" t="s">
        <v>860</v>
      </c>
      <c r="B133" s="258" t="s">
        <v>830</v>
      </c>
      <c r="C133" s="258" t="s">
        <v>831</v>
      </c>
      <c r="D133" s="259">
        <v>1.5</v>
      </c>
      <c r="E133" s="303"/>
      <c r="F133" s="297"/>
      <c r="G133" s="303"/>
      <c r="H133" s="297"/>
      <c r="I133" s="303"/>
      <c r="J133" s="297"/>
      <c r="K133" s="303"/>
      <c r="L133" s="297"/>
      <c r="M133" s="258" t="s">
        <v>50</v>
      </c>
      <c r="N133" s="255" t="s">
        <v>1850</v>
      </c>
      <c r="O133" s="255" t="s">
        <v>2051</v>
      </c>
      <c r="P133" s="255" t="s">
        <v>599</v>
      </c>
      <c r="Q133" s="255" t="s">
        <v>599</v>
      </c>
      <c r="R133" s="255" t="s">
        <v>598</v>
      </c>
      <c r="S133" s="256"/>
      <c r="T133" s="256"/>
      <c r="U133" s="256"/>
      <c r="V133" s="256">
        <v>1</v>
      </c>
      <c r="W133" s="256"/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  <c r="AM133" s="256"/>
      <c r="AN133" s="256"/>
      <c r="AO133" s="256"/>
      <c r="AP133" s="256"/>
      <c r="AQ133" s="256"/>
      <c r="AR133" s="256"/>
      <c r="AS133" s="256"/>
      <c r="AT133" s="256"/>
      <c r="AU133" s="256"/>
      <c r="AV133" s="255" t="s">
        <v>50</v>
      </c>
      <c r="AW133" s="255" t="s">
        <v>2067</v>
      </c>
      <c r="AX133" s="255" t="s">
        <v>50</v>
      </c>
      <c r="AY133" s="255" t="s">
        <v>50</v>
      </c>
      <c r="AZ133" s="255" t="s">
        <v>50</v>
      </c>
    </row>
    <row r="134" spans="1:52" ht="30" customHeight="1">
      <c r="A134" s="258" t="s">
        <v>865</v>
      </c>
      <c r="B134" s="258" t="s">
        <v>866</v>
      </c>
      <c r="C134" s="258" t="s">
        <v>146</v>
      </c>
      <c r="D134" s="259">
        <v>1</v>
      </c>
      <c r="E134" s="303"/>
      <c r="F134" s="297"/>
      <c r="G134" s="303"/>
      <c r="H134" s="297"/>
      <c r="I134" s="303"/>
      <c r="J134" s="297"/>
      <c r="K134" s="303"/>
      <c r="L134" s="297"/>
      <c r="M134" s="258" t="s">
        <v>50</v>
      </c>
      <c r="N134" s="255" t="s">
        <v>1850</v>
      </c>
      <c r="O134" s="255" t="s">
        <v>1900</v>
      </c>
      <c r="P134" s="255" t="s">
        <v>599</v>
      </c>
      <c r="Q134" s="255" t="s">
        <v>599</v>
      </c>
      <c r="R134" s="255" t="s">
        <v>599</v>
      </c>
      <c r="S134" s="256">
        <v>1</v>
      </c>
      <c r="T134" s="256">
        <v>2</v>
      </c>
      <c r="U134" s="256">
        <v>0.03</v>
      </c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56"/>
      <c r="AH134" s="256"/>
      <c r="AI134" s="256"/>
      <c r="AJ134" s="256"/>
      <c r="AK134" s="256"/>
      <c r="AL134" s="256"/>
      <c r="AM134" s="256"/>
      <c r="AN134" s="256"/>
      <c r="AO134" s="256"/>
      <c r="AP134" s="256"/>
      <c r="AQ134" s="256"/>
      <c r="AR134" s="256"/>
      <c r="AS134" s="256"/>
      <c r="AT134" s="256"/>
      <c r="AU134" s="256"/>
      <c r="AV134" s="255" t="s">
        <v>50</v>
      </c>
      <c r="AW134" s="255" t="s">
        <v>2068</v>
      </c>
      <c r="AX134" s="255" t="s">
        <v>50</v>
      </c>
      <c r="AY134" s="255" t="s">
        <v>50</v>
      </c>
      <c r="AZ134" s="255" t="s">
        <v>50</v>
      </c>
    </row>
    <row r="135" spans="1:52" ht="30" customHeight="1">
      <c r="A135" s="258" t="s">
        <v>790</v>
      </c>
      <c r="B135" s="258" t="s">
        <v>804</v>
      </c>
      <c r="C135" s="258" t="s">
        <v>762</v>
      </c>
      <c r="D135" s="259">
        <v>12</v>
      </c>
      <c r="E135" s="303"/>
      <c r="F135" s="297"/>
      <c r="G135" s="303"/>
      <c r="H135" s="297"/>
      <c r="I135" s="303"/>
      <c r="J135" s="297"/>
      <c r="K135" s="303"/>
      <c r="L135" s="297"/>
      <c r="M135" s="258" t="s">
        <v>699</v>
      </c>
      <c r="N135" s="255" t="s">
        <v>1850</v>
      </c>
      <c r="O135" s="255" t="s">
        <v>1974</v>
      </c>
      <c r="P135" s="255" t="s">
        <v>598</v>
      </c>
      <c r="Q135" s="255" t="s">
        <v>599</v>
      </c>
      <c r="R135" s="255" t="s">
        <v>599</v>
      </c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5" t="s">
        <v>50</v>
      </c>
      <c r="AW135" s="255" t="s">
        <v>2069</v>
      </c>
      <c r="AX135" s="255" t="s">
        <v>50</v>
      </c>
      <c r="AY135" s="255" t="s">
        <v>50</v>
      </c>
      <c r="AZ135" s="255" t="s">
        <v>50</v>
      </c>
    </row>
    <row r="136" spans="1:52" ht="30" customHeight="1">
      <c r="A136" s="258" t="s">
        <v>820</v>
      </c>
      <c r="B136" s="258" t="s">
        <v>50</v>
      </c>
      <c r="C136" s="258" t="s">
        <v>50</v>
      </c>
      <c r="D136" s="259"/>
      <c r="E136" s="303"/>
      <c r="F136" s="297"/>
      <c r="G136" s="303"/>
      <c r="H136" s="297"/>
      <c r="I136" s="303"/>
      <c r="J136" s="297"/>
      <c r="K136" s="303"/>
      <c r="L136" s="297"/>
      <c r="M136" s="258" t="s">
        <v>50</v>
      </c>
      <c r="N136" s="255" t="s">
        <v>617</v>
      </c>
      <c r="O136" s="255" t="s">
        <v>617</v>
      </c>
      <c r="P136" s="255" t="s">
        <v>50</v>
      </c>
      <c r="Q136" s="255" t="s">
        <v>50</v>
      </c>
      <c r="R136" s="255" t="s">
        <v>50</v>
      </c>
      <c r="S136" s="256"/>
      <c r="T136" s="256"/>
      <c r="U136" s="256"/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  <c r="AG136" s="256"/>
      <c r="AH136" s="256"/>
      <c r="AI136" s="256"/>
      <c r="AJ136" s="256"/>
      <c r="AK136" s="256"/>
      <c r="AL136" s="256"/>
      <c r="AM136" s="256"/>
      <c r="AN136" s="256"/>
      <c r="AO136" s="256"/>
      <c r="AP136" s="256"/>
      <c r="AQ136" s="256"/>
      <c r="AR136" s="256"/>
      <c r="AS136" s="256"/>
      <c r="AT136" s="256"/>
      <c r="AU136" s="256"/>
      <c r="AV136" s="255" t="s">
        <v>50</v>
      </c>
      <c r="AW136" s="255" t="s">
        <v>50</v>
      </c>
      <c r="AX136" s="255" t="s">
        <v>50</v>
      </c>
      <c r="AY136" s="255" t="s">
        <v>50</v>
      </c>
      <c r="AZ136" s="255" t="s">
        <v>50</v>
      </c>
    </row>
    <row r="137" spans="1:52" ht="30" customHeight="1">
      <c r="A137" s="259"/>
      <c r="B137" s="259"/>
      <c r="C137" s="259"/>
      <c r="D137" s="259"/>
      <c r="E137" s="303"/>
      <c r="F137" s="297"/>
      <c r="G137" s="303"/>
      <c r="H137" s="297"/>
      <c r="I137" s="303"/>
      <c r="J137" s="297"/>
      <c r="K137" s="303"/>
      <c r="L137" s="297"/>
      <c r="M137" s="259"/>
    </row>
    <row r="138" spans="1:52" ht="30" customHeight="1">
      <c r="A138" s="299" t="s">
        <v>1564</v>
      </c>
      <c r="B138" s="300"/>
      <c r="C138" s="300"/>
      <c r="D138" s="300"/>
      <c r="E138" s="301"/>
      <c r="F138" s="302"/>
      <c r="G138" s="301"/>
      <c r="H138" s="302"/>
      <c r="I138" s="301"/>
      <c r="J138" s="302"/>
      <c r="K138" s="301"/>
      <c r="L138" s="302"/>
      <c r="M138" s="300"/>
      <c r="N138" s="464" t="s">
        <v>1852</v>
      </c>
    </row>
    <row r="139" spans="1:52" ht="30" customHeight="1">
      <c r="A139" s="258" t="s">
        <v>863</v>
      </c>
      <c r="B139" s="258" t="s">
        <v>830</v>
      </c>
      <c r="C139" s="258" t="s">
        <v>831</v>
      </c>
      <c r="D139" s="259">
        <v>2</v>
      </c>
      <c r="E139" s="303"/>
      <c r="F139" s="297"/>
      <c r="G139" s="303"/>
      <c r="H139" s="297"/>
      <c r="I139" s="303"/>
      <c r="J139" s="297"/>
      <c r="K139" s="303"/>
      <c r="L139" s="297"/>
      <c r="M139" s="258" t="s">
        <v>50</v>
      </c>
      <c r="N139" s="255" t="s">
        <v>1852</v>
      </c>
      <c r="O139" s="255" t="s">
        <v>2058</v>
      </c>
      <c r="P139" s="255" t="s">
        <v>599</v>
      </c>
      <c r="Q139" s="255" t="s">
        <v>599</v>
      </c>
      <c r="R139" s="255" t="s">
        <v>598</v>
      </c>
      <c r="S139" s="256"/>
      <c r="T139" s="256"/>
      <c r="U139" s="256"/>
      <c r="V139" s="256">
        <v>1</v>
      </c>
      <c r="W139" s="256"/>
      <c r="X139" s="256"/>
      <c r="Y139" s="256"/>
      <c r="Z139" s="256"/>
      <c r="AA139" s="256"/>
      <c r="AB139" s="256"/>
      <c r="AC139" s="256"/>
      <c r="AD139" s="256"/>
      <c r="AE139" s="256"/>
      <c r="AF139" s="256"/>
      <c r="AG139" s="256"/>
      <c r="AH139" s="256"/>
      <c r="AI139" s="256"/>
      <c r="AJ139" s="256"/>
      <c r="AK139" s="256"/>
      <c r="AL139" s="256"/>
      <c r="AM139" s="256"/>
      <c r="AN139" s="256"/>
      <c r="AO139" s="256"/>
      <c r="AP139" s="256"/>
      <c r="AQ139" s="256"/>
      <c r="AR139" s="256"/>
      <c r="AS139" s="256"/>
      <c r="AT139" s="256"/>
      <c r="AU139" s="256"/>
      <c r="AV139" s="255" t="s">
        <v>50</v>
      </c>
      <c r="AW139" s="255" t="s">
        <v>2070</v>
      </c>
      <c r="AX139" s="255" t="s">
        <v>50</v>
      </c>
      <c r="AY139" s="255" t="s">
        <v>50</v>
      </c>
      <c r="AZ139" s="255" t="s">
        <v>50</v>
      </c>
    </row>
    <row r="140" spans="1:52" ht="30" customHeight="1">
      <c r="A140" s="258" t="s">
        <v>864</v>
      </c>
      <c r="B140" s="258" t="s">
        <v>830</v>
      </c>
      <c r="C140" s="258" t="s">
        <v>831</v>
      </c>
      <c r="D140" s="259">
        <v>4</v>
      </c>
      <c r="E140" s="303"/>
      <c r="F140" s="297"/>
      <c r="G140" s="303"/>
      <c r="H140" s="297"/>
      <c r="I140" s="303"/>
      <c r="J140" s="297"/>
      <c r="K140" s="303"/>
      <c r="L140" s="297"/>
      <c r="M140" s="258" t="s">
        <v>50</v>
      </c>
      <c r="N140" s="255" t="s">
        <v>1852</v>
      </c>
      <c r="O140" s="255" t="s">
        <v>2060</v>
      </c>
      <c r="P140" s="255" t="s">
        <v>599</v>
      </c>
      <c r="Q140" s="255" t="s">
        <v>599</v>
      </c>
      <c r="R140" s="255" t="s">
        <v>598</v>
      </c>
      <c r="S140" s="256"/>
      <c r="T140" s="256"/>
      <c r="U140" s="256"/>
      <c r="V140" s="256">
        <v>1</v>
      </c>
      <c r="W140" s="256"/>
      <c r="X140" s="256"/>
      <c r="Y140" s="256"/>
      <c r="Z140" s="256"/>
      <c r="AA140" s="256"/>
      <c r="AB140" s="256"/>
      <c r="AC140" s="256"/>
      <c r="AD140" s="256"/>
      <c r="AE140" s="256"/>
      <c r="AF140" s="256"/>
      <c r="AG140" s="256"/>
      <c r="AH140" s="256"/>
      <c r="AI140" s="256"/>
      <c r="AJ140" s="256"/>
      <c r="AK140" s="256"/>
      <c r="AL140" s="256"/>
      <c r="AM140" s="256"/>
      <c r="AN140" s="256"/>
      <c r="AO140" s="256"/>
      <c r="AP140" s="256"/>
      <c r="AQ140" s="256"/>
      <c r="AR140" s="256"/>
      <c r="AS140" s="256"/>
      <c r="AT140" s="256"/>
      <c r="AU140" s="256"/>
      <c r="AV140" s="255" t="s">
        <v>50</v>
      </c>
      <c r="AW140" s="255" t="s">
        <v>2071</v>
      </c>
      <c r="AX140" s="255" t="s">
        <v>50</v>
      </c>
      <c r="AY140" s="255" t="s">
        <v>50</v>
      </c>
      <c r="AZ140" s="255" t="s">
        <v>50</v>
      </c>
    </row>
    <row r="141" spans="1:52" ht="30" customHeight="1">
      <c r="A141" s="258" t="s">
        <v>860</v>
      </c>
      <c r="B141" s="258" t="s">
        <v>830</v>
      </c>
      <c r="C141" s="258" t="s">
        <v>831</v>
      </c>
      <c r="D141" s="259">
        <v>2</v>
      </c>
      <c r="E141" s="303"/>
      <c r="F141" s="297"/>
      <c r="G141" s="303"/>
      <c r="H141" s="297"/>
      <c r="I141" s="303"/>
      <c r="J141" s="297"/>
      <c r="K141" s="303"/>
      <c r="L141" s="297"/>
      <c r="M141" s="258" t="s">
        <v>50</v>
      </c>
      <c r="N141" s="255" t="s">
        <v>1852</v>
      </c>
      <c r="O141" s="255" t="s">
        <v>2051</v>
      </c>
      <c r="P141" s="255" t="s">
        <v>599</v>
      </c>
      <c r="Q141" s="255" t="s">
        <v>599</v>
      </c>
      <c r="R141" s="255" t="s">
        <v>598</v>
      </c>
      <c r="S141" s="256"/>
      <c r="T141" s="256"/>
      <c r="U141" s="256"/>
      <c r="V141" s="256">
        <v>1</v>
      </c>
      <c r="W141" s="256"/>
      <c r="X141" s="256"/>
      <c r="Y141" s="256"/>
      <c r="Z141" s="256"/>
      <c r="AA141" s="256"/>
      <c r="AB141" s="256"/>
      <c r="AC141" s="256"/>
      <c r="AD141" s="256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5" t="s">
        <v>50</v>
      </c>
      <c r="AW141" s="255" t="s">
        <v>2072</v>
      </c>
      <c r="AX141" s="255" t="s">
        <v>50</v>
      </c>
      <c r="AY141" s="255" t="s">
        <v>50</v>
      </c>
      <c r="AZ141" s="255" t="s">
        <v>50</v>
      </c>
    </row>
    <row r="142" spans="1:52" ht="30" customHeight="1">
      <c r="A142" s="258" t="s">
        <v>865</v>
      </c>
      <c r="B142" s="258" t="s">
        <v>866</v>
      </c>
      <c r="C142" s="258" t="s">
        <v>146</v>
      </c>
      <c r="D142" s="259">
        <v>1</v>
      </c>
      <c r="E142" s="303"/>
      <c r="F142" s="297"/>
      <c r="G142" s="303"/>
      <c r="H142" s="297"/>
      <c r="I142" s="303"/>
      <c r="J142" s="297"/>
      <c r="K142" s="303"/>
      <c r="L142" s="297"/>
      <c r="M142" s="258" t="s">
        <v>50</v>
      </c>
      <c r="N142" s="255" t="s">
        <v>1852</v>
      </c>
      <c r="O142" s="255" t="s">
        <v>1900</v>
      </c>
      <c r="P142" s="255" t="s">
        <v>599</v>
      </c>
      <c r="Q142" s="255" t="s">
        <v>599</v>
      </c>
      <c r="R142" s="255" t="s">
        <v>599</v>
      </c>
      <c r="S142" s="256">
        <v>1</v>
      </c>
      <c r="T142" s="256">
        <v>2</v>
      </c>
      <c r="U142" s="256">
        <v>0.03</v>
      </c>
      <c r="V142" s="256"/>
      <c r="W142" s="256"/>
      <c r="X142" s="256"/>
      <c r="Y142" s="256"/>
      <c r="Z142" s="256"/>
      <c r="AA142" s="256"/>
      <c r="AB142" s="256"/>
      <c r="AC142" s="256"/>
      <c r="AD142" s="256"/>
      <c r="AE142" s="256"/>
      <c r="AF142" s="256"/>
      <c r="AG142" s="256"/>
      <c r="AH142" s="256"/>
      <c r="AI142" s="256"/>
      <c r="AJ142" s="256"/>
      <c r="AK142" s="256"/>
      <c r="AL142" s="256"/>
      <c r="AM142" s="256"/>
      <c r="AN142" s="256"/>
      <c r="AO142" s="256"/>
      <c r="AP142" s="256"/>
      <c r="AQ142" s="256"/>
      <c r="AR142" s="256"/>
      <c r="AS142" s="256"/>
      <c r="AT142" s="256"/>
      <c r="AU142" s="256"/>
      <c r="AV142" s="255" t="s">
        <v>50</v>
      </c>
      <c r="AW142" s="255" t="s">
        <v>2073</v>
      </c>
      <c r="AX142" s="255" t="s">
        <v>50</v>
      </c>
      <c r="AY142" s="255" t="s">
        <v>50</v>
      </c>
      <c r="AZ142" s="255" t="s">
        <v>50</v>
      </c>
    </row>
    <row r="143" spans="1:52" ht="30" customHeight="1">
      <c r="A143" s="258" t="s">
        <v>790</v>
      </c>
      <c r="B143" s="258" t="s">
        <v>804</v>
      </c>
      <c r="C143" s="258" t="s">
        <v>762</v>
      </c>
      <c r="D143" s="259">
        <v>16</v>
      </c>
      <c r="E143" s="303"/>
      <c r="F143" s="297"/>
      <c r="G143" s="303"/>
      <c r="H143" s="297"/>
      <c r="I143" s="303"/>
      <c r="J143" s="297"/>
      <c r="K143" s="303"/>
      <c r="L143" s="297"/>
      <c r="M143" s="258" t="s">
        <v>699</v>
      </c>
      <c r="N143" s="255" t="s">
        <v>1852</v>
      </c>
      <c r="O143" s="255" t="s">
        <v>1974</v>
      </c>
      <c r="P143" s="255" t="s">
        <v>598</v>
      </c>
      <c r="Q143" s="255" t="s">
        <v>599</v>
      </c>
      <c r="R143" s="255" t="s">
        <v>599</v>
      </c>
      <c r="S143" s="256"/>
      <c r="T143" s="256"/>
      <c r="U143" s="256"/>
      <c r="V143" s="256"/>
      <c r="W143" s="256"/>
      <c r="X143" s="256"/>
      <c r="Y143" s="256"/>
      <c r="Z143" s="256"/>
      <c r="AA143" s="256"/>
      <c r="AB143" s="256"/>
      <c r="AC143" s="256"/>
      <c r="AD143" s="256"/>
      <c r="AE143" s="256"/>
      <c r="AF143" s="256"/>
      <c r="AG143" s="256"/>
      <c r="AH143" s="256"/>
      <c r="AI143" s="256"/>
      <c r="AJ143" s="256"/>
      <c r="AK143" s="256"/>
      <c r="AL143" s="256"/>
      <c r="AM143" s="256"/>
      <c r="AN143" s="256"/>
      <c r="AO143" s="256"/>
      <c r="AP143" s="256"/>
      <c r="AQ143" s="256"/>
      <c r="AR143" s="256"/>
      <c r="AS143" s="256"/>
      <c r="AT143" s="256"/>
      <c r="AU143" s="256"/>
      <c r="AV143" s="255" t="s">
        <v>50</v>
      </c>
      <c r="AW143" s="255" t="s">
        <v>2074</v>
      </c>
      <c r="AX143" s="255" t="s">
        <v>50</v>
      </c>
      <c r="AY143" s="255" t="s">
        <v>50</v>
      </c>
      <c r="AZ143" s="255" t="s">
        <v>50</v>
      </c>
    </row>
    <row r="144" spans="1:52" ht="30" customHeight="1">
      <c r="A144" s="258" t="s">
        <v>820</v>
      </c>
      <c r="B144" s="258" t="s">
        <v>50</v>
      </c>
      <c r="C144" s="258" t="s">
        <v>50</v>
      </c>
      <c r="D144" s="259"/>
      <c r="E144" s="303"/>
      <c r="F144" s="297"/>
      <c r="G144" s="303"/>
      <c r="H144" s="297"/>
      <c r="I144" s="303"/>
      <c r="J144" s="297"/>
      <c r="K144" s="303"/>
      <c r="L144" s="297"/>
      <c r="M144" s="258" t="s">
        <v>50</v>
      </c>
      <c r="N144" s="255" t="s">
        <v>617</v>
      </c>
      <c r="O144" s="255" t="s">
        <v>617</v>
      </c>
      <c r="P144" s="255" t="s">
        <v>50</v>
      </c>
      <c r="Q144" s="255" t="s">
        <v>50</v>
      </c>
      <c r="R144" s="255" t="s">
        <v>50</v>
      </c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256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5" t="s">
        <v>50</v>
      </c>
      <c r="AW144" s="255" t="s">
        <v>50</v>
      </c>
      <c r="AX144" s="255" t="s">
        <v>50</v>
      </c>
      <c r="AY144" s="255" t="s">
        <v>50</v>
      </c>
      <c r="AZ144" s="255" t="s">
        <v>50</v>
      </c>
    </row>
    <row r="145" spans="1:52" ht="30" customHeight="1">
      <c r="A145" s="259"/>
      <c r="B145" s="259"/>
      <c r="C145" s="259"/>
      <c r="D145" s="259"/>
      <c r="E145" s="303"/>
      <c r="F145" s="297"/>
      <c r="G145" s="303"/>
      <c r="H145" s="297"/>
      <c r="I145" s="303"/>
      <c r="J145" s="297"/>
      <c r="K145" s="303"/>
      <c r="L145" s="297"/>
      <c r="M145" s="259"/>
    </row>
    <row r="146" spans="1:52" ht="30" customHeight="1">
      <c r="A146" s="299" t="s">
        <v>1565</v>
      </c>
      <c r="B146" s="300"/>
      <c r="C146" s="300"/>
      <c r="D146" s="300"/>
      <c r="E146" s="301"/>
      <c r="F146" s="302"/>
      <c r="G146" s="301"/>
      <c r="H146" s="302"/>
      <c r="I146" s="301"/>
      <c r="J146" s="302"/>
      <c r="K146" s="301"/>
      <c r="L146" s="302"/>
      <c r="M146" s="300"/>
      <c r="N146" s="464" t="s">
        <v>1854</v>
      </c>
    </row>
    <row r="147" spans="1:52" ht="30" customHeight="1">
      <c r="A147" s="258" t="s">
        <v>863</v>
      </c>
      <c r="B147" s="258" t="s">
        <v>830</v>
      </c>
      <c r="C147" s="258" t="s">
        <v>831</v>
      </c>
      <c r="D147" s="259">
        <v>1</v>
      </c>
      <c r="E147" s="303"/>
      <c r="F147" s="297"/>
      <c r="G147" s="303"/>
      <c r="H147" s="297"/>
      <c r="I147" s="303"/>
      <c r="J147" s="297"/>
      <c r="K147" s="303"/>
      <c r="L147" s="297"/>
      <c r="M147" s="258" t="s">
        <v>50</v>
      </c>
      <c r="N147" s="255" t="s">
        <v>1854</v>
      </c>
      <c r="O147" s="255" t="s">
        <v>2058</v>
      </c>
      <c r="P147" s="255" t="s">
        <v>599</v>
      </c>
      <c r="Q147" s="255" t="s">
        <v>599</v>
      </c>
      <c r="R147" s="255" t="s">
        <v>598</v>
      </c>
      <c r="S147" s="256"/>
      <c r="T147" s="256"/>
      <c r="U147" s="256"/>
      <c r="V147" s="256">
        <v>1</v>
      </c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5" t="s">
        <v>50</v>
      </c>
      <c r="AW147" s="255" t="s">
        <v>2075</v>
      </c>
      <c r="AX147" s="255" t="s">
        <v>50</v>
      </c>
      <c r="AY147" s="255" t="s">
        <v>50</v>
      </c>
      <c r="AZ147" s="255" t="s">
        <v>50</v>
      </c>
    </row>
    <row r="148" spans="1:52" ht="30" customHeight="1">
      <c r="A148" s="258" t="s">
        <v>864</v>
      </c>
      <c r="B148" s="258" t="s">
        <v>830</v>
      </c>
      <c r="C148" s="258" t="s">
        <v>831</v>
      </c>
      <c r="D148" s="259">
        <v>2</v>
      </c>
      <c r="E148" s="303"/>
      <c r="F148" s="297"/>
      <c r="G148" s="303"/>
      <c r="H148" s="297"/>
      <c r="I148" s="303"/>
      <c r="J148" s="297"/>
      <c r="K148" s="303"/>
      <c r="L148" s="297"/>
      <c r="M148" s="258" t="s">
        <v>50</v>
      </c>
      <c r="N148" s="255" t="s">
        <v>1854</v>
      </c>
      <c r="O148" s="255" t="s">
        <v>2060</v>
      </c>
      <c r="P148" s="255" t="s">
        <v>599</v>
      </c>
      <c r="Q148" s="255" t="s">
        <v>599</v>
      </c>
      <c r="R148" s="255" t="s">
        <v>598</v>
      </c>
      <c r="S148" s="256"/>
      <c r="T148" s="256"/>
      <c r="U148" s="256"/>
      <c r="V148" s="256">
        <v>1</v>
      </c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6"/>
      <c r="AU148" s="256"/>
      <c r="AV148" s="255" t="s">
        <v>50</v>
      </c>
      <c r="AW148" s="255" t="s">
        <v>2076</v>
      </c>
      <c r="AX148" s="255" t="s">
        <v>50</v>
      </c>
      <c r="AY148" s="255" t="s">
        <v>50</v>
      </c>
      <c r="AZ148" s="255" t="s">
        <v>50</v>
      </c>
    </row>
    <row r="149" spans="1:52" ht="30" customHeight="1">
      <c r="A149" s="258" t="s">
        <v>860</v>
      </c>
      <c r="B149" s="258" t="s">
        <v>830</v>
      </c>
      <c r="C149" s="258" t="s">
        <v>831</v>
      </c>
      <c r="D149" s="259">
        <v>1</v>
      </c>
      <c r="E149" s="303"/>
      <c r="F149" s="297"/>
      <c r="G149" s="303"/>
      <c r="H149" s="297"/>
      <c r="I149" s="303"/>
      <c r="J149" s="297"/>
      <c r="K149" s="303"/>
      <c r="L149" s="297"/>
      <c r="M149" s="258" t="s">
        <v>50</v>
      </c>
      <c r="N149" s="255" t="s">
        <v>1854</v>
      </c>
      <c r="O149" s="255" t="s">
        <v>2051</v>
      </c>
      <c r="P149" s="255" t="s">
        <v>599</v>
      </c>
      <c r="Q149" s="255" t="s">
        <v>599</v>
      </c>
      <c r="R149" s="255" t="s">
        <v>598</v>
      </c>
      <c r="S149" s="256"/>
      <c r="T149" s="256"/>
      <c r="U149" s="256"/>
      <c r="V149" s="256">
        <v>1</v>
      </c>
      <c r="W149" s="256"/>
      <c r="X149" s="256"/>
      <c r="Y149" s="256"/>
      <c r="Z149" s="256"/>
      <c r="AA149" s="256"/>
      <c r="AB149" s="256"/>
      <c r="AC149" s="256"/>
      <c r="AD149" s="256"/>
      <c r="AE149" s="256"/>
      <c r="AF149" s="256"/>
      <c r="AG149" s="256"/>
      <c r="AH149" s="256"/>
      <c r="AI149" s="256"/>
      <c r="AJ149" s="256"/>
      <c r="AK149" s="256"/>
      <c r="AL149" s="256"/>
      <c r="AM149" s="256"/>
      <c r="AN149" s="256"/>
      <c r="AO149" s="256"/>
      <c r="AP149" s="256"/>
      <c r="AQ149" s="256"/>
      <c r="AR149" s="256"/>
      <c r="AS149" s="256"/>
      <c r="AT149" s="256"/>
      <c r="AU149" s="256"/>
      <c r="AV149" s="255" t="s">
        <v>50</v>
      </c>
      <c r="AW149" s="255" t="s">
        <v>2077</v>
      </c>
      <c r="AX149" s="255" t="s">
        <v>50</v>
      </c>
      <c r="AY149" s="255" t="s">
        <v>50</v>
      </c>
      <c r="AZ149" s="255" t="s">
        <v>50</v>
      </c>
    </row>
    <row r="150" spans="1:52" ht="30" customHeight="1">
      <c r="A150" s="258" t="s">
        <v>865</v>
      </c>
      <c r="B150" s="258" t="s">
        <v>866</v>
      </c>
      <c r="C150" s="258" t="s">
        <v>146</v>
      </c>
      <c r="D150" s="259">
        <v>1</v>
      </c>
      <c r="E150" s="303"/>
      <c r="F150" s="297"/>
      <c r="G150" s="303"/>
      <c r="H150" s="297"/>
      <c r="I150" s="303"/>
      <c r="J150" s="297"/>
      <c r="K150" s="303"/>
      <c r="L150" s="297"/>
      <c r="M150" s="258" t="s">
        <v>50</v>
      </c>
      <c r="N150" s="255" t="s">
        <v>1854</v>
      </c>
      <c r="O150" s="255" t="s">
        <v>1900</v>
      </c>
      <c r="P150" s="255" t="s">
        <v>599</v>
      </c>
      <c r="Q150" s="255" t="s">
        <v>599</v>
      </c>
      <c r="R150" s="255" t="s">
        <v>599</v>
      </c>
      <c r="S150" s="256">
        <v>1</v>
      </c>
      <c r="T150" s="256">
        <v>2</v>
      </c>
      <c r="U150" s="256">
        <v>0.03</v>
      </c>
      <c r="V150" s="256"/>
      <c r="W150" s="256"/>
      <c r="X150" s="256"/>
      <c r="Y150" s="256"/>
      <c r="Z150" s="256"/>
      <c r="AA150" s="256"/>
      <c r="AB150" s="256"/>
      <c r="AC150" s="256"/>
      <c r="AD150" s="256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5" t="s">
        <v>50</v>
      </c>
      <c r="AW150" s="255" t="s">
        <v>2078</v>
      </c>
      <c r="AX150" s="255" t="s">
        <v>50</v>
      </c>
      <c r="AY150" s="255" t="s">
        <v>50</v>
      </c>
      <c r="AZ150" s="255" t="s">
        <v>50</v>
      </c>
    </row>
    <row r="151" spans="1:52" ht="30" customHeight="1">
      <c r="A151" s="258" t="s">
        <v>790</v>
      </c>
      <c r="B151" s="258" t="s">
        <v>804</v>
      </c>
      <c r="C151" s="258" t="s">
        <v>762</v>
      </c>
      <c r="D151" s="259">
        <v>8</v>
      </c>
      <c r="E151" s="303"/>
      <c r="F151" s="297"/>
      <c r="G151" s="303"/>
      <c r="H151" s="297"/>
      <c r="I151" s="303"/>
      <c r="J151" s="297"/>
      <c r="K151" s="303"/>
      <c r="L151" s="297"/>
      <c r="M151" s="258" t="s">
        <v>699</v>
      </c>
      <c r="N151" s="255" t="s">
        <v>1854</v>
      </c>
      <c r="O151" s="255" t="s">
        <v>1974</v>
      </c>
      <c r="P151" s="255" t="s">
        <v>598</v>
      </c>
      <c r="Q151" s="255" t="s">
        <v>599</v>
      </c>
      <c r="R151" s="255" t="s">
        <v>599</v>
      </c>
      <c r="S151" s="256"/>
      <c r="T151" s="256"/>
      <c r="U151" s="256"/>
      <c r="V151" s="256"/>
      <c r="W151" s="256"/>
      <c r="X151" s="256"/>
      <c r="Y151" s="256"/>
      <c r="Z151" s="256"/>
      <c r="AA151" s="256"/>
      <c r="AB151" s="256"/>
      <c r="AC151" s="256"/>
      <c r="AD151" s="256"/>
      <c r="AE151" s="256"/>
      <c r="AF151" s="256"/>
      <c r="AG151" s="256"/>
      <c r="AH151" s="256"/>
      <c r="AI151" s="256"/>
      <c r="AJ151" s="256"/>
      <c r="AK151" s="256"/>
      <c r="AL151" s="256"/>
      <c r="AM151" s="256"/>
      <c r="AN151" s="256"/>
      <c r="AO151" s="256"/>
      <c r="AP151" s="256"/>
      <c r="AQ151" s="256"/>
      <c r="AR151" s="256"/>
      <c r="AS151" s="256"/>
      <c r="AT151" s="256"/>
      <c r="AU151" s="256"/>
      <c r="AV151" s="255" t="s">
        <v>50</v>
      </c>
      <c r="AW151" s="255" t="s">
        <v>2079</v>
      </c>
      <c r="AX151" s="255" t="s">
        <v>50</v>
      </c>
      <c r="AY151" s="255" t="s">
        <v>50</v>
      </c>
      <c r="AZ151" s="255" t="s">
        <v>50</v>
      </c>
    </row>
    <row r="152" spans="1:52" ht="30" customHeight="1">
      <c r="A152" s="258" t="s">
        <v>820</v>
      </c>
      <c r="B152" s="258" t="s">
        <v>50</v>
      </c>
      <c r="C152" s="258" t="s">
        <v>50</v>
      </c>
      <c r="D152" s="259"/>
      <c r="E152" s="303"/>
      <c r="F152" s="297"/>
      <c r="G152" s="303"/>
      <c r="H152" s="297"/>
      <c r="I152" s="303"/>
      <c r="J152" s="297"/>
      <c r="K152" s="303"/>
      <c r="L152" s="297"/>
      <c r="M152" s="258" t="s">
        <v>50</v>
      </c>
      <c r="N152" s="255" t="s">
        <v>617</v>
      </c>
      <c r="O152" s="255" t="s">
        <v>617</v>
      </c>
      <c r="P152" s="255" t="s">
        <v>50</v>
      </c>
      <c r="Q152" s="255" t="s">
        <v>50</v>
      </c>
      <c r="R152" s="255" t="s">
        <v>50</v>
      </c>
      <c r="S152" s="256"/>
      <c r="T152" s="256"/>
      <c r="U152" s="256"/>
      <c r="V152" s="256"/>
      <c r="W152" s="256"/>
      <c r="X152" s="256"/>
      <c r="Y152" s="256"/>
      <c r="Z152" s="256"/>
      <c r="AA152" s="256"/>
      <c r="AB152" s="256"/>
      <c r="AC152" s="256"/>
      <c r="AD152" s="256"/>
      <c r="AE152" s="256"/>
      <c r="AF152" s="256"/>
      <c r="AG152" s="256"/>
      <c r="AH152" s="256"/>
      <c r="AI152" s="256"/>
      <c r="AJ152" s="256"/>
      <c r="AK152" s="256"/>
      <c r="AL152" s="256"/>
      <c r="AM152" s="256"/>
      <c r="AN152" s="256"/>
      <c r="AO152" s="256"/>
      <c r="AP152" s="256"/>
      <c r="AQ152" s="256"/>
      <c r="AR152" s="256"/>
      <c r="AS152" s="256"/>
      <c r="AT152" s="256"/>
      <c r="AU152" s="256"/>
      <c r="AV152" s="255" t="s">
        <v>50</v>
      </c>
      <c r="AW152" s="255" t="s">
        <v>50</v>
      </c>
      <c r="AX152" s="255" t="s">
        <v>50</v>
      </c>
      <c r="AY152" s="255" t="s">
        <v>50</v>
      </c>
      <c r="AZ152" s="255" t="s">
        <v>50</v>
      </c>
    </row>
    <row r="153" spans="1:52" ht="30" customHeight="1">
      <c r="A153" s="259"/>
      <c r="B153" s="259"/>
      <c r="C153" s="259"/>
      <c r="D153" s="259"/>
      <c r="E153" s="303"/>
      <c r="F153" s="297"/>
      <c r="G153" s="303"/>
      <c r="H153" s="297"/>
      <c r="I153" s="303"/>
      <c r="J153" s="297"/>
      <c r="K153" s="303"/>
      <c r="L153" s="297"/>
      <c r="M153" s="259"/>
    </row>
    <row r="154" spans="1:52" ht="30" customHeight="1">
      <c r="A154" s="299" t="s">
        <v>1566</v>
      </c>
      <c r="B154" s="300"/>
      <c r="C154" s="300"/>
      <c r="D154" s="300"/>
      <c r="E154" s="301"/>
      <c r="F154" s="302"/>
      <c r="G154" s="301"/>
      <c r="H154" s="302"/>
      <c r="I154" s="301"/>
      <c r="J154" s="302"/>
      <c r="K154" s="301"/>
      <c r="L154" s="302"/>
      <c r="M154" s="300"/>
      <c r="N154" s="464" t="s">
        <v>1856</v>
      </c>
    </row>
    <row r="155" spans="1:52" ht="30" customHeight="1">
      <c r="A155" s="258" t="s">
        <v>731</v>
      </c>
      <c r="B155" s="258" t="s">
        <v>872</v>
      </c>
      <c r="C155" s="258" t="s">
        <v>805</v>
      </c>
      <c r="D155" s="259">
        <v>85.689800000000005</v>
      </c>
      <c r="E155" s="303"/>
      <c r="F155" s="297"/>
      <c r="G155" s="303"/>
      <c r="H155" s="297"/>
      <c r="I155" s="303"/>
      <c r="J155" s="297"/>
      <c r="K155" s="303"/>
      <c r="L155" s="297"/>
      <c r="M155" s="258" t="s">
        <v>870</v>
      </c>
      <c r="N155" s="255" t="s">
        <v>1856</v>
      </c>
      <c r="O155" s="255" t="s">
        <v>2080</v>
      </c>
      <c r="P155" s="255" t="s">
        <v>599</v>
      </c>
      <c r="Q155" s="255" t="s">
        <v>599</v>
      </c>
      <c r="R155" s="255" t="s">
        <v>598</v>
      </c>
      <c r="S155" s="256"/>
      <c r="T155" s="256"/>
      <c r="U155" s="256"/>
      <c r="V155" s="256"/>
      <c r="W155" s="256"/>
      <c r="X155" s="256"/>
      <c r="Y155" s="256"/>
      <c r="Z155" s="256"/>
      <c r="AA155" s="256"/>
      <c r="AB155" s="256"/>
      <c r="AC155" s="256"/>
      <c r="AD155" s="256"/>
      <c r="AE155" s="256"/>
      <c r="AF155" s="256"/>
      <c r="AG155" s="256"/>
      <c r="AH155" s="256"/>
      <c r="AI155" s="256"/>
      <c r="AJ155" s="256"/>
      <c r="AK155" s="256"/>
      <c r="AL155" s="256"/>
      <c r="AM155" s="256"/>
      <c r="AN155" s="256"/>
      <c r="AO155" s="256"/>
      <c r="AP155" s="256"/>
      <c r="AQ155" s="256"/>
      <c r="AR155" s="256"/>
      <c r="AS155" s="256"/>
      <c r="AT155" s="256"/>
      <c r="AU155" s="256"/>
      <c r="AV155" s="255" t="s">
        <v>50</v>
      </c>
      <c r="AW155" s="255" t="s">
        <v>2081</v>
      </c>
      <c r="AX155" s="255" t="s">
        <v>50</v>
      </c>
      <c r="AY155" s="255" t="s">
        <v>50</v>
      </c>
      <c r="AZ155" s="255" t="s">
        <v>50</v>
      </c>
    </row>
    <row r="156" spans="1:52" ht="30" customHeight="1">
      <c r="A156" s="258" t="s">
        <v>820</v>
      </c>
      <c r="B156" s="258" t="s">
        <v>50</v>
      </c>
      <c r="C156" s="258" t="s">
        <v>50</v>
      </c>
      <c r="D156" s="259"/>
      <c r="E156" s="303"/>
      <c r="F156" s="297"/>
      <c r="G156" s="303"/>
      <c r="H156" s="297"/>
      <c r="I156" s="303"/>
      <c r="J156" s="297"/>
      <c r="K156" s="303"/>
      <c r="L156" s="297"/>
      <c r="M156" s="258" t="s">
        <v>50</v>
      </c>
      <c r="N156" s="255" t="s">
        <v>617</v>
      </c>
      <c r="O156" s="255" t="s">
        <v>617</v>
      </c>
      <c r="P156" s="255" t="s">
        <v>50</v>
      </c>
      <c r="Q156" s="255" t="s">
        <v>50</v>
      </c>
      <c r="R156" s="255" t="s">
        <v>50</v>
      </c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256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5" t="s">
        <v>50</v>
      </c>
      <c r="AW156" s="255" t="s">
        <v>50</v>
      </c>
      <c r="AX156" s="255" t="s">
        <v>50</v>
      </c>
      <c r="AY156" s="255" t="s">
        <v>50</v>
      </c>
      <c r="AZ156" s="255" t="s">
        <v>50</v>
      </c>
    </row>
    <row r="157" spans="1:52" ht="30" customHeight="1">
      <c r="A157" s="259"/>
      <c r="B157" s="259"/>
      <c r="C157" s="259"/>
      <c r="D157" s="259"/>
      <c r="E157" s="303"/>
      <c r="F157" s="297"/>
      <c r="G157" s="303"/>
      <c r="H157" s="297"/>
      <c r="I157" s="303"/>
      <c r="J157" s="297"/>
      <c r="K157" s="303"/>
      <c r="L157" s="297"/>
      <c r="M157" s="259"/>
    </row>
    <row r="158" spans="1:52" ht="30" customHeight="1">
      <c r="A158" s="299" t="s">
        <v>1567</v>
      </c>
      <c r="B158" s="300"/>
      <c r="C158" s="300"/>
      <c r="D158" s="300"/>
      <c r="E158" s="301"/>
      <c r="F158" s="302"/>
      <c r="G158" s="301"/>
      <c r="H158" s="302"/>
      <c r="I158" s="301"/>
      <c r="J158" s="302"/>
      <c r="K158" s="301"/>
      <c r="L158" s="302"/>
      <c r="M158" s="300"/>
      <c r="N158" s="464" t="s">
        <v>1870</v>
      </c>
    </row>
    <row r="159" spans="1:52" ht="30" customHeight="1">
      <c r="A159" s="258" t="s">
        <v>383</v>
      </c>
      <c r="B159" s="258" t="s">
        <v>875</v>
      </c>
      <c r="C159" s="258" t="s">
        <v>831</v>
      </c>
      <c r="D159" s="259">
        <v>0.46</v>
      </c>
      <c r="E159" s="303"/>
      <c r="F159" s="297"/>
      <c r="G159" s="303"/>
      <c r="H159" s="297"/>
      <c r="I159" s="303"/>
      <c r="J159" s="297"/>
      <c r="K159" s="303"/>
      <c r="L159" s="297"/>
      <c r="M159" s="258" t="s">
        <v>823</v>
      </c>
      <c r="N159" s="255" t="s">
        <v>50</v>
      </c>
      <c r="O159" s="255" t="s">
        <v>2082</v>
      </c>
      <c r="P159" s="255" t="s">
        <v>599</v>
      </c>
      <c r="Q159" s="255" t="s">
        <v>599</v>
      </c>
      <c r="R159" s="255" t="s">
        <v>598</v>
      </c>
      <c r="S159" s="256"/>
      <c r="T159" s="256"/>
      <c r="U159" s="256"/>
      <c r="V159" s="256">
        <v>1</v>
      </c>
      <c r="W159" s="256">
        <v>2</v>
      </c>
      <c r="X159" s="256"/>
      <c r="Y159" s="256"/>
      <c r="Z159" s="256"/>
      <c r="AA159" s="256"/>
      <c r="AB159" s="256"/>
      <c r="AC159" s="256"/>
      <c r="AD159" s="256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5" t="s">
        <v>50</v>
      </c>
      <c r="AW159" s="255" t="s">
        <v>2083</v>
      </c>
      <c r="AX159" s="255" t="s">
        <v>50</v>
      </c>
      <c r="AY159" s="255" t="s">
        <v>824</v>
      </c>
      <c r="AZ159" s="255" t="s">
        <v>50</v>
      </c>
    </row>
    <row r="160" spans="1:52" ht="30" customHeight="1">
      <c r="A160" s="258" t="s">
        <v>461</v>
      </c>
      <c r="B160" s="258" t="s">
        <v>875</v>
      </c>
      <c r="C160" s="258" t="s">
        <v>831</v>
      </c>
      <c r="D160" s="259">
        <v>0.46</v>
      </c>
      <c r="E160" s="303"/>
      <c r="F160" s="297"/>
      <c r="G160" s="303"/>
      <c r="H160" s="297"/>
      <c r="I160" s="303"/>
      <c r="J160" s="297"/>
      <c r="K160" s="303"/>
      <c r="L160" s="297"/>
      <c r="M160" s="258" t="s">
        <v>823</v>
      </c>
      <c r="N160" s="255" t="s">
        <v>50</v>
      </c>
      <c r="O160" s="255" t="s">
        <v>2084</v>
      </c>
      <c r="P160" s="255" t="s">
        <v>599</v>
      </c>
      <c r="Q160" s="255" t="s">
        <v>599</v>
      </c>
      <c r="R160" s="255" t="s">
        <v>598</v>
      </c>
      <c r="S160" s="256"/>
      <c r="T160" s="256"/>
      <c r="U160" s="256"/>
      <c r="V160" s="256">
        <v>1</v>
      </c>
      <c r="W160" s="256">
        <v>2</v>
      </c>
      <c r="X160" s="256"/>
      <c r="Y160" s="256"/>
      <c r="Z160" s="256"/>
      <c r="AA160" s="256"/>
      <c r="AB160" s="256"/>
      <c r="AC160" s="256"/>
      <c r="AD160" s="256"/>
      <c r="AE160" s="256"/>
      <c r="AF160" s="256"/>
      <c r="AG160" s="256"/>
      <c r="AH160" s="256"/>
      <c r="AI160" s="256"/>
      <c r="AJ160" s="256"/>
      <c r="AK160" s="256"/>
      <c r="AL160" s="256"/>
      <c r="AM160" s="256"/>
      <c r="AN160" s="256"/>
      <c r="AO160" s="256"/>
      <c r="AP160" s="256"/>
      <c r="AQ160" s="256"/>
      <c r="AR160" s="256"/>
      <c r="AS160" s="256"/>
      <c r="AT160" s="256"/>
      <c r="AU160" s="256"/>
      <c r="AV160" s="255" t="s">
        <v>50</v>
      </c>
      <c r="AW160" s="255" t="s">
        <v>2085</v>
      </c>
      <c r="AX160" s="255" t="s">
        <v>50</v>
      </c>
      <c r="AY160" s="255" t="s">
        <v>824</v>
      </c>
      <c r="AZ160" s="255" t="s">
        <v>50</v>
      </c>
    </row>
    <row r="161" spans="1:52" ht="30" customHeight="1">
      <c r="A161" s="258" t="s">
        <v>829</v>
      </c>
      <c r="B161" s="258" t="s">
        <v>830</v>
      </c>
      <c r="C161" s="258" t="s">
        <v>831</v>
      </c>
      <c r="D161" s="259">
        <v>0.46</v>
      </c>
      <c r="E161" s="303"/>
      <c r="F161" s="297"/>
      <c r="G161" s="303"/>
      <c r="H161" s="297"/>
      <c r="I161" s="303"/>
      <c r="J161" s="297"/>
      <c r="K161" s="303"/>
      <c r="L161" s="297"/>
      <c r="M161" s="258" t="s">
        <v>823</v>
      </c>
      <c r="N161" s="255" t="s">
        <v>50</v>
      </c>
      <c r="O161" s="255" t="s">
        <v>2027</v>
      </c>
      <c r="P161" s="255" t="s">
        <v>599</v>
      </c>
      <c r="Q161" s="255" t="s">
        <v>599</v>
      </c>
      <c r="R161" s="255" t="s">
        <v>598</v>
      </c>
      <c r="S161" s="256"/>
      <c r="T161" s="256"/>
      <c r="U161" s="256"/>
      <c r="V161" s="256">
        <v>1</v>
      </c>
      <c r="W161" s="256">
        <v>2</v>
      </c>
      <c r="X161" s="256"/>
      <c r="Y161" s="256"/>
      <c r="Z161" s="256"/>
      <c r="AA161" s="256"/>
      <c r="AB161" s="256"/>
      <c r="AC161" s="256"/>
      <c r="AD161" s="256"/>
      <c r="AE161" s="256"/>
      <c r="AF161" s="256"/>
      <c r="AG161" s="256"/>
      <c r="AH161" s="256"/>
      <c r="AI161" s="256"/>
      <c r="AJ161" s="256"/>
      <c r="AK161" s="256"/>
      <c r="AL161" s="256"/>
      <c r="AM161" s="256"/>
      <c r="AN161" s="256"/>
      <c r="AO161" s="256"/>
      <c r="AP161" s="256"/>
      <c r="AQ161" s="256"/>
      <c r="AR161" s="256"/>
      <c r="AS161" s="256"/>
      <c r="AT161" s="256"/>
      <c r="AU161" s="256"/>
      <c r="AV161" s="255" t="s">
        <v>50</v>
      </c>
      <c r="AW161" s="255" t="s">
        <v>2086</v>
      </c>
      <c r="AX161" s="255" t="s">
        <v>50</v>
      </c>
      <c r="AY161" s="255" t="s">
        <v>824</v>
      </c>
      <c r="AZ161" s="255" t="s">
        <v>50</v>
      </c>
    </row>
    <row r="162" spans="1:52" ht="30" customHeight="1">
      <c r="A162" s="258" t="s">
        <v>871</v>
      </c>
      <c r="B162" s="258" t="s">
        <v>868</v>
      </c>
      <c r="C162" s="258" t="s">
        <v>146</v>
      </c>
      <c r="D162" s="259">
        <v>1</v>
      </c>
      <c r="E162" s="303"/>
      <c r="F162" s="297"/>
      <c r="G162" s="303"/>
      <c r="H162" s="297"/>
      <c r="I162" s="303"/>
      <c r="J162" s="297"/>
      <c r="K162" s="303"/>
      <c r="L162" s="297"/>
      <c r="M162" s="258" t="s">
        <v>823</v>
      </c>
      <c r="N162" s="255" t="s">
        <v>50</v>
      </c>
      <c r="O162" s="255" t="s">
        <v>1900</v>
      </c>
      <c r="P162" s="255" t="s">
        <v>599</v>
      </c>
      <c r="Q162" s="255" t="s">
        <v>599</v>
      </c>
      <c r="R162" s="255" t="s">
        <v>599</v>
      </c>
      <c r="S162" s="256">
        <v>1</v>
      </c>
      <c r="T162" s="256">
        <v>0</v>
      </c>
      <c r="U162" s="256">
        <v>0.05</v>
      </c>
      <c r="V162" s="256"/>
      <c r="W162" s="256">
        <v>2</v>
      </c>
      <c r="X162" s="256"/>
      <c r="Y162" s="256"/>
      <c r="Z162" s="256"/>
      <c r="AA162" s="256"/>
      <c r="AB162" s="256"/>
      <c r="AC162" s="256"/>
      <c r="AD162" s="256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5" t="s">
        <v>50</v>
      </c>
      <c r="AW162" s="255" t="s">
        <v>2087</v>
      </c>
      <c r="AX162" s="255" t="s">
        <v>50</v>
      </c>
      <c r="AY162" s="255" t="s">
        <v>824</v>
      </c>
      <c r="AZ162" s="255" t="s">
        <v>50</v>
      </c>
    </row>
    <row r="163" spans="1:52" ht="30" customHeight="1">
      <c r="A163" s="258" t="s">
        <v>876</v>
      </c>
      <c r="B163" s="258" t="s">
        <v>50</v>
      </c>
      <c r="C163" s="258" t="s">
        <v>704</v>
      </c>
      <c r="D163" s="259">
        <v>0.2</v>
      </c>
      <c r="E163" s="303"/>
      <c r="F163" s="297"/>
      <c r="G163" s="303"/>
      <c r="H163" s="297"/>
      <c r="I163" s="303"/>
      <c r="J163" s="297"/>
      <c r="K163" s="303"/>
      <c r="L163" s="297"/>
      <c r="M163" s="258" t="s">
        <v>823</v>
      </c>
      <c r="N163" s="255" t="s">
        <v>50</v>
      </c>
      <c r="O163" s="255" t="s">
        <v>2088</v>
      </c>
      <c r="P163" s="255" t="s">
        <v>599</v>
      </c>
      <c r="Q163" s="255" t="s">
        <v>599</v>
      </c>
      <c r="R163" s="255" t="s">
        <v>598</v>
      </c>
      <c r="S163" s="256"/>
      <c r="T163" s="256"/>
      <c r="U163" s="256"/>
      <c r="V163" s="256"/>
      <c r="W163" s="256">
        <v>2</v>
      </c>
      <c r="X163" s="256"/>
      <c r="Y163" s="256"/>
      <c r="Z163" s="256"/>
      <c r="AA163" s="256"/>
      <c r="AB163" s="256"/>
      <c r="AC163" s="256"/>
      <c r="AD163" s="256"/>
      <c r="AE163" s="256"/>
      <c r="AF163" s="256"/>
      <c r="AG163" s="256"/>
      <c r="AH163" s="256"/>
      <c r="AI163" s="256"/>
      <c r="AJ163" s="256"/>
      <c r="AK163" s="256"/>
      <c r="AL163" s="256"/>
      <c r="AM163" s="256"/>
      <c r="AN163" s="256"/>
      <c r="AO163" s="256"/>
      <c r="AP163" s="256"/>
      <c r="AQ163" s="256"/>
      <c r="AR163" s="256"/>
      <c r="AS163" s="256"/>
      <c r="AT163" s="256"/>
      <c r="AU163" s="256"/>
      <c r="AV163" s="255" t="s">
        <v>50</v>
      </c>
      <c r="AW163" s="255" t="s">
        <v>2089</v>
      </c>
      <c r="AX163" s="255" t="s">
        <v>50</v>
      </c>
      <c r="AY163" s="255" t="s">
        <v>824</v>
      </c>
      <c r="AZ163" s="255" t="s">
        <v>50</v>
      </c>
    </row>
    <row r="164" spans="1:52" ht="30" customHeight="1">
      <c r="A164" s="258" t="s">
        <v>877</v>
      </c>
      <c r="B164" s="258" t="s">
        <v>50</v>
      </c>
      <c r="C164" s="258" t="s">
        <v>704</v>
      </c>
      <c r="D164" s="259">
        <v>0.5</v>
      </c>
      <c r="E164" s="303"/>
      <c r="F164" s="297"/>
      <c r="G164" s="303"/>
      <c r="H164" s="297"/>
      <c r="I164" s="303"/>
      <c r="J164" s="297"/>
      <c r="K164" s="303"/>
      <c r="L164" s="297"/>
      <c r="M164" s="258" t="s">
        <v>823</v>
      </c>
      <c r="N164" s="255" t="s">
        <v>50</v>
      </c>
      <c r="O164" s="255" t="s">
        <v>2090</v>
      </c>
      <c r="P164" s="255" t="s">
        <v>599</v>
      </c>
      <c r="Q164" s="255" t="s">
        <v>599</v>
      </c>
      <c r="R164" s="255" t="s">
        <v>598</v>
      </c>
      <c r="S164" s="256"/>
      <c r="T164" s="256"/>
      <c r="U164" s="256"/>
      <c r="V164" s="256"/>
      <c r="W164" s="256">
        <v>2</v>
      </c>
      <c r="X164" s="256"/>
      <c r="Y164" s="256"/>
      <c r="Z164" s="256"/>
      <c r="AA164" s="256"/>
      <c r="AB164" s="256"/>
      <c r="AC164" s="256"/>
      <c r="AD164" s="256"/>
      <c r="AE164" s="256"/>
      <c r="AF164" s="256"/>
      <c r="AG164" s="256"/>
      <c r="AH164" s="256"/>
      <c r="AI164" s="256"/>
      <c r="AJ164" s="256"/>
      <c r="AK164" s="256"/>
      <c r="AL164" s="256"/>
      <c r="AM164" s="256"/>
      <c r="AN164" s="256"/>
      <c r="AO164" s="256"/>
      <c r="AP164" s="256"/>
      <c r="AQ164" s="256"/>
      <c r="AR164" s="256"/>
      <c r="AS164" s="256"/>
      <c r="AT164" s="256"/>
      <c r="AU164" s="256"/>
      <c r="AV164" s="255" t="s">
        <v>50</v>
      </c>
      <c r="AW164" s="255" t="s">
        <v>2091</v>
      </c>
      <c r="AX164" s="255" t="s">
        <v>50</v>
      </c>
      <c r="AY164" s="255" t="s">
        <v>824</v>
      </c>
      <c r="AZ164" s="255" t="s">
        <v>50</v>
      </c>
    </row>
    <row r="165" spans="1:52" ht="30" customHeight="1">
      <c r="A165" s="258" t="s">
        <v>878</v>
      </c>
      <c r="B165" s="258" t="s">
        <v>50</v>
      </c>
      <c r="C165" s="258" t="s">
        <v>762</v>
      </c>
      <c r="D165" s="259">
        <v>3.6</v>
      </c>
      <c r="E165" s="303"/>
      <c r="F165" s="297"/>
      <c r="G165" s="303"/>
      <c r="H165" s="297"/>
      <c r="I165" s="303"/>
      <c r="J165" s="297"/>
      <c r="K165" s="303"/>
      <c r="L165" s="297"/>
      <c r="M165" s="258" t="s">
        <v>823</v>
      </c>
      <c r="N165" s="255" t="s">
        <v>50</v>
      </c>
      <c r="O165" s="255" t="s">
        <v>2092</v>
      </c>
      <c r="P165" s="255" t="s">
        <v>599</v>
      </c>
      <c r="Q165" s="255" t="s">
        <v>599</v>
      </c>
      <c r="R165" s="255" t="s">
        <v>598</v>
      </c>
      <c r="S165" s="256"/>
      <c r="T165" s="256"/>
      <c r="U165" s="256"/>
      <c r="V165" s="256"/>
      <c r="W165" s="256">
        <v>2</v>
      </c>
      <c r="X165" s="256"/>
      <c r="Y165" s="256"/>
      <c r="Z165" s="256"/>
      <c r="AA165" s="256"/>
      <c r="AB165" s="256"/>
      <c r="AC165" s="256"/>
      <c r="AD165" s="256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5" t="s">
        <v>50</v>
      </c>
      <c r="AW165" s="255" t="s">
        <v>2093</v>
      </c>
      <c r="AX165" s="255" t="s">
        <v>50</v>
      </c>
      <c r="AY165" s="255" t="s">
        <v>824</v>
      </c>
      <c r="AZ165" s="255" t="s">
        <v>50</v>
      </c>
    </row>
    <row r="166" spans="1:52" ht="30" customHeight="1">
      <c r="A166" s="258" t="s">
        <v>826</v>
      </c>
      <c r="B166" s="258" t="s">
        <v>827</v>
      </c>
      <c r="C166" s="258" t="s">
        <v>146</v>
      </c>
      <c r="D166" s="259">
        <v>1</v>
      </c>
      <c r="E166" s="303"/>
      <c r="F166" s="297"/>
      <c r="G166" s="303"/>
      <c r="H166" s="297"/>
      <c r="I166" s="303"/>
      <c r="J166" s="297"/>
      <c r="K166" s="303"/>
      <c r="L166" s="297"/>
      <c r="M166" s="258" t="s">
        <v>50</v>
      </c>
      <c r="N166" s="255" t="s">
        <v>1870</v>
      </c>
      <c r="O166" s="255" t="s">
        <v>2094</v>
      </c>
      <c r="P166" s="255" t="s">
        <v>599</v>
      </c>
      <c r="Q166" s="255" t="s">
        <v>599</v>
      </c>
      <c r="R166" s="255" t="s">
        <v>599</v>
      </c>
      <c r="S166" s="256">
        <v>3</v>
      </c>
      <c r="T166" s="256">
        <v>2</v>
      </c>
      <c r="U166" s="256">
        <v>1</v>
      </c>
      <c r="V166" s="256"/>
      <c r="W166" s="256"/>
      <c r="X166" s="256"/>
      <c r="Y166" s="256"/>
      <c r="Z166" s="256"/>
      <c r="AA166" s="256"/>
      <c r="AB166" s="256"/>
      <c r="AC166" s="256"/>
      <c r="AD166" s="256"/>
      <c r="AE166" s="256"/>
      <c r="AF166" s="256"/>
      <c r="AG166" s="256"/>
      <c r="AH166" s="256"/>
      <c r="AI166" s="256"/>
      <c r="AJ166" s="256"/>
      <c r="AK166" s="256"/>
      <c r="AL166" s="256"/>
      <c r="AM166" s="256"/>
      <c r="AN166" s="256"/>
      <c r="AO166" s="256"/>
      <c r="AP166" s="256"/>
      <c r="AQ166" s="256"/>
      <c r="AR166" s="256"/>
      <c r="AS166" s="256"/>
      <c r="AT166" s="256"/>
      <c r="AU166" s="256"/>
      <c r="AV166" s="255" t="s">
        <v>50</v>
      </c>
      <c r="AW166" s="255" t="s">
        <v>2095</v>
      </c>
      <c r="AX166" s="255" t="s">
        <v>50</v>
      </c>
      <c r="AY166" s="255" t="s">
        <v>50</v>
      </c>
      <c r="AZ166" s="255" t="s">
        <v>50</v>
      </c>
    </row>
    <row r="167" spans="1:52" ht="30" customHeight="1">
      <c r="A167" s="258" t="s">
        <v>820</v>
      </c>
      <c r="B167" s="258" t="s">
        <v>50</v>
      </c>
      <c r="C167" s="258" t="s">
        <v>50</v>
      </c>
      <c r="D167" s="259"/>
      <c r="E167" s="303"/>
      <c r="F167" s="297"/>
      <c r="G167" s="303"/>
      <c r="H167" s="297"/>
      <c r="I167" s="303"/>
      <c r="J167" s="297"/>
      <c r="K167" s="303"/>
      <c r="L167" s="297"/>
      <c r="M167" s="258" t="s">
        <v>50</v>
      </c>
      <c r="N167" s="255" t="s">
        <v>617</v>
      </c>
      <c r="O167" s="255" t="s">
        <v>617</v>
      </c>
      <c r="P167" s="255" t="s">
        <v>50</v>
      </c>
      <c r="Q167" s="255" t="s">
        <v>50</v>
      </c>
      <c r="R167" s="255" t="s">
        <v>50</v>
      </c>
      <c r="S167" s="256"/>
      <c r="T167" s="256"/>
      <c r="U167" s="256"/>
      <c r="V167" s="256"/>
      <c r="W167" s="256"/>
      <c r="X167" s="256"/>
      <c r="Y167" s="256"/>
      <c r="Z167" s="256"/>
      <c r="AA167" s="256"/>
      <c r="AB167" s="256"/>
      <c r="AC167" s="256"/>
      <c r="AD167" s="256"/>
      <c r="AE167" s="256"/>
      <c r="AF167" s="256"/>
      <c r="AG167" s="256"/>
      <c r="AH167" s="256"/>
      <c r="AI167" s="256"/>
      <c r="AJ167" s="256"/>
      <c r="AK167" s="256"/>
      <c r="AL167" s="256"/>
      <c r="AM167" s="256"/>
      <c r="AN167" s="256"/>
      <c r="AO167" s="256"/>
      <c r="AP167" s="256"/>
      <c r="AQ167" s="256"/>
      <c r="AR167" s="256"/>
      <c r="AS167" s="256"/>
      <c r="AT167" s="256"/>
      <c r="AU167" s="256"/>
      <c r="AV167" s="255" t="s">
        <v>50</v>
      </c>
      <c r="AW167" s="255" t="s">
        <v>50</v>
      </c>
      <c r="AX167" s="255" t="s">
        <v>50</v>
      </c>
      <c r="AY167" s="255" t="s">
        <v>50</v>
      </c>
      <c r="AZ167" s="255" t="s">
        <v>50</v>
      </c>
    </row>
    <row r="168" spans="1:52" ht="30" customHeight="1">
      <c r="A168" s="259"/>
      <c r="B168" s="259"/>
      <c r="C168" s="259"/>
      <c r="D168" s="259"/>
      <c r="E168" s="303"/>
      <c r="F168" s="297"/>
      <c r="G168" s="303"/>
      <c r="H168" s="297"/>
      <c r="I168" s="303"/>
      <c r="J168" s="297"/>
      <c r="K168" s="303"/>
      <c r="L168" s="297"/>
      <c r="M168" s="259"/>
    </row>
    <row r="169" spans="1:52" ht="30" customHeight="1">
      <c r="A169" s="299" t="s">
        <v>1568</v>
      </c>
      <c r="B169" s="300"/>
      <c r="C169" s="300"/>
      <c r="D169" s="300"/>
      <c r="E169" s="301"/>
      <c r="F169" s="302"/>
      <c r="G169" s="301"/>
      <c r="H169" s="302"/>
      <c r="I169" s="301"/>
      <c r="J169" s="302"/>
      <c r="K169" s="301"/>
      <c r="L169" s="302"/>
      <c r="M169" s="300"/>
      <c r="N169" s="464" t="s">
        <v>1872</v>
      </c>
    </row>
    <row r="170" spans="1:52" ht="30" customHeight="1">
      <c r="A170" s="258" t="s">
        <v>383</v>
      </c>
      <c r="B170" s="258" t="s">
        <v>875</v>
      </c>
      <c r="C170" s="258" t="s">
        <v>831</v>
      </c>
      <c r="D170" s="259">
        <v>4.2</v>
      </c>
      <c r="E170" s="303"/>
      <c r="F170" s="297"/>
      <c r="G170" s="303"/>
      <c r="H170" s="297"/>
      <c r="I170" s="303"/>
      <c r="J170" s="297"/>
      <c r="K170" s="303"/>
      <c r="L170" s="297"/>
      <c r="M170" s="258" t="s">
        <v>823</v>
      </c>
      <c r="N170" s="255" t="s">
        <v>50</v>
      </c>
      <c r="O170" s="255" t="s">
        <v>2082</v>
      </c>
      <c r="P170" s="255" t="s">
        <v>599</v>
      </c>
      <c r="Q170" s="255" t="s">
        <v>599</v>
      </c>
      <c r="R170" s="255" t="s">
        <v>598</v>
      </c>
      <c r="S170" s="256"/>
      <c r="T170" s="256"/>
      <c r="U170" s="256"/>
      <c r="V170" s="256">
        <v>1</v>
      </c>
      <c r="W170" s="256"/>
      <c r="X170" s="256"/>
      <c r="Y170" s="256"/>
      <c r="Z170" s="256"/>
      <c r="AA170" s="256"/>
      <c r="AB170" s="256"/>
      <c r="AC170" s="256"/>
      <c r="AD170" s="256"/>
      <c r="AE170" s="256"/>
      <c r="AF170" s="256"/>
      <c r="AG170" s="256"/>
      <c r="AH170" s="256"/>
      <c r="AI170" s="256"/>
      <c r="AJ170" s="256"/>
      <c r="AK170" s="256"/>
      <c r="AL170" s="256"/>
      <c r="AM170" s="256"/>
      <c r="AN170" s="256"/>
      <c r="AO170" s="256"/>
      <c r="AP170" s="256"/>
      <c r="AQ170" s="256"/>
      <c r="AR170" s="256"/>
      <c r="AS170" s="256"/>
      <c r="AT170" s="256"/>
      <c r="AU170" s="256"/>
      <c r="AV170" s="255" t="s">
        <v>50</v>
      </c>
      <c r="AW170" s="255" t="s">
        <v>2096</v>
      </c>
      <c r="AX170" s="255" t="s">
        <v>50</v>
      </c>
      <c r="AY170" s="255" t="s">
        <v>824</v>
      </c>
      <c r="AZ170" s="255" t="s">
        <v>50</v>
      </c>
    </row>
    <row r="171" spans="1:52" ht="30" customHeight="1">
      <c r="A171" s="258" t="s">
        <v>461</v>
      </c>
      <c r="B171" s="258" t="s">
        <v>875</v>
      </c>
      <c r="C171" s="258" t="s">
        <v>831</v>
      </c>
      <c r="D171" s="259">
        <v>4.41</v>
      </c>
      <c r="E171" s="303"/>
      <c r="F171" s="297"/>
      <c r="G171" s="303"/>
      <c r="H171" s="297"/>
      <c r="I171" s="303"/>
      <c r="J171" s="297"/>
      <c r="K171" s="303"/>
      <c r="L171" s="297"/>
      <c r="M171" s="258" t="s">
        <v>823</v>
      </c>
      <c r="N171" s="255" t="s">
        <v>50</v>
      </c>
      <c r="O171" s="255" t="s">
        <v>2084</v>
      </c>
      <c r="P171" s="255" t="s">
        <v>599</v>
      </c>
      <c r="Q171" s="255" t="s">
        <v>599</v>
      </c>
      <c r="R171" s="255" t="s">
        <v>598</v>
      </c>
      <c r="S171" s="256"/>
      <c r="T171" s="256"/>
      <c r="U171" s="256"/>
      <c r="V171" s="256">
        <v>1</v>
      </c>
      <c r="W171" s="256"/>
      <c r="X171" s="256"/>
      <c r="Y171" s="256"/>
      <c r="Z171" s="256"/>
      <c r="AA171" s="256"/>
      <c r="AB171" s="256"/>
      <c r="AC171" s="256"/>
      <c r="AD171" s="256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5" t="s">
        <v>50</v>
      </c>
      <c r="AW171" s="255" t="s">
        <v>2097</v>
      </c>
      <c r="AX171" s="255" t="s">
        <v>50</v>
      </c>
      <c r="AY171" s="255" t="s">
        <v>824</v>
      </c>
      <c r="AZ171" s="255" t="s">
        <v>50</v>
      </c>
    </row>
    <row r="172" spans="1:52" ht="30" customHeight="1">
      <c r="A172" s="258" t="s">
        <v>829</v>
      </c>
      <c r="B172" s="258" t="s">
        <v>830</v>
      </c>
      <c r="C172" s="258" t="s">
        <v>831</v>
      </c>
      <c r="D172" s="259">
        <v>4.0999999999999996</v>
      </c>
      <c r="E172" s="303"/>
      <c r="F172" s="297"/>
      <c r="G172" s="303"/>
      <c r="H172" s="297"/>
      <c r="I172" s="303"/>
      <c r="J172" s="297"/>
      <c r="K172" s="303"/>
      <c r="L172" s="297"/>
      <c r="M172" s="258" t="s">
        <v>823</v>
      </c>
      <c r="N172" s="255" t="s">
        <v>50</v>
      </c>
      <c r="O172" s="255" t="s">
        <v>2027</v>
      </c>
      <c r="P172" s="255" t="s">
        <v>599</v>
      </c>
      <c r="Q172" s="255" t="s">
        <v>599</v>
      </c>
      <c r="R172" s="255" t="s">
        <v>598</v>
      </c>
      <c r="S172" s="256"/>
      <c r="T172" s="256"/>
      <c r="U172" s="256"/>
      <c r="V172" s="256">
        <v>1</v>
      </c>
      <c r="W172" s="256"/>
      <c r="X172" s="256"/>
      <c r="Y172" s="256"/>
      <c r="Z172" s="256"/>
      <c r="AA172" s="256"/>
      <c r="AB172" s="256"/>
      <c r="AC172" s="256"/>
      <c r="AD172" s="256"/>
      <c r="AE172" s="256"/>
      <c r="AF172" s="256"/>
      <c r="AG172" s="256"/>
      <c r="AH172" s="256"/>
      <c r="AI172" s="256"/>
      <c r="AJ172" s="256"/>
      <c r="AK172" s="256"/>
      <c r="AL172" s="256"/>
      <c r="AM172" s="256"/>
      <c r="AN172" s="256"/>
      <c r="AO172" s="256"/>
      <c r="AP172" s="256"/>
      <c r="AQ172" s="256"/>
      <c r="AR172" s="256"/>
      <c r="AS172" s="256"/>
      <c r="AT172" s="256"/>
      <c r="AU172" s="256"/>
      <c r="AV172" s="255" t="s">
        <v>50</v>
      </c>
      <c r="AW172" s="255" t="s">
        <v>2098</v>
      </c>
      <c r="AX172" s="255" t="s">
        <v>50</v>
      </c>
      <c r="AY172" s="255" t="s">
        <v>824</v>
      </c>
      <c r="AZ172" s="255" t="s">
        <v>50</v>
      </c>
    </row>
    <row r="173" spans="1:52" ht="30" customHeight="1">
      <c r="A173" s="258" t="s">
        <v>879</v>
      </c>
      <c r="B173" s="258" t="s">
        <v>50</v>
      </c>
      <c r="C173" s="258" t="s">
        <v>704</v>
      </c>
      <c r="D173" s="259">
        <v>72</v>
      </c>
      <c r="E173" s="303"/>
      <c r="F173" s="297"/>
      <c r="G173" s="303"/>
      <c r="H173" s="297"/>
      <c r="I173" s="303"/>
      <c r="J173" s="297"/>
      <c r="K173" s="303"/>
      <c r="L173" s="297"/>
      <c r="M173" s="258" t="s">
        <v>823</v>
      </c>
      <c r="N173" s="255" t="s">
        <v>50</v>
      </c>
      <c r="O173" s="255" t="s">
        <v>2099</v>
      </c>
      <c r="P173" s="255" t="s">
        <v>599</v>
      </c>
      <c r="Q173" s="255" t="s">
        <v>599</v>
      </c>
      <c r="R173" s="255" t="s">
        <v>598</v>
      </c>
      <c r="S173" s="256"/>
      <c r="T173" s="256"/>
      <c r="U173" s="256"/>
      <c r="V173" s="256">
        <v>1</v>
      </c>
      <c r="W173" s="256"/>
      <c r="X173" s="256"/>
      <c r="Y173" s="256"/>
      <c r="Z173" s="256"/>
      <c r="AA173" s="256"/>
      <c r="AB173" s="256"/>
      <c r="AC173" s="256"/>
      <c r="AD173" s="256"/>
      <c r="AE173" s="256"/>
      <c r="AF173" s="256"/>
      <c r="AG173" s="256"/>
      <c r="AH173" s="256"/>
      <c r="AI173" s="256"/>
      <c r="AJ173" s="256"/>
      <c r="AK173" s="256"/>
      <c r="AL173" s="256"/>
      <c r="AM173" s="256"/>
      <c r="AN173" s="256"/>
      <c r="AO173" s="256"/>
      <c r="AP173" s="256"/>
      <c r="AQ173" s="256"/>
      <c r="AR173" s="256"/>
      <c r="AS173" s="256"/>
      <c r="AT173" s="256"/>
      <c r="AU173" s="256"/>
      <c r="AV173" s="255" t="s">
        <v>50</v>
      </c>
      <c r="AW173" s="255" t="s">
        <v>2100</v>
      </c>
      <c r="AX173" s="255" t="s">
        <v>50</v>
      </c>
      <c r="AY173" s="255" t="s">
        <v>824</v>
      </c>
      <c r="AZ173" s="255" t="s">
        <v>50</v>
      </c>
    </row>
    <row r="174" spans="1:52" ht="30" customHeight="1">
      <c r="A174" s="258" t="s">
        <v>880</v>
      </c>
      <c r="B174" s="258" t="s">
        <v>50</v>
      </c>
      <c r="C174" s="258" t="s">
        <v>762</v>
      </c>
      <c r="D174" s="259">
        <v>16</v>
      </c>
      <c r="E174" s="303"/>
      <c r="F174" s="297"/>
      <c r="G174" s="303"/>
      <c r="H174" s="297"/>
      <c r="I174" s="303"/>
      <c r="J174" s="297"/>
      <c r="K174" s="303"/>
      <c r="L174" s="297"/>
      <c r="M174" s="258" t="s">
        <v>823</v>
      </c>
      <c r="N174" s="255" t="s">
        <v>50</v>
      </c>
      <c r="O174" s="255" t="s">
        <v>2101</v>
      </c>
      <c r="P174" s="255" t="s">
        <v>599</v>
      </c>
      <c r="Q174" s="255" t="s">
        <v>599</v>
      </c>
      <c r="R174" s="255" t="s">
        <v>598</v>
      </c>
      <c r="S174" s="256"/>
      <c r="T174" s="256"/>
      <c r="U174" s="256"/>
      <c r="V174" s="256">
        <v>1</v>
      </c>
      <c r="W174" s="256"/>
      <c r="X174" s="256"/>
      <c r="Y174" s="256"/>
      <c r="Z174" s="256"/>
      <c r="AA174" s="256"/>
      <c r="AB174" s="256"/>
      <c r="AC174" s="256"/>
      <c r="AD174" s="256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5" t="s">
        <v>50</v>
      </c>
      <c r="AW174" s="255" t="s">
        <v>2102</v>
      </c>
      <c r="AX174" s="255" t="s">
        <v>50</v>
      </c>
      <c r="AY174" s="255" t="s">
        <v>824</v>
      </c>
      <c r="AZ174" s="255" t="s">
        <v>50</v>
      </c>
    </row>
    <row r="175" spans="1:52" ht="30" customHeight="1">
      <c r="A175" s="258" t="s">
        <v>881</v>
      </c>
      <c r="B175" s="258" t="s">
        <v>882</v>
      </c>
      <c r="C175" s="258" t="s">
        <v>762</v>
      </c>
      <c r="D175" s="259">
        <v>16</v>
      </c>
      <c r="E175" s="303"/>
      <c r="F175" s="297"/>
      <c r="G175" s="303"/>
      <c r="H175" s="297"/>
      <c r="I175" s="303"/>
      <c r="J175" s="297"/>
      <c r="K175" s="303"/>
      <c r="L175" s="297"/>
      <c r="M175" s="258" t="s">
        <v>823</v>
      </c>
      <c r="N175" s="255" t="s">
        <v>50</v>
      </c>
      <c r="O175" s="255" t="s">
        <v>2103</v>
      </c>
      <c r="P175" s="255" t="s">
        <v>599</v>
      </c>
      <c r="Q175" s="255" t="s">
        <v>599</v>
      </c>
      <c r="R175" s="255" t="s">
        <v>598</v>
      </c>
      <c r="S175" s="256"/>
      <c r="T175" s="256"/>
      <c r="U175" s="256"/>
      <c r="V175" s="256">
        <v>1</v>
      </c>
      <c r="W175" s="256"/>
      <c r="X175" s="256"/>
      <c r="Y175" s="256"/>
      <c r="Z175" s="256"/>
      <c r="AA175" s="256"/>
      <c r="AB175" s="256"/>
      <c r="AC175" s="256"/>
      <c r="AD175" s="256"/>
      <c r="AE175" s="256"/>
      <c r="AF175" s="256"/>
      <c r="AG175" s="256"/>
      <c r="AH175" s="256"/>
      <c r="AI175" s="256"/>
      <c r="AJ175" s="256"/>
      <c r="AK175" s="256"/>
      <c r="AL175" s="256"/>
      <c r="AM175" s="256"/>
      <c r="AN175" s="256"/>
      <c r="AO175" s="256"/>
      <c r="AP175" s="256"/>
      <c r="AQ175" s="256"/>
      <c r="AR175" s="256"/>
      <c r="AS175" s="256"/>
      <c r="AT175" s="256"/>
      <c r="AU175" s="256"/>
      <c r="AV175" s="255" t="s">
        <v>50</v>
      </c>
      <c r="AW175" s="255" t="s">
        <v>2104</v>
      </c>
      <c r="AX175" s="255" t="s">
        <v>50</v>
      </c>
      <c r="AY175" s="255" t="s">
        <v>824</v>
      </c>
      <c r="AZ175" s="255" t="s">
        <v>50</v>
      </c>
    </row>
    <row r="176" spans="1:52" ht="30" customHeight="1">
      <c r="A176" s="258" t="s">
        <v>806</v>
      </c>
      <c r="B176" s="258" t="s">
        <v>767</v>
      </c>
      <c r="C176" s="258" t="s">
        <v>762</v>
      </c>
      <c r="D176" s="259">
        <v>8</v>
      </c>
      <c r="E176" s="303"/>
      <c r="F176" s="297"/>
      <c r="G176" s="303"/>
      <c r="H176" s="297"/>
      <c r="I176" s="303"/>
      <c r="J176" s="297"/>
      <c r="K176" s="303"/>
      <c r="L176" s="297"/>
      <c r="M176" s="258" t="s">
        <v>823</v>
      </c>
      <c r="N176" s="255" t="s">
        <v>50</v>
      </c>
      <c r="O176" s="255" t="s">
        <v>1975</v>
      </c>
      <c r="P176" s="255" t="s">
        <v>598</v>
      </c>
      <c r="Q176" s="255" t="s">
        <v>599</v>
      </c>
      <c r="R176" s="255" t="s">
        <v>599</v>
      </c>
      <c r="S176" s="256"/>
      <c r="T176" s="256"/>
      <c r="U176" s="256"/>
      <c r="V176" s="256">
        <v>1</v>
      </c>
      <c r="W176" s="256"/>
      <c r="X176" s="256"/>
      <c r="Y176" s="256"/>
      <c r="Z176" s="256"/>
      <c r="AA176" s="256"/>
      <c r="AB176" s="256"/>
      <c r="AC176" s="256"/>
      <c r="AD176" s="256"/>
      <c r="AE176" s="256"/>
      <c r="AF176" s="256"/>
      <c r="AG176" s="256"/>
      <c r="AH176" s="256"/>
      <c r="AI176" s="256"/>
      <c r="AJ176" s="256"/>
      <c r="AK176" s="256"/>
      <c r="AL176" s="256"/>
      <c r="AM176" s="256"/>
      <c r="AN176" s="256"/>
      <c r="AO176" s="256"/>
      <c r="AP176" s="256"/>
      <c r="AQ176" s="256"/>
      <c r="AR176" s="256"/>
      <c r="AS176" s="256"/>
      <c r="AT176" s="256"/>
      <c r="AU176" s="256"/>
      <c r="AV176" s="255" t="s">
        <v>50</v>
      </c>
      <c r="AW176" s="255" t="s">
        <v>2105</v>
      </c>
      <c r="AX176" s="255" t="s">
        <v>50</v>
      </c>
      <c r="AY176" s="255" t="s">
        <v>824</v>
      </c>
      <c r="AZ176" s="255" t="s">
        <v>50</v>
      </c>
    </row>
    <row r="177" spans="1:52" ht="30" customHeight="1">
      <c r="A177" s="258" t="s">
        <v>826</v>
      </c>
      <c r="B177" s="258" t="s">
        <v>827</v>
      </c>
      <c r="C177" s="258" t="s">
        <v>146</v>
      </c>
      <c r="D177" s="259">
        <v>1</v>
      </c>
      <c r="E177" s="303"/>
      <c r="F177" s="297"/>
      <c r="G177" s="303"/>
      <c r="H177" s="297"/>
      <c r="I177" s="303"/>
      <c r="J177" s="297"/>
      <c r="K177" s="303"/>
      <c r="L177" s="297"/>
      <c r="M177" s="258" t="s">
        <v>50</v>
      </c>
      <c r="N177" s="255" t="s">
        <v>1872</v>
      </c>
      <c r="O177" s="255" t="s">
        <v>1900</v>
      </c>
      <c r="P177" s="255" t="s">
        <v>599</v>
      </c>
      <c r="Q177" s="255" t="s">
        <v>599</v>
      </c>
      <c r="R177" s="255" t="s">
        <v>599</v>
      </c>
      <c r="S177" s="256">
        <v>3</v>
      </c>
      <c r="T177" s="256">
        <v>2</v>
      </c>
      <c r="U177" s="256">
        <v>1</v>
      </c>
      <c r="V177" s="256"/>
      <c r="W177" s="256"/>
      <c r="X177" s="256"/>
      <c r="Y177" s="256"/>
      <c r="Z177" s="256"/>
      <c r="AA177" s="256"/>
      <c r="AB177" s="256"/>
      <c r="AC177" s="256"/>
      <c r="AD177" s="256"/>
      <c r="AE177" s="256"/>
      <c r="AF177" s="256"/>
      <c r="AG177" s="256"/>
      <c r="AH177" s="256"/>
      <c r="AI177" s="256"/>
      <c r="AJ177" s="256"/>
      <c r="AK177" s="256"/>
      <c r="AL177" s="256"/>
      <c r="AM177" s="256"/>
      <c r="AN177" s="256"/>
      <c r="AO177" s="256"/>
      <c r="AP177" s="256"/>
      <c r="AQ177" s="256"/>
      <c r="AR177" s="256"/>
      <c r="AS177" s="256"/>
      <c r="AT177" s="256"/>
      <c r="AU177" s="256"/>
      <c r="AV177" s="255" t="s">
        <v>50</v>
      </c>
      <c r="AW177" s="255" t="s">
        <v>2106</v>
      </c>
      <c r="AX177" s="255" t="s">
        <v>50</v>
      </c>
      <c r="AY177" s="255" t="s">
        <v>50</v>
      </c>
      <c r="AZ177" s="255" t="s">
        <v>50</v>
      </c>
    </row>
    <row r="178" spans="1:52" ht="30" customHeight="1">
      <c r="A178" s="258" t="s">
        <v>820</v>
      </c>
      <c r="B178" s="258" t="s">
        <v>50</v>
      </c>
      <c r="C178" s="258" t="s">
        <v>50</v>
      </c>
      <c r="D178" s="259"/>
      <c r="E178" s="303"/>
      <c r="F178" s="297"/>
      <c r="G178" s="303"/>
      <c r="H178" s="297"/>
      <c r="I178" s="303"/>
      <c r="J178" s="297"/>
      <c r="K178" s="303"/>
      <c r="L178" s="297"/>
      <c r="M178" s="258" t="s">
        <v>50</v>
      </c>
      <c r="N178" s="255" t="s">
        <v>617</v>
      </c>
      <c r="O178" s="255" t="s">
        <v>617</v>
      </c>
      <c r="P178" s="255" t="s">
        <v>50</v>
      </c>
      <c r="Q178" s="255" t="s">
        <v>50</v>
      </c>
      <c r="R178" s="255" t="s">
        <v>50</v>
      </c>
      <c r="S178" s="256"/>
      <c r="T178" s="256"/>
      <c r="U178" s="256"/>
      <c r="V178" s="256"/>
      <c r="W178" s="256"/>
      <c r="X178" s="256"/>
      <c r="Y178" s="256"/>
      <c r="Z178" s="256"/>
      <c r="AA178" s="256"/>
      <c r="AB178" s="256"/>
      <c r="AC178" s="256"/>
      <c r="AD178" s="256"/>
      <c r="AE178" s="256"/>
      <c r="AF178" s="256"/>
      <c r="AG178" s="256"/>
      <c r="AH178" s="256"/>
      <c r="AI178" s="256"/>
      <c r="AJ178" s="256"/>
      <c r="AK178" s="256"/>
      <c r="AL178" s="256"/>
      <c r="AM178" s="256"/>
      <c r="AN178" s="256"/>
      <c r="AO178" s="256"/>
      <c r="AP178" s="256"/>
      <c r="AQ178" s="256"/>
      <c r="AR178" s="256"/>
      <c r="AS178" s="256"/>
      <c r="AT178" s="256"/>
      <c r="AU178" s="256"/>
      <c r="AV178" s="255" t="s">
        <v>50</v>
      </c>
      <c r="AW178" s="255" t="s">
        <v>50</v>
      </c>
      <c r="AX178" s="255" t="s">
        <v>50</v>
      </c>
      <c r="AY178" s="255" t="s">
        <v>50</v>
      </c>
      <c r="AZ178" s="255" t="s">
        <v>50</v>
      </c>
    </row>
    <row r="179" spans="1:52" ht="30" customHeight="1">
      <c r="A179" s="259"/>
      <c r="B179" s="259"/>
      <c r="C179" s="259"/>
      <c r="D179" s="259"/>
      <c r="E179" s="303"/>
      <c r="F179" s="297"/>
      <c r="G179" s="303"/>
      <c r="H179" s="297"/>
      <c r="I179" s="303"/>
      <c r="J179" s="297"/>
      <c r="K179" s="303"/>
      <c r="L179" s="297"/>
      <c r="M179" s="259"/>
    </row>
    <row r="180" spans="1:52" ht="30" customHeight="1">
      <c r="A180" s="299" t="s">
        <v>1569</v>
      </c>
      <c r="B180" s="300"/>
      <c r="C180" s="300"/>
      <c r="D180" s="300"/>
      <c r="E180" s="301"/>
      <c r="F180" s="302"/>
      <c r="G180" s="301"/>
      <c r="H180" s="302"/>
      <c r="I180" s="301"/>
      <c r="J180" s="302"/>
      <c r="K180" s="301"/>
      <c r="L180" s="302"/>
      <c r="M180" s="300"/>
      <c r="N180" s="464" t="s">
        <v>1874</v>
      </c>
    </row>
    <row r="181" spans="1:52" ht="30" customHeight="1">
      <c r="A181" s="258" t="s">
        <v>728</v>
      </c>
      <c r="B181" s="258" t="s">
        <v>50</v>
      </c>
      <c r="C181" s="258" t="s">
        <v>596</v>
      </c>
      <c r="D181" s="259">
        <v>1.57</v>
      </c>
      <c r="E181" s="303"/>
      <c r="F181" s="297"/>
      <c r="G181" s="303"/>
      <c r="H181" s="297"/>
      <c r="I181" s="303"/>
      <c r="J181" s="297"/>
      <c r="K181" s="303"/>
      <c r="L181" s="297"/>
      <c r="M181" s="258" t="s">
        <v>703</v>
      </c>
      <c r="N181" s="255" t="s">
        <v>1874</v>
      </c>
      <c r="O181" s="255" t="s">
        <v>1978</v>
      </c>
      <c r="P181" s="255" t="s">
        <v>598</v>
      </c>
      <c r="Q181" s="255" t="s">
        <v>599</v>
      </c>
      <c r="R181" s="255" t="s">
        <v>599</v>
      </c>
      <c r="S181" s="256"/>
      <c r="T181" s="256"/>
      <c r="U181" s="256"/>
      <c r="V181" s="256"/>
      <c r="W181" s="256"/>
      <c r="X181" s="256"/>
      <c r="Y181" s="256"/>
      <c r="Z181" s="256"/>
      <c r="AA181" s="256"/>
      <c r="AB181" s="256"/>
      <c r="AC181" s="256"/>
      <c r="AD181" s="256"/>
      <c r="AE181" s="256"/>
      <c r="AF181" s="256"/>
      <c r="AG181" s="256"/>
      <c r="AH181" s="256"/>
      <c r="AI181" s="256"/>
      <c r="AJ181" s="256"/>
      <c r="AK181" s="256"/>
      <c r="AL181" s="256"/>
      <c r="AM181" s="256"/>
      <c r="AN181" s="256"/>
      <c r="AO181" s="256"/>
      <c r="AP181" s="256"/>
      <c r="AQ181" s="256"/>
      <c r="AR181" s="256"/>
      <c r="AS181" s="256"/>
      <c r="AT181" s="256"/>
      <c r="AU181" s="256"/>
      <c r="AV181" s="255" t="s">
        <v>50</v>
      </c>
      <c r="AW181" s="255" t="s">
        <v>2107</v>
      </c>
      <c r="AX181" s="255" t="s">
        <v>50</v>
      </c>
      <c r="AY181" s="255" t="s">
        <v>50</v>
      </c>
      <c r="AZ181" s="255" t="s">
        <v>50</v>
      </c>
    </row>
    <row r="182" spans="1:52" ht="30" customHeight="1">
      <c r="A182" s="258" t="s">
        <v>820</v>
      </c>
      <c r="B182" s="258" t="s">
        <v>50</v>
      </c>
      <c r="C182" s="258" t="s">
        <v>50</v>
      </c>
      <c r="D182" s="259"/>
      <c r="E182" s="303"/>
      <c r="F182" s="297"/>
      <c r="G182" s="303"/>
      <c r="H182" s="297"/>
      <c r="I182" s="303"/>
      <c r="J182" s="297"/>
      <c r="K182" s="303"/>
      <c r="L182" s="297"/>
      <c r="M182" s="258" t="s">
        <v>50</v>
      </c>
      <c r="N182" s="255" t="s">
        <v>617</v>
      </c>
      <c r="O182" s="255" t="s">
        <v>617</v>
      </c>
      <c r="P182" s="255" t="s">
        <v>50</v>
      </c>
      <c r="Q182" s="255" t="s">
        <v>50</v>
      </c>
      <c r="R182" s="255" t="s">
        <v>50</v>
      </c>
      <c r="S182" s="256"/>
      <c r="T182" s="256"/>
      <c r="U182" s="256"/>
      <c r="V182" s="256"/>
      <c r="W182" s="256"/>
      <c r="X182" s="256"/>
      <c r="Y182" s="256"/>
      <c r="Z182" s="256"/>
      <c r="AA182" s="256"/>
      <c r="AB182" s="256"/>
      <c r="AC182" s="256"/>
      <c r="AD182" s="256"/>
      <c r="AE182" s="256"/>
      <c r="AF182" s="256"/>
      <c r="AG182" s="256"/>
      <c r="AH182" s="256"/>
      <c r="AI182" s="256"/>
      <c r="AJ182" s="256"/>
      <c r="AK182" s="256"/>
      <c r="AL182" s="256"/>
      <c r="AM182" s="256"/>
      <c r="AN182" s="256"/>
      <c r="AO182" s="256"/>
      <c r="AP182" s="256"/>
      <c r="AQ182" s="256"/>
      <c r="AR182" s="256"/>
      <c r="AS182" s="256"/>
      <c r="AT182" s="256"/>
      <c r="AU182" s="256"/>
      <c r="AV182" s="255" t="s">
        <v>50</v>
      </c>
      <c r="AW182" s="255" t="s">
        <v>50</v>
      </c>
      <c r="AX182" s="255" t="s">
        <v>50</v>
      </c>
      <c r="AY182" s="255" t="s">
        <v>50</v>
      </c>
      <c r="AZ182" s="255" t="s">
        <v>50</v>
      </c>
    </row>
    <row r="183" spans="1:52" ht="30" customHeight="1">
      <c r="A183" s="259"/>
      <c r="B183" s="259"/>
      <c r="C183" s="259"/>
      <c r="D183" s="259"/>
      <c r="E183" s="303"/>
      <c r="F183" s="297"/>
      <c r="G183" s="303"/>
      <c r="H183" s="297"/>
      <c r="I183" s="303"/>
      <c r="J183" s="297"/>
      <c r="K183" s="303"/>
      <c r="L183" s="297"/>
      <c r="M183" s="259"/>
    </row>
    <row r="184" spans="1:52" ht="30" customHeight="1">
      <c r="A184" s="299" t="s">
        <v>2108</v>
      </c>
      <c r="B184" s="300"/>
      <c r="C184" s="300"/>
      <c r="D184" s="300"/>
      <c r="E184" s="301"/>
      <c r="F184" s="302"/>
      <c r="G184" s="301"/>
      <c r="H184" s="302"/>
      <c r="I184" s="301"/>
      <c r="J184" s="302"/>
      <c r="K184" s="301"/>
      <c r="L184" s="302"/>
      <c r="M184" s="300"/>
      <c r="N184" s="464" t="s">
        <v>1939</v>
      </c>
    </row>
    <row r="185" spans="1:52" ht="30" customHeight="1">
      <c r="A185" s="258" t="s">
        <v>884</v>
      </c>
      <c r="B185" s="258" t="s">
        <v>885</v>
      </c>
      <c r="C185" s="258" t="s">
        <v>705</v>
      </c>
      <c r="D185" s="259">
        <v>3.3332999999999999</v>
      </c>
      <c r="E185" s="303"/>
      <c r="F185" s="297"/>
      <c r="G185" s="303"/>
      <c r="H185" s="297"/>
      <c r="I185" s="303"/>
      <c r="J185" s="297"/>
      <c r="K185" s="303"/>
      <c r="L185" s="297"/>
      <c r="M185" s="258" t="s">
        <v>823</v>
      </c>
      <c r="N185" s="255" t="s">
        <v>50</v>
      </c>
      <c r="O185" s="255" t="s">
        <v>2109</v>
      </c>
      <c r="P185" s="255" t="s">
        <v>599</v>
      </c>
      <c r="Q185" s="255" t="s">
        <v>599</v>
      </c>
      <c r="R185" s="255" t="s">
        <v>598</v>
      </c>
      <c r="S185" s="256"/>
      <c r="T185" s="256"/>
      <c r="U185" s="256"/>
      <c r="V185" s="256">
        <v>1</v>
      </c>
      <c r="W185" s="256"/>
      <c r="X185" s="256"/>
      <c r="Y185" s="256"/>
      <c r="Z185" s="256"/>
      <c r="AA185" s="256"/>
      <c r="AB185" s="256"/>
      <c r="AC185" s="256"/>
      <c r="AD185" s="256"/>
      <c r="AE185" s="256"/>
      <c r="AF185" s="256"/>
      <c r="AG185" s="256"/>
      <c r="AH185" s="256"/>
      <c r="AI185" s="256"/>
      <c r="AJ185" s="256"/>
      <c r="AK185" s="256"/>
      <c r="AL185" s="256"/>
      <c r="AM185" s="256"/>
      <c r="AN185" s="256"/>
      <c r="AO185" s="256"/>
      <c r="AP185" s="256"/>
      <c r="AQ185" s="256"/>
      <c r="AR185" s="256"/>
      <c r="AS185" s="256"/>
      <c r="AT185" s="256"/>
      <c r="AU185" s="256"/>
      <c r="AV185" s="255" t="s">
        <v>50</v>
      </c>
      <c r="AW185" s="255" t="s">
        <v>2110</v>
      </c>
      <c r="AX185" s="255" t="s">
        <v>50</v>
      </c>
      <c r="AY185" s="255" t="s">
        <v>824</v>
      </c>
      <c r="AZ185" s="255" t="s">
        <v>50</v>
      </c>
    </row>
    <row r="186" spans="1:52" ht="30" customHeight="1">
      <c r="A186" s="258" t="s">
        <v>886</v>
      </c>
      <c r="B186" s="258" t="s">
        <v>2111</v>
      </c>
      <c r="C186" s="258" t="s">
        <v>146</v>
      </c>
      <c r="D186" s="259">
        <v>1</v>
      </c>
      <c r="E186" s="303"/>
      <c r="F186" s="297"/>
      <c r="G186" s="303"/>
      <c r="H186" s="297"/>
      <c r="I186" s="303"/>
      <c r="J186" s="297"/>
      <c r="K186" s="303"/>
      <c r="L186" s="297"/>
      <c r="M186" s="258" t="s">
        <v>50</v>
      </c>
      <c r="N186" s="255" t="s">
        <v>1939</v>
      </c>
      <c r="O186" s="255" t="s">
        <v>1900</v>
      </c>
      <c r="P186" s="255" t="s">
        <v>599</v>
      </c>
      <c r="Q186" s="255" t="s">
        <v>599</v>
      </c>
      <c r="R186" s="255" t="s">
        <v>599</v>
      </c>
      <c r="S186" s="256">
        <v>0</v>
      </c>
      <c r="T186" s="256">
        <v>2</v>
      </c>
      <c r="U186" s="256">
        <v>0.33</v>
      </c>
      <c r="V186" s="256"/>
      <c r="W186" s="256"/>
      <c r="X186" s="256"/>
      <c r="Y186" s="256"/>
      <c r="Z186" s="256"/>
      <c r="AA186" s="256"/>
      <c r="AB186" s="256"/>
      <c r="AC186" s="256"/>
      <c r="AD186" s="256"/>
      <c r="AE186" s="256"/>
      <c r="AF186" s="256"/>
      <c r="AG186" s="256"/>
      <c r="AH186" s="256"/>
      <c r="AI186" s="256"/>
      <c r="AJ186" s="256"/>
      <c r="AK186" s="256"/>
      <c r="AL186" s="256"/>
      <c r="AM186" s="256"/>
      <c r="AN186" s="256"/>
      <c r="AO186" s="256"/>
      <c r="AP186" s="256"/>
      <c r="AQ186" s="256"/>
      <c r="AR186" s="256"/>
      <c r="AS186" s="256"/>
      <c r="AT186" s="256"/>
      <c r="AU186" s="256"/>
      <c r="AV186" s="255" t="s">
        <v>50</v>
      </c>
      <c r="AW186" s="255" t="s">
        <v>2112</v>
      </c>
      <c r="AX186" s="255" t="s">
        <v>50</v>
      </c>
      <c r="AY186" s="255" t="s">
        <v>50</v>
      </c>
      <c r="AZ186" s="255" t="s">
        <v>50</v>
      </c>
    </row>
    <row r="187" spans="1:52" ht="30" customHeight="1">
      <c r="A187" s="258" t="s">
        <v>887</v>
      </c>
      <c r="B187" s="258" t="s">
        <v>888</v>
      </c>
      <c r="C187" s="258" t="s">
        <v>596</v>
      </c>
      <c r="D187" s="259">
        <v>11</v>
      </c>
      <c r="E187" s="303"/>
      <c r="F187" s="297"/>
      <c r="G187" s="303"/>
      <c r="H187" s="297"/>
      <c r="I187" s="303"/>
      <c r="J187" s="297"/>
      <c r="K187" s="303"/>
      <c r="L187" s="297"/>
      <c r="M187" s="258" t="s">
        <v>823</v>
      </c>
      <c r="N187" s="255" t="s">
        <v>50</v>
      </c>
      <c r="O187" s="255" t="s">
        <v>2113</v>
      </c>
      <c r="P187" s="255" t="s">
        <v>599</v>
      </c>
      <c r="Q187" s="255" t="s">
        <v>599</v>
      </c>
      <c r="R187" s="255" t="s">
        <v>598</v>
      </c>
      <c r="S187" s="256"/>
      <c r="T187" s="256"/>
      <c r="U187" s="256"/>
      <c r="V187" s="256"/>
      <c r="W187" s="256">
        <v>2</v>
      </c>
      <c r="X187" s="256"/>
      <c r="Y187" s="256"/>
      <c r="Z187" s="256"/>
      <c r="AA187" s="256"/>
      <c r="AB187" s="256"/>
      <c r="AC187" s="256"/>
      <c r="AD187" s="256"/>
      <c r="AE187" s="256"/>
      <c r="AF187" s="256"/>
      <c r="AG187" s="256"/>
      <c r="AH187" s="256"/>
      <c r="AI187" s="256"/>
      <c r="AJ187" s="256"/>
      <c r="AK187" s="256"/>
      <c r="AL187" s="256"/>
      <c r="AM187" s="256"/>
      <c r="AN187" s="256"/>
      <c r="AO187" s="256"/>
      <c r="AP187" s="256"/>
      <c r="AQ187" s="256"/>
      <c r="AR187" s="256"/>
      <c r="AS187" s="256"/>
      <c r="AT187" s="256"/>
      <c r="AU187" s="256"/>
      <c r="AV187" s="255" t="s">
        <v>50</v>
      </c>
      <c r="AW187" s="255" t="s">
        <v>2114</v>
      </c>
      <c r="AX187" s="255" t="s">
        <v>50</v>
      </c>
      <c r="AY187" s="255" t="s">
        <v>824</v>
      </c>
      <c r="AZ187" s="255" t="s">
        <v>50</v>
      </c>
    </row>
    <row r="188" spans="1:52" ht="30" customHeight="1">
      <c r="A188" s="258" t="s">
        <v>889</v>
      </c>
      <c r="B188" s="258" t="s">
        <v>2115</v>
      </c>
      <c r="C188" s="258" t="s">
        <v>146</v>
      </c>
      <c r="D188" s="259">
        <v>1</v>
      </c>
      <c r="E188" s="303"/>
      <c r="F188" s="297"/>
      <c r="G188" s="303"/>
      <c r="H188" s="297"/>
      <c r="I188" s="303"/>
      <c r="J188" s="297"/>
      <c r="K188" s="303"/>
      <c r="L188" s="297"/>
      <c r="M188" s="258" t="s">
        <v>50</v>
      </c>
      <c r="N188" s="255" t="s">
        <v>1939</v>
      </c>
      <c r="O188" s="255" t="s">
        <v>2094</v>
      </c>
      <c r="P188" s="255" t="s">
        <v>599</v>
      </c>
      <c r="Q188" s="255" t="s">
        <v>599</v>
      </c>
      <c r="R188" s="255" t="s">
        <v>599</v>
      </c>
      <c r="S188" s="256">
        <v>0</v>
      </c>
      <c r="T188" s="256">
        <v>2</v>
      </c>
      <c r="U188" s="256">
        <v>0.1</v>
      </c>
      <c r="V188" s="256"/>
      <c r="W188" s="256"/>
      <c r="X188" s="256"/>
      <c r="Y188" s="256"/>
      <c r="Z188" s="256"/>
      <c r="AA188" s="256"/>
      <c r="AB188" s="256"/>
      <c r="AC188" s="256"/>
      <c r="AD188" s="256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5" t="s">
        <v>50</v>
      </c>
      <c r="AW188" s="255" t="s">
        <v>2116</v>
      </c>
      <c r="AX188" s="255" t="s">
        <v>50</v>
      </c>
      <c r="AY188" s="255" t="s">
        <v>50</v>
      </c>
      <c r="AZ188" s="255" t="s">
        <v>50</v>
      </c>
    </row>
    <row r="189" spans="1:52" ht="30" customHeight="1">
      <c r="A189" s="258" t="s">
        <v>890</v>
      </c>
      <c r="B189" s="258" t="s">
        <v>891</v>
      </c>
      <c r="C189" s="258" t="s">
        <v>704</v>
      </c>
      <c r="D189" s="259">
        <v>4.2332999999999998</v>
      </c>
      <c r="E189" s="303"/>
      <c r="F189" s="297"/>
      <c r="G189" s="303"/>
      <c r="H189" s="297"/>
      <c r="I189" s="303"/>
      <c r="J189" s="297"/>
      <c r="K189" s="303"/>
      <c r="L189" s="297"/>
      <c r="M189" s="258" t="s">
        <v>823</v>
      </c>
      <c r="N189" s="255" t="s">
        <v>50</v>
      </c>
      <c r="O189" s="255" t="s">
        <v>2117</v>
      </c>
      <c r="P189" s="255" t="s">
        <v>599</v>
      </c>
      <c r="Q189" s="255" t="s">
        <v>599</v>
      </c>
      <c r="R189" s="255" t="s">
        <v>598</v>
      </c>
      <c r="S189" s="256"/>
      <c r="T189" s="256"/>
      <c r="U189" s="256"/>
      <c r="V189" s="256"/>
      <c r="W189" s="256"/>
      <c r="X189" s="256">
        <v>3</v>
      </c>
      <c r="Y189" s="256"/>
      <c r="Z189" s="256"/>
      <c r="AA189" s="256"/>
      <c r="AB189" s="256"/>
      <c r="AC189" s="256"/>
      <c r="AD189" s="256"/>
      <c r="AE189" s="256"/>
      <c r="AF189" s="256"/>
      <c r="AG189" s="256"/>
      <c r="AH189" s="256"/>
      <c r="AI189" s="256"/>
      <c r="AJ189" s="256"/>
      <c r="AK189" s="256"/>
      <c r="AL189" s="256"/>
      <c r="AM189" s="256"/>
      <c r="AN189" s="256"/>
      <c r="AO189" s="256"/>
      <c r="AP189" s="256"/>
      <c r="AQ189" s="256"/>
      <c r="AR189" s="256"/>
      <c r="AS189" s="256"/>
      <c r="AT189" s="256"/>
      <c r="AU189" s="256"/>
      <c r="AV189" s="255" t="s">
        <v>50</v>
      </c>
      <c r="AW189" s="255" t="s">
        <v>2118</v>
      </c>
      <c r="AX189" s="255" t="s">
        <v>50</v>
      </c>
      <c r="AY189" s="255" t="s">
        <v>824</v>
      </c>
      <c r="AZ189" s="255" t="s">
        <v>50</v>
      </c>
    </row>
    <row r="190" spans="1:52" ht="30" customHeight="1">
      <c r="A190" s="258" t="s">
        <v>890</v>
      </c>
      <c r="B190" s="258" t="s">
        <v>892</v>
      </c>
      <c r="C190" s="258" t="s">
        <v>704</v>
      </c>
      <c r="D190" s="259">
        <v>0.93330000000000002</v>
      </c>
      <c r="E190" s="303"/>
      <c r="F190" s="297"/>
      <c r="G190" s="303"/>
      <c r="H190" s="297"/>
      <c r="I190" s="303"/>
      <c r="J190" s="297"/>
      <c r="K190" s="303"/>
      <c r="L190" s="297"/>
      <c r="M190" s="258" t="s">
        <v>823</v>
      </c>
      <c r="N190" s="255" t="s">
        <v>50</v>
      </c>
      <c r="O190" s="255" t="s">
        <v>2119</v>
      </c>
      <c r="P190" s="255" t="s">
        <v>599</v>
      </c>
      <c r="Q190" s="255" t="s">
        <v>599</v>
      </c>
      <c r="R190" s="255" t="s">
        <v>598</v>
      </c>
      <c r="S190" s="256"/>
      <c r="T190" s="256"/>
      <c r="U190" s="256"/>
      <c r="V190" s="256"/>
      <c r="W190" s="256"/>
      <c r="X190" s="256">
        <v>3</v>
      </c>
      <c r="Y190" s="256"/>
      <c r="Z190" s="256"/>
      <c r="AA190" s="256"/>
      <c r="AB190" s="256"/>
      <c r="AC190" s="256"/>
      <c r="AD190" s="256"/>
      <c r="AE190" s="256"/>
      <c r="AF190" s="256"/>
      <c r="AG190" s="256"/>
      <c r="AH190" s="256"/>
      <c r="AI190" s="256"/>
      <c r="AJ190" s="256"/>
      <c r="AK190" s="256"/>
      <c r="AL190" s="256"/>
      <c r="AM190" s="256"/>
      <c r="AN190" s="256"/>
      <c r="AO190" s="256"/>
      <c r="AP190" s="256"/>
      <c r="AQ190" s="256"/>
      <c r="AR190" s="256"/>
      <c r="AS190" s="256"/>
      <c r="AT190" s="256"/>
      <c r="AU190" s="256"/>
      <c r="AV190" s="255" t="s">
        <v>50</v>
      </c>
      <c r="AW190" s="255" t="s">
        <v>2120</v>
      </c>
      <c r="AX190" s="255" t="s">
        <v>50</v>
      </c>
      <c r="AY190" s="255" t="s">
        <v>824</v>
      </c>
      <c r="AZ190" s="255" t="s">
        <v>50</v>
      </c>
    </row>
    <row r="191" spans="1:52" ht="30" customHeight="1">
      <c r="A191" s="258" t="s">
        <v>893</v>
      </c>
      <c r="B191" s="258" t="s">
        <v>2121</v>
      </c>
      <c r="C191" s="258" t="s">
        <v>146</v>
      </c>
      <c r="D191" s="259">
        <v>1</v>
      </c>
      <c r="E191" s="303"/>
      <c r="F191" s="297"/>
      <c r="G191" s="303"/>
      <c r="H191" s="297"/>
      <c r="I191" s="303"/>
      <c r="J191" s="297"/>
      <c r="K191" s="303"/>
      <c r="L191" s="297"/>
      <c r="M191" s="258" t="s">
        <v>50</v>
      </c>
      <c r="N191" s="255" t="s">
        <v>1939</v>
      </c>
      <c r="O191" s="255" t="s">
        <v>2122</v>
      </c>
      <c r="P191" s="255" t="s">
        <v>599</v>
      </c>
      <c r="Q191" s="255" t="s">
        <v>599</v>
      </c>
      <c r="R191" s="255" t="s">
        <v>599</v>
      </c>
      <c r="S191" s="256">
        <v>0</v>
      </c>
      <c r="T191" s="256">
        <v>2</v>
      </c>
      <c r="U191" s="256">
        <v>0.2</v>
      </c>
      <c r="V191" s="256"/>
      <c r="W191" s="256"/>
      <c r="X191" s="256"/>
      <c r="Y191" s="256"/>
      <c r="Z191" s="256"/>
      <c r="AA191" s="256"/>
      <c r="AB191" s="256"/>
      <c r="AC191" s="256"/>
      <c r="AD191" s="256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5" t="s">
        <v>50</v>
      </c>
      <c r="AW191" s="255" t="s">
        <v>2123</v>
      </c>
      <c r="AX191" s="255" t="s">
        <v>50</v>
      </c>
      <c r="AY191" s="255" t="s">
        <v>50</v>
      </c>
      <c r="AZ191" s="255" t="s">
        <v>50</v>
      </c>
    </row>
    <row r="192" spans="1:52" ht="30" customHeight="1">
      <c r="A192" s="258" t="s">
        <v>884</v>
      </c>
      <c r="B192" s="258" t="s">
        <v>894</v>
      </c>
      <c r="C192" s="258" t="s">
        <v>704</v>
      </c>
      <c r="D192" s="259">
        <v>22.2166</v>
      </c>
      <c r="E192" s="303"/>
      <c r="F192" s="297"/>
      <c r="G192" s="303"/>
      <c r="H192" s="297"/>
      <c r="I192" s="303"/>
      <c r="J192" s="297"/>
      <c r="K192" s="303"/>
      <c r="L192" s="297"/>
      <c r="M192" s="258" t="s">
        <v>823</v>
      </c>
      <c r="N192" s="255" t="s">
        <v>50</v>
      </c>
      <c r="O192" s="255" t="s">
        <v>2124</v>
      </c>
      <c r="P192" s="255" t="s">
        <v>599</v>
      </c>
      <c r="Q192" s="255" t="s">
        <v>599</v>
      </c>
      <c r="R192" s="255" t="s">
        <v>598</v>
      </c>
      <c r="S192" s="256"/>
      <c r="T192" s="256"/>
      <c r="U192" s="256"/>
      <c r="V192" s="256"/>
      <c r="W192" s="256"/>
      <c r="X192" s="256"/>
      <c r="Y192" s="256">
        <v>4</v>
      </c>
      <c r="Z192" s="256"/>
      <c r="AA192" s="256"/>
      <c r="AB192" s="256"/>
      <c r="AC192" s="256"/>
      <c r="AD192" s="256"/>
      <c r="AE192" s="256"/>
      <c r="AF192" s="256"/>
      <c r="AG192" s="256"/>
      <c r="AH192" s="256"/>
      <c r="AI192" s="256"/>
      <c r="AJ192" s="256"/>
      <c r="AK192" s="256"/>
      <c r="AL192" s="256"/>
      <c r="AM192" s="256"/>
      <c r="AN192" s="256"/>
      <c r="AO192" s="256"/>
      <c r="AP192" s="256"/>
      <c r="AQ192" s="256"/>
      <c r="AR192" s="256"/>
      <c r="AS192" s="256"/>
      <c r="AT192" s="256"/>
      <c r="AU192" s="256"/>
      <c r="AV192" s="255" t="s">
        <v>50</v>
      </c>
      <c r="AW192" s="255" t="s">
        <v>2125</v>
      </c>
      <c r="AX192" s="255" t="s">
        <v>50</v>
      </c>
      <c r="AY192" s="255" t="s">
        <v>824</v>
      </c>
      <c r="AZ192" s="255" t="s">
        <v>50</v>
      </c>
    </row>
    <row r="193" spans="1:52" ht="30" customHeight="1">
      <c r="A193" s="258" t="s">
        <v>895</v>
      </c>
      <c r="B193" s="258" t="s">
        <v>828</v>
      </c>
      <c r="C193" s="258" t="s">
        <v>146</v>
      </c>
      <c r="D193" s="259">
        <v>1</v>
      </c>
      <c r="E193" s="303"/>
      <c r="F193" s="297"/>
      <c r="G193" s="303"/>
      <c r="H193" s="297"/>
      <c r="I193" s="303"/>
      <c r="J193" s="297"/>
      <c r="K193" s="303"/>
      <c r="L193" s="297"/>
      <c r="M193" s="258" t="s">
        <v>50</v>
      </c>
      <c r="N193" s="255" t="s">
        <v>1939</v>
      </c>
      <c r="O193" s="255" t="s">
        <v>2126</v>
      </c>
      <c r="P193" s="255" t="s">
        <v>599</v>
      </c>
      <c r="Q193" s="255" t="s">
        <v>599</v>
      </c>
      <c r="R193" s="255" t="s">
        <v>599</v>
      </c>
      <c r="S193" s="256">
        <v>0</v>
      </c>
      <c r="T193" s="256">
        <v>2</v>
      </c>
      <c r="U193" s="256">
        <v>1</v>
      </c>
      <c r="V193" s="256"/>
      <c r="W193" s="256"/>
      <c r="X193" s="256"/>
      <c r="Y193" s="256"/>
      <c r="Z193" s="256"/>
      <c r="AA193" s="256"/>
      <c r="AB193" s="256"/>
      <c r="AC193" s="256"/>
      <c r="AD193" s="256"/>
      <c r="AE193" s="256"/>
      <c r="AF193" s="256"/>
      <c r="AG193" s="256"/>
      <c r="AH193" s="256"/>
      <c r="AI193" s="256"/>
      <c r="AJ193" s="256"/>
      <c r="AK193" s="256"/>
      <c r="AL193" s="256"/>
      <c r="AM193" s="256"/>
      <c r="AN193" s="256"/>
      <c r="AO193" s="256"/>
      <c r="AP193" s="256"/>
      <c r="AQ193" s="256"/>
      <c r="AR193" s="256"/>
      <c r="AS193" s="256"/>
      <c r="AT193" s="256"/>
      <c r="AU193" s="256"/>
      <c r="AV193" s="255" t="s">
        <v>50</v>
      </c>
      <c r="AW193" s="255" t="s">
        <v>2127</v>
      </c>
      <c r="AX193" s="255" t="s">
        <v>50</v>
      </c>
      <c r="AY193" s="255" t="s">
        <v>50</v>
      </c>
      <c r="AZ193" s="255" t="s">
        <v>50</v>
      </c>
    </row>
    <row r="194" spans="1:52" ht="30" customHeight="1">
      <c r="A194" s="258" t="s">
        <v>751</v>
      </c>
      <c r="B194" s="258" t="s">
        <v>752</v>
      </c>
      <c r="C194" s="258" t="s">
        <v>650</v>
      </c>
      <c r="D194" s="259">
        <v>3.7999999999999999E-2</v>
      </c>
      <c r="E194" s="303"/>
      <c r="F194" s="297"/>
      <c r="G194" s="303"/>
      <c r="H194" s="297"/>
      <c r="I194" s="303"/>
      <c r="J194" s="297"/>
      <c r="K194" s="303"/>
      <c r="L194" s="297"/>
      <c r="M194" s="258" t="s">
        <v>636</v>
      </c>
      <c r="N194" s="255" t="s">
        <v>1939</v>
      </c>
      <c r="O194" s="255" t="s">
        <v>1943</v>
      </c>
      <c r="P194" s="255" t="s">
        <v>598</v>
      </c>
      <c r="Q194" s="255" t="s">
        <v>599</v>
      </c>
      <c r="R194" s="255" t="s">
        <v>599</v>
      </c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256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5" t="s">
        <v>50</v>
      </c>
      <c r="AW194" s="255" t="s">
        <v>2128</v>
      </c>
      <c r="AX194" s="255" t="s">
        <v>50</v>
      </c>
      <c r="AY194" s="255" t="s">
        <v>50</v>
      </c>
      <c r="AZ194" s="255" t="s">
        <v>50</v>
      </c>
    </row>
    <row r="195" spans="1:52" ht="30" customHeight="1">
      <c r="A195" s="258" t="s">
        <v>820</v>
      </c>
      <c r="B195" s="258" t="s">
        <v>50</v>
      </c>
      <c r="C195" s="258" t="s">
        <v>50</v>
      </c>
      <c r="D195" s="259"/>
      <c r="E195" s="303"/>
      <c r="F195" s="297"/>
      <c r="G195" s="303"/>
      <c r="H195" s="297"/>
      <c r="I195" s="303"/>
      <c r="J195" s="297"/>
      <c r="K195" s="303"/>
      <c r="L195" s="297"/>
      <c r="M195" s="258" t="s">
        <v>50</v>
      </c>
      <c r="N195" s="255" t="s">
        <v>617</v>
      </c>
      <c r="O195" s="255" t="s">
        <v>617</v>
      </c>
      <c r="P195" s="255" t="s">
        <v>50</v>
      </c>
      <c r="Q195" s="255" t="s">
        <v>50</v>
      </c>
      <c r="R195" s="255" t="s">
        <v>50</v>
      </c>
      <c r="S195" s="256"/>
      <c r="T195" s="256"/>
      <c r="U195" s="256"/>
      <c r="V195" s="256"/>
      <c r="W195" s="256"/>
      <c r="X195" s="256"/>
      <c r="Y195" s="256"/>
      <c r="Z195" s="256"/>
      <c r="AA195" s="256"/>
      <c r="AB195" s="256"/>
      <c r="AC195" s="256"/>
      <c r="AD195" s="256"/>
      <c r="AE195" s="256"/>
      <c r="AF195" s="256"/>
      <c r="AG195" s="256"/>
      <c r="AH195" s="256"/>
      <c r="AI195" s="256"/>
      <c r="AJ195" s="256"/>
      <c r="AK195" s="256"/>
      <c r="AL195" s="256"/>
      <c r="AM195" s="256"/>
      <c r="AN195" s="256"/>
      <c r="AO195" s="256"/>
      <c r="AP195" s="256"/>
      <c r="AQ195" s="256"/>
      <c r="AR195" s="256"/>
      <c r="AS195" s="256"/>
      <c r="AT195" s="256"/>
      <c r="AU195" s="256"/>
      <c r="AV195" s="255" t="s">
        <v>50</v>
      </c>
      <c r="AW195" s="255" t="s">
        <v>50</v>
      </c>
      <c r="AX195" s="255" t="s">
        <v>50</v>
      </c>
      <c r="AY195" s="255" t="s">
        <v>50</v>
      </c>
      <c r="AZ195" s="255" t="s">
        <v>50</v>
      </c>
    </row>
    <row r="196" spans="1:52" ht="30" customHeight="1">
      <c r="A196" s="259"/>
      <c r="B196" s="259"/>
      <c r="C196" s="259"/>
      <c r="D196" s="259"/>
      <c r="E196" s="303"/>
      <c r="F196" s="297"/>
      <c r="G196" s="303"/>
      <c r="H196" s="297"/>
      <c r="I196" s="303"/>
      <c r="J196" s="297"/>
      <c r="K196" s="303"/>
      <c r="L196" s="297"/>
      <c r="M196" s="259"/>
    </row>
    <row r="197" spans="1:52" ht="30" customHeight="1">
      <c r="A197" s="299" t="s">
        <v>1570</v>
      </c>
      <c r="B197" s="300"/>
      <c r="C197" s="300"/>
      <c r="D197" s="300"/>
      <c r="E197" s="301"/>
      <c r="F197" s="302"/>
      <c r="G197" s="301"/>
      <c r="H197" s="302"/>
      <c r="I197" s="301"/>
      <c r="J197" s="302"/>
      <c r="K197" s="301"/>
      <c r="L197" s="302"/>
      <c r="M197" s="300"/>
      <c r="N197" s="464" t="s">
        <v>1941</v>
      </c>
    </row>
    <row r="198" spans="1:52" ht="30" customHeight="1">
      <c r="A198" s="258" t="s">
        <v>903</v>
      </c>
      <c r="B198" s="258" t="s">
        <v>830</v>
      </c>
      <c r="C198" s="258" t="s">
        <v>831</v>
      </c>
      <c r="D198" s="259">
        <v>0.03</v>
      </c>
      <c r="E198" s="303"/>
      <c r="F198" s="297"/>
      <c r="G198" s="303"/>
      <c r="H198" s="297"/>
      <c r="I198" s="303"/>
      <c r="J198" s="297"/>
      <c r="K198" s="303"/>
      <c r="L198" s="297"/>
      <c r="M198" s="258" t="s">
        <v>823</v>
      </c>
      <c r="N198" s="255" t="s">
        <v>50</v>
      </c>
      <c r="O198" s="255" t="s">
        <v>2129</v>
      </c>
      <c r="P198" s="255" t="s">
        <v>599</v>
      </c>
      <c r="Q198" s="255" t="s">
        <v>599</v>
      </c>
      <c r="R198" s="255" t="s">
        <v>598</v>
      </c>
      <c r="S198" s="256"/>
      <c r="T198" s="256"/>
      <c r="U198" s="256"/>
      <c r="V198" s="256">
        <v>1</v>
      </c>
      <c r="W198" s="256">
        <v>2</v>
      </c>
      <c r="X198" s="256"/>
      <c r="Y198" s="256"/>
      <c r="Z198" s="256"/>
      <c r="AA198" s="256"/>
      <c r="AB198" s="256"/>
      <c r="AC198" s="256"/>
      <c r="AD198" s="256"/>
      <c r="AE198" s="256"/>
      <c r="AF198" s="256"/>
      <c r="AG198" s="256"/>
      <c r="AH198" s="256"/>
      <c r="AI198" s="256"/>
      <c r="AJ198" s="256"/>
      <c r="AK198" s="256"/>
      <c r="AL198" s="256"/>
      <c r="AM198" s="256"/>
      <c r="AN198" s="256"/>
      <c r="AO198" s="256"/>
      <c r="AP198" s="256"/>
      <c r="AQ198" s="256"/>
      <c r="AR198" s="256"/>
      <c r="AS198" s="256"/>
      <c r="AT198" s="256"/>
      <c r="AU198" s="256"/>
      <c r="AV198" s="255" t="s">
        <v>50</v>
      </c>
      <c r="AW198" s="255" t="s">
        <v>2130</v>
      </c>
      <c r="AX198" s="255" t="s">
        <v>50</v>
      </c>
      <c r="AY198" s="255" t="s">
        <v>824</v>
      </c>
      <c r="AZ198" s="255" t="s">
        <v>50</v>
      </c>
    </row>
    <row r="199" spans="1:52" ht="30" customHeight="1">
      <c r="A199" s="258" t="s">
        <v>829</v>
      </c>
      <c r="B199" s="258" t="s">
        <v>830</v>
      </c>
      <c r="C199" s="258" t="s">
        <v>831</v>
      </c>
      <c r="D199" s="259">
        <v>0.01</v>
      </c>
      <c r="E199" s="303"/>
      <c r="F199" s="297"/>
      <c r="G199" s="303"/>
      <c r="H199" s="297"/>
      <c r="I199" s="303"/>
      <c r="J199" s="297"/>
      <c r="K199" s="303"/>
      <c r="L199" s="297"/>
      <c r="M199" s="258" t="s">
        <v>823</v>
      </c>
      <c r="N199" s="255" t="s">
        <v>50</v>
      </c>
      <c r="O199" s="255" t="s">
        <v>2027</v>
      </c>
      <c r="P199" s="255" t="s">
        <v>599</v>
      </c>
      <c r="Q199" s="255" t="s">
        <v>599</v>
      </c>
      <c r="R199" s="255" t="s">
        <v>598</v>
      </c>
      <c r="S199" s="256"/>
      <c r="T199" s="256"/>
      <c r="U199" s="256"/>
      <c r="V199" s="256">
        <v>1</v>
      </c>
      <c r="W199" s="256">
        <v>2</v>
      </c>
      <c r="X199" s="256"/>
      <c r="Y199" s="256"/>
      <c r="Z199" s="256"/>
      <c r="AA199" s="256"/>
      <c r="AB199" s="256"/>
      <c r="AC199" s="256"/>
      <c r="AD199" s="256"/>
      <c r="AE199" s="256"/>
      <c r="AF199" s="256"/>
      <c r="AG199" s="256"/>
      <c r="AH199" s="256"/>
      <c r="AI199" s="256"/>
      <c r="AJ199" s="256"/>
      <c r="AK199" s="256"/>
      <c r="AL199" s="256"/>
      <c r="AM199" s="256"/>
      <c r="AN199" s="256"/>
      <c r="AO199" s="256"/>
      <c r="AP199" s="256"/>
      <c r="AQ199" s="256"/>
      <c r="AR199" s="256"/>
      <c r="AS199" s="256"/>
      <c r="AT199" s="256"/>
      <c r="AU199" s="256"/>
      <c r="AV199" s="255" t="s">
        <v>50</v>
      </c>
      <c r="AW199" s="255" t="s">
        <v>2131</v>
      </c>
      <c r="AX199" s="255" t="s">
        <v>50</v>
      </c>
      <c r="AY199" s="255" t="s">
        <v>824</v>
      </c>
      <c r="AZ199" s="255" t="s">
        <v>50</v>
      </c>
    </row>
    <row r="200" spans="1:52" ht="30" customHeight="1">
      <c r="A200" s="258" t="s">
        <v>760</v>
      </c>
      <c r="B200" s="258" t="s">
        <v>761</v>
      </c>
      <c r="C200" s="258" t="s">
        <v>762</v>
      </c>
      <c r="D200" s="259">
        <v>0.04</v>
      </c>
      <c r="E200" s="303"/>
      <c r="F200" s="297"/>
      <c r="G200" s="303"/>
      <c r="H200" s="297"/>
      <c r="I200" s="303"/>
      <c r="J200" s="297"/>
      <c r="K200" s="303"/>
      <c r="L200" s="297"/>
      <c r="M200" s="258" t="s">
        <v>823</v>
      </c>
      <c r="N200" s="255" t="s">
        <v>50</v>
      </c>
      <c r="O200" s="255" t="s">
        <v>1944</v>
      </c>
      <c r="P200" s="255" t="s">
        <v>598</v>
      </c>
      <c r="Q200" s="255" t="s">
        <v>599</v>
      </c>
      <c r="R200" s="255" t="s">
        <v>599</v>
      </c>
      <c r="S200" s="256"/>
      <c r="T200" s="256"/>
      <c r="U200" s="256"/>
      <c r="V200" s="256"/>
      <c r="W200" s="256">
        <v>2</v>
      </c>
      <c r="X200" s="256"/>
      <c r="Y200" s="256"/>
      <c r="Z200" s="256"/>
      <c r="AA200" s="256"/>
      <c r="AB200" s="256"/>
      <c r="AC200" s="256"/>
      <c r="AD200" s="256"/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5" t="s">
        <v>50</v>
      </c>
      <c r="AW200" s="255" t="s">
        <v>2132</v>
      </c>
      <c r="AX200" s="255" t="s">
        <v>50</v>
      </c>
      <c r="AY200" s="255" t="s">
        <v>824</v>
      </c>
      <c r="AZ200" s="255" t="s">
        <v>50</v>
      </c>
    </row>
    <row r="201" spans="1:52" ht="30" customHeight="1">
      <c r="A201" s="258" t="s">
        <v>857</v>
      </c>
      <c r="B201" s="258" t="s">
        <v>866</v>
      </c>
      <c r="C201" s="258" t="s">
        <v>146</v>
      </c>
      <c r="D201" s="259">
        <v>1</v>
      </c>
      <c r="E201" s="303"/>
      <c r="F201" s="297"/>
      <c r="G201" s="303"/>
      <c r="H201" s="297"/>
      <c r="I201" s="303"/>
      <c r="J201" s="297"/>
      <c r="K201" s="303"/>
      <c r="L201" s="297"/>
      <c r="M201" s="258" t="s">
        <v>823</v>
      </c>
      <c r="N201" s="255" t="s">
        <v>50</v>
      </c>
      <c r="O201" s="255" t="s">
        <v>1900</v>
      </c>
      <c r="P201" s="255" t="s">
        <v>599</v>
      </c>
      <c r="Q201" s="255" t="s">
        <v>599</v>
      </c>
      <c r="R201" s="255" t="s">
        <v>599</v>
      </c>
      <c r="S201" s="256">
        <v>1</v>
      </c>
      <c r="T201" s="256">
        <v>2</v>
      </c>
      <c r="U201" s="256">
        <v>0.03</v>
      </c>
      <c r="V201" s="256"/>
      <c r="W201" s="256">
        <v>2</v>
      </c>
      <c r="X201" s="256"/>
      <c r="Y201" s="256"/>
      <c r="Z201" s="256"/>
      <c r="AA201" s="256"/>
      <c r="AB201" s="256"/>
      <c r="AC201" s="256"/>
      <c r="AD201" s="256"/>
      <c r="AE201" s="256"/>
      <c r="AF201" s="256"/>
      <c r="AG201" s="256"/>
      <c r="AH201" s="256"/>
      <c r="AI201" s="256"/>
      <c r="AJ201" s="256"/>
      <c r="AK201" s="256"/>
      <c r="AL201" s="256"/>
      <c r="AM201" s="256"/>
      <c r="AN201" s="256"/>
      <c r="AO201" s="256"/>
      <c r="AP201" s="256"/>
      <c r="AQ201" s="256"/>
      <c r="AR201" s="256"/>
      <c r="AS201" s="256"/>
      <c r="AT201" s="256"/>
      <c r="AU201" s="256"/>
      <c r="AV201" s="255" t="s">
        <v>50</v>
      </c>
      <c r="AW201" s="255" t="s">
        <v>2133</v>
      </c>
      <c r="AX201" s="255" t="s">
        <v>50</v>
      </c>
      <c r="AY201" s="255" t="s">
        <v>824</v>
      </c>
      <c r="AZ201" s="255" t="s">
        <v>50</v>
      </c>
    </row>
    <row r="202" spans="1:52" ht="30" customHeight="1">
      <c r="A202" s="258" t="s">
        <v>826</v>
      </c>
      <c r="B202" s="258" t="s">
        <v>827</v>
      </c>
      <c r="C202" s="258" t="s">
        <v>146</v>
      </c>
      <c r="D202" s="259">
        <v>1</v>
      </c>
      <c r="E202" s="303"/>
      <c r="F202" s="297"/>
      <c r="G202" s="303"/>
      <c r="H202" s="297"/>
      <c r="I202" s="303"/>
      <c r="J202" s="297"/>
      <c r="K202" s="303"/>
      <c r="L202" s="297"/>
      <c r="M202" s="258" t="s">
        <v>50</v>
      </c>
      <c r="N202" s="255" t="s">
        <v>1941</v>
      </c>
      <c r="O202" s="255" t="s">
        <v>2094</v>
      </c>
      <c r="P202" s="255" t="s">
        <v>599</v>
      </c>
      <c r="Q202" s="255" t="s">
        <v>599</v>
      </c>
      <c r="R202" s="255" t="s">
        <v>599</v>
      </c>
      <c r="S202" s="256">
        <v>3</v>
      </c>
      <c r="T202" s="256">
        <v>2</v>
      </c>
      <c r="U202" s="256">
        <v>1</v>
      </c>
      <c r="V202" s="256"/>
      <c r="W202" s="256"/>
      <c r="X202" s="256"/>
      <c r="Y202" s="256"/>
      <c r="Z202" s="256"/>
      <c r="AA202" s="256"/>
      <c r="AB202" s="256"/>
      <c r="AC202" s="256"/>
      <c r="AD202" s="256"/>
      <c r="AE202" s="256"/>
      <c r="AF202" s="256"/>
      <c r="AG202" s="256"/>
      <c r="AH202" s="256"/>
      <c r="AI202" s="256"/>
      <c r="AJ202" s="256"/>
      <c r="AK202" s="256"/>
      <c r="AL202" s="256"/>
      <c r="AM202" s="256"/>
      <c r="AN202" s="256"/>
      <c r="AO202" s="256"/>
      <c r="AP202" s="256"/>
      <c r="AQ202" s="256"/>
      <c r="AR202" s="256"/>
      <c r="AS202" s="256"/>
      <c r="AT202" s="256"/>
      <c r="AU202" s="256"/>
      <c r="AV202" s="255" t="s">
        <v>50</v>
      </c>
      <c r="AW202" s="255" t="s">
        <v>2134</v>
      </c>
      <c r="AX202" s="255" t="s">
        <v>50</v>
      </c>
      <c r="AY202" s="255" t="s">
        <v>50</v>
      </c>
      <c r="AZ202" s="255" t="s">
        <v>50</v>
      </c>
    </row>
    <row r="203" spans="1:52" ht="30" customHeight="1">
      <c r="A203" s="258" t="s">
        <v>820</v>
      </c>
      <c r="B203" s="258" t="s">
        <v>50</v>
      </c>
      <c r="C203" s="258" t="s">
        <v>50</v>
      </c>
      <c r="D203" s="259"/>
      <c r="E203" s="303"/>
      <c r="F203" s="297"/>
      <c r="G203" s="303"/>
      <c r="H203" s="297"/>
      <c r="I203" s="303"/>
      <c r="J203" s="297"/>
      <c r="K203" s="303"/>
      <c r="L203" s="297"/>
      <c r="M203" s="258" t="s">
        <v>50</v>
      </c>
      <c r="N203" s="255" t="s">
        <v>617</v>
      </c>
      <c r="O203" s="255" t="s">
        <v>617</v>
      </c>
      <c r="P203" s="255" t="s">
        <v>50</v>
      </c>
      <c r="Q203" s="255" t="s">
        <v>50</v>
      </c>
      <c r="R203" s="255" t="s">
        <v>50</v>
      </c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256"/>
      <c r="AE203" s="256"/>
      <c r="AF203" s="256"/>
      <c r="AG203" s="256"/>
      <c r="AH203" s="256"/>
      <c r="AI203" s="256"/>
      <c r="AJ203" s="256"/>
      <c r="AK203" s="256"/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5" t="s">
        <v>50</v>
      </c>
      <c r="AW203" s="255" t="s">
        <v>50</v>
      </c>
      <c r="AX203" s="255" t="s">
        <v>50</v>
      </c>
      <c r="AY203" s="255" t="s">
        <v>50</v>
      </c>
      <c r="AZ203" s="255" t="s">
        <v>50</v>
      </c>
    </row>
    <row r="204" spans="1:52" ht="30" customHeight="1">
      <c r="A204" s="259"/>
      <c r="B204" s="259"/>
      <c r="C204" s="259"/>
      <c r="D204" s="259"/>
      <c r="E204" s="303"/>
      <c r="F204" s="297"/>
      <c r="G204" s="303"/>
      <c r="H204" s="297"/>
      <c r="I204" s="303"/>
      <c r="J204" s="297"/>
      <c r="K204" s="303"/>
      <c r="L204" s="297"/>
      <c r="M204" s="259"/>
    </row>
    <row r="205" spans="1:52" ht="30" customHeight="1">
      <c r="A205" s="299" t="s">
        <v>1571</v>
      </c>
      <c r="B205" s="300"/>
      <c r="C205" s="300"/>
      <c r="D205" s="300"/>
      <c r="E205" s="301"/>
      <c r="F205" s="302"/>
      <c r="G205" s="301"/>
      <c r="H205" s="302"/>
      <c r="I205" s="301"/>
      <c r="J205" s="302"/>
      <c r="K205" s="301"/>
      <c r="L205" s="302"/>
      <c r="M205" s="300"/>
      <c r="N205" s="464" t="s">
        <v>1942</v>
      </c>
    </row>
    <row r="206" spans="1:52" ht="30" customHeight="1">
      <c r="A206" s="258" t="s">
        <v>903</v>
      </c>
      <c r="B206" s="258" t="s">
        <v>830</v>
      </c>
      <c r="C206" s="258" t="s">
        <v>831</v>
      </c>
      <c r="D206" s="259">
        <v>3.2000000000000001E-2</v>
      </c>
      <c r="E206" s="303"/>
      <c r="F206" s="297"/>
      <c r="G206" s="303"/>
      <c r="H206" s="297"/>
      <c r="I206" s="303"/>
      <c r="J206" s="297"/>
      <c r="K206" s="303"/>
      <c r="L206" s="297"/>
      <c r="M206" s="258" t="s">
        <v>823</v>
      </c>
      <c r="N206" s="255" t="s">
        <v>50</v>
      </c>
      <c r="O206" s="255" t="s">
        <v>2129</v>
      </c>
      <c r="P206" s="255" t="s">
        <v>599</v>
      </c>
      <c r="Q206" s="255" t="s">
        <v>599</v>
      </c>
      <c r="R206" s="255" t="s">
        <v>598</v>
      </c>
      <c r="S206" s="256"/>
      <c r="T206" s="256"/>
      <c r="U206" s="256"/>
      <c r="V206" s="256">
        <v>1</v>
      </c>
      <c r="W206" s="256">
        <v>2</v>
      </c>
      <c r="X206" s="256"/>
      <c r="Y206" s="256"/>
      <c r="Z206" s="256"/>
      <c r="AA206" s="256"/>
      <c r="AB206" s="256"/>
      <c r="AC206" s="256"/>
      <c r="AD206" s="256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5" t="s">
        <v>50</v>
      </c>
      <c r="AW206" s="255" t="s">
        <v>2135</v>
      </c>
      <c r="AX206" s="255" t="s">
        <v>50</v>
      </c>
      <c r="AY206" s="255" t="s">
        <v>824</v>
      </c>
      <c r="AZ206" s="255" t="s">
        <v>50</v>
      </c>
    </row>
    <row r="207" spans="1:52" ht="30" customHeight="1">
      <c r="A207" s="258" t="s">
        <v>829</v>
      </c>
      <c r="B207" s="258" t="s">
        <v>830</v>
      </c>
      <c r="C207" s="258" t="s">
        <v>831</v>
      </c>
      <c r="D207" s="259">
        <v>1.0999999999999999E-2</v>
      </c>
      <c r="E207" s="303"/>
      <c r="F207" s="297"/>
      <c r="G207" s="303"/>
      <c r="H207" s="297"/>
      <c r="I207" s="303"/>
      <c r="J207" s="297"/>
      <c r="K207" s="303"/>
      <c r="L207" s="297"/>
      <c r="M207" s="258" t="s">
        <v>823</v>
      </c>
      <c r="N207" s="255" t="s">
        <v>50</v>
      </c>
      <c r="O207" s="255" t="s">
        <v>2027</v>
      </c>
      <c r="P207" s="255" t="s">
        <v>599</v>
      </c>
      <c r="Q207" s="255" t="s">
        <v>599</v>
      </c>
      <c r="R207" s="255" t="s">
        <v>598</v>
      </c>
      <c r="S207" s="256"/>
      <c r="T207" s="256"/>
      <c r="U207" s="256"/>
      <c r="V207" s="256">
        <v>1</v>
      </c>
      <c r="W207" s="256">
        <v>2</v>
      </c>
      <c r="X207" s="256"/>
      <c r="Y207" s="256"/>
      <c r="Z207" s="256"/>
      <c r="AA207" s="256"/>
      <c r="AB207" s="256"/>
      <c r="AC207" s="256"/>
      <c r="AD207" s="256"/>
      <c r="AE207" s="256"/>
      <c r="AF207" s="256"/>
      <c r="AG207" s="256"/>
      <c r="AH207" s="256"/>
      <c r="AI207" s="256"/>
      <c r="AJ207" s="256"/>
      <c r="AK207" s="256"/>
      <c r="AL207" s="256"/>
      <c r="AM207" s="256"/>
      <c r="AN207" s="256"/>
      <c r="AO207" s="256"/>
      <c r="AP207" s="256"/>
      <c r="AQ207" s="256"/>
      <c r="AR207" s="256"/>
      <c r="AS207" s="256"/>
      <c r="AT207" s="256"/>
      <c r="AU207" s="256"/>
      <c r="AV207" s="255" t="s">
        <v>50</v>
      </c>
      <c r="AW207" s="255" t="s">
        <v>2136</v>
      </c>
      <c r="AX207" s="255" t="s">
        <v>50</v>
      </c>
      <c r="AY207" s="255" t="s">
        <v>824</v>
      </c>
      <c r="AZ207" s="255" t="s">
        <v>50</v>
      </c>
    </row>
    <row r="208" spans="1:52" ht="30" customHeight="1">
      <c r="A208" s="258" t="s">
        <v>857</v>
      </c>
      <c r="B208" s="258" t="s">
        <v>866</v>
      </c>
      <c r="C208" s="258" t="s">
        <v>146</v>
      </c>
      <c r="D208" s="259">
        <v>1</v>
      </c>
      <c r="E208" s="303"/>
      <c r="F208" s="297"/>
      <c r="G208" s="303"/>
      <c r="H208" s="297"/>
      <c r="I208" s="303"/>
      <c r="J208" s="297"/>
      <c r="K208" s="303"/>
      <c r="L208" s="297"/>
      <c r="M208" s="258" t="s">
        <v>823</v>
      </c>
      <c r="N208" s="255" t="s">
        <v>50</v>
      </c>
      <c r="O208" s="255" t="s">
        <v>1900</v>
      </c>
      <c r="P208" s="255" t="s">
        <v>599</v>
      </c>
      <c r="Q208" s="255" t="s">
        <v>599</v>
      </c>
      <c r="R208" s="255" t="s">
        <v>599</v>
      </c>
      <c r="S208" s="256">
        <v>1</v>
      </c>
      <c r="T208" s="256">
        <v>2</v>
      </c>
      <c r="U208" s="256">
        <v>0.03</v>
      </c>
      <c r="V208" s="256"/>
      <c r="W208" s="256">
        <v>2</v>
      </c>
      <c r="X208" s="256"/>
      <c r="Y208" s="256"/>
      <c r="Z208" s="256"/>
      <c r="AA208" s="256"/>
      <c r="AB208" s="256"/>
      <c r="AC208" s="256"/>
      <c r="AD208" s="256"/>
      <c r="AE208" s="256"/>
      <c r="AF208" s="256"/>
      <c r="AG208" s="256"/>
      <c r="AH208" s="256"/>
      <c r="AI208" s="256"/>
      <c r="AJ208" s="256"/>
      <c r="AK208" s="256"/>
      <c r="AL208" s="256"/>
      <c r="AM208" s="256"/>
      <c r="AN208" s="256"/>
      <c r="AO208" s="256"/>
      <c r="AP208" s="256"/>
      <c r="AQ208" s="256"/>
      <c r="AR208" s="256"/>
      <c r="AS208" s="256"/>
      <c r="AT208" s="256"/>
      <c r="AU208" s="256"/>
      <c r="AV208" s="255" t="s">
        <v>50</v>
      </c>
      <c r="AW208" s="255" t="s">
        <v>2137</v>
      </c>
      <c r="AX208" s="255" t="s">
        <v>50</v>
      </c>
      <c r="AY208" s="255" t="s">
        <v>824</v>
      </c>
      <c r="AZ208" s="255" t="s">
        <v>50</v>
      </c>
    </row>
    <row r="209" spans="1:52" ht="30" customHeight="1">
      <c r="A209" s="258" t="s">
        <v>826</v>
      </c>
      <c r="B209" s="258" t="s">
        <v>827</v>
      </c>
      <c r="C209" s="258" t="s">
        <v>146</v>
      </c>
      <c r="D209" s="259">
        <v>1</v>
      </c>
      <c r="E209" s="303"/>
      <c r="F209" s="297"/>
      <c r="G209" s="303"/>
      <c r="H209" s="297"/>
      <c r="I209" s="303"/>
      <c r="J209" s="297"/>
      <c r="K209" s="303"/>
      <c r="L209" s="297"/>
      <c r="M209" s="258" t="s">
        <v>50</v>
      </c>
      <c r="N209" s="255" t="s">
        <v>1942</v>
      </c>
      <c r="O209" s="255" t="s">
        <v>2094</v>
      </c>
      <c r="P209" s="255" t="s">
        <v>599</v>
      </c>
      <c r="Q209" s="255" t="s">
        <v>599</v>
      </c>
      <c r="R209" s="255" t="s">
        <v>599</v>
      </c>
      <c r="S209" s="256">
        <v>3</v>
      </c>
      <c r="T209" s="256">
        <v>2</v>
      </c>
      <c r="U209" s="256">
        <v>1</v>
      </c>
      <c r="V209" s="256"/>
      <c r="W209" s="256"/>
      <c r="X209" s="256"/>
      <c r="Y209" s="256"/>
      <c r="Z209" s="256"/>
      <c r="AA209" s="256"/>
      <c r="AB209" s="256"/>
      <c r="AC209" s="256"/>
      <c r="AD209" s="256"/>
      <c r="AE209" s="256"/>
      <c r="AF209" s="256"/>
      <c r="AG209" s="256"/>
      <c r="AH209" s="256"/>
      <c r="AI209" s="256"/>
      <c r="AJ209" s="256"/>
      <c r="AK209" s="256"/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5" t="s">
        <v>50</v>
      </c>
      <c r="AW209" s="255" t="s">
        <v>2138</v>
      </c>
      <c r="AX209" s="255" t="s">
        <v>50</v>
      </c>
      <c r="AY209" s="255" t="s">
        <v>50</v>
      </c>
      <c r="AZ209" s="255" t="s">
        <v>50</v>
      </c>
    </row>
    <row r="210" spans="1:52" ht="30" customHeight="1">
      <c r="A210" s="258" t="s">
        <v>820</v>
      </c>
      <c r="B210" s="258" t="s">
        <v>50</v>
      </c>
      <c r="C210" s="258" t="s">
        <v>50</v>
      </c>
      <c r="D210" s="259"/>
      <c r="E210" s="303"/>
      <c r="F210" s="297"/>
      <c r="G210" s="303"/>
      <c r="H210" s="297"/>
      <c r="I210" s="303"/>
      <c r="J210" s="297"/>
      <c r="K210" s="303"/>
      <c r="L210" s="297"/>
      <c r="M210" s="258" t="s">
        <v>50</v>
      </c>
      <c r="N210" s="255" t="s">
        <v>617</v>
      </c>
      <c r="O210" s="255" t="s">
        <v>617</v>
      </c>
      <c r="P210" s="255" t="s">
        <v>50</v>
      </c>
      <c r="Q210" s="255" t="s">
        <v>50</v>
      </c>
      <c r="R210" s="255" t="s">
        <v>50</v>
      </c>
      <c r="S210" s="256"/>
      <c r="T210" s="256"/>
      <c r="U210" s="256"/>
      <c r="V210" s="256"/>
      <c r="W210" s="256"/>
      <c r="X210" s="256"/>
      <c r="Y210" s="256"/>
      <c r="Z210" s="256"/>
      <c r="AA210" s="256"/>
      <c r="AB210" s="256"/>
      <c r="AC210" s="256"/>
      <c r="AD210" s="256"/>
      <c r="AE210" s="256"/>
      <c r="AF210" s="256"/>
      <c r="AG210" s="256"/>
      <c r="AH210" s="256"/>
      <c r="AI210" s="256"/>
      <c r="AJ210" s="256"/>
      <c r="AK210" s="256"/>
      <c r="AL210" s="256"/>
      <c r="AM210" s="256"/>
      <c r="AN210" s="256"/>
      <c r="AO210" s="256"/>
      <c r="AP210" s="256"/>
      <c r="AQ210" s="256"/>
      <c r="AR210" s="256"/>
      <c r="AS210" s="256"/>
      <c r="AT210" s="256"/>
      <c r="AU210" s="256"/>
      <c r="AV210" s="255" t="s">
        <v>50</v>
      </c>
      <c r="AW210" s="255" t="s">
        <v>50</v>
      </c>
      <c r="AX210" s="255" t="s">
        <v>50</v>
      </c>
      <c r="AY210" s="255" t="s">
        <v>50</v>
      </c>
      <c r="AZ210" s="255" t="s">
        <v>50</v>
      </c>
    </row>
    <row r="211" spans="1:52" ht="30" customHeight="1">
      <c r="A211" s="259"/>
      <c r="B211" s="259"/>
      <c r="C211" s="259"/>
      <c r="D211" s="259"/>
      <c r="E211" s="303"/>
      <c r="F211" s="297"/>
      <c r="G211" s="303"/>
      <c r="H211" s="297"/>
      <c r="I211" s="303"/>
      <c r="J211" s="297"/>
      <c r="K211" s="303"/>
      <c r="L211" s="297"/>
      <c r="M211" s="259"/>
    </row>
    <row r="212" spans="1:52" ht="30" customHeight="1">
      <c r="A212" s="299" t="s">
        <v>1572</v>
      </c>
      <c r="B212" s="300"/>
      <c r="C212" s="300"/>
      <c r="D212" s="300"/>
      <c r="E212" s="301"/>
      <c r="F212" s="302"/>
      <c r="G212" s="301"/>
      <c r="H212" s="302"/>
      <c r="I212" s="301"/>
      <c r="J212" s="302"/>
      <c r="K212" s="301"/>
      <c r="L212" s="302"/>
      <c r="M212" s="300"/>
      <c r="N212" s="464" t="s">
        <v>1943</v>
      </c>
    </row>
    <row r="213" spans="1:52" ht="30" customHeight="1">
      <c r="A213" s="258" t="s">
        <v>731</v>
      </c>
      <c r="B213" s="258" t="s">
        <v>872</v>
      </c>
      <c r="C213" s="258" t="s">
        <v>805</v>
      </c>
      <c r="D213" s="259">
        <v>346</v>
      </c>
      <c r="E213" s="303"/>
      <c r="F213" s="297"/>
      <c r="G213" s="303"/>
      <c r="H213" s="297"/>
      <c r="I213" s="303"/>
      <c r="J213" s="297"/>
      <c r="K213" s="303"/>
      <c r="L213" s="297"/>
      <c r="M213" s="258" t="s">
        <v>823</v>
      </c>
      <c r="N213" s="255" t="s">
        <v>50</v>
      </c>
      <c r="O213" s="255" t="s">
        <v>2080</v>
      </c>
      <c r="P213" s="255" t="s">
        <v>599</v>
      </c>
      <c r="Q213" s="255" t="s">
        <v>599</v>
      </c>
      <c r="R213" s="255" t="s">
        <v>598</v>
      </c>
      <c r="S213" s="256"/>
      <c r="T213" s="256"/>
      <c r="U213" s="256"/>
      <c r="V213" s="256">
        <v>1</v>
      </c>
      <c r="W213" s="256"/>
      <c r="X213" s="256"/>
      <c r="Y213" s="256"/>
      <c r="Z213" s="256"/>
      <c r="AA213" s="256"/>
      <c r="AB213" s="256"/>
      <c r="AC213" s="256"/>
      <c r="AD213" s="256"/>
      <c r="AE213" s="256"/>
      <c r="AF213" s="256"/>
      <c r="AG213" s="256"/>
      <c r="AH213" s="256"/>
      <c r="AI213" s="256"/>
      <c r="AJ213" s="256"/>
      <c r="AK213" s="256"/>
      <c r="AL213" s="256"/>
      <c r="AM213" s="256"/>
      <c r="AN213" s="256"/>
      <c r="AO213" s="256"/>
      <c r="AP213" s="256"/>
      <c r="AQ213" s="256"/>
      <c r="AR213" s="256"/>
      <c r="AS213" s="256"/>
      <c r="AT213" s="256"/>
      <c r="AU213" s="256"/>
      <c r="AV213" s="255" t="s">
        <v>50</v>
      </c>
      <c r="AW213" s="255" t="s">
        <v>2139</v>
      </c>
      <c r="AX213" s="255" t="s">
        <v>50</v>
      </c>
      <c r="AY213" s="255" t="s">
        <v>824</v>
      </c>
      <c r="AZ213" s="255" t="s">
        <v>50</v>
      </c>
    </row>
    <row r="214" spans="1:52" ht="30" customHeight="1">
      <c r="A214" s="258" t="s">
        <v>708</v>
      </c>
      <c r="B214" s="258" t="s">
        <v>873</v>
      </c>
      <c r="C214" s="258" t="s">
        <v>650</v>
      </c>
      <c r="D214" s="259">
        <v>0.51749999999999996</v>
      </c>
      <c r="E214" s="303"/>
      <c r="F214" s="297"/>
      <c r="G214" s="303"/>
      <c r="H214" s="297"/>
      <c r="I214" s="303"/>
      <c r="J214" s="297"/>
      <c r="K214" s="303"/>
      <c r="L214" s="297"/>
      <c r="M214" s="258" t="s">
        <v>823</v>
      </c>
      <c r="N214" s="255" t="s">
        <v>50</v>
      </c>
      <c r="O214" s="255" t="s">
        <v>2140</v>
      </c>
      <c r="P214" s="255" t="s">
        <v>599</v>
      </c>
      <c r="Q214" s="255" t="s">
        <v>599</v>
      </c>
      <c r="R214" s="255" t="s">
        <v>598</v>
      </c>
      <c r="S214" s="256"/>
      <c r="T214" s="256"/>
      <c r="U214" s="256"/>
      <c r="V214" s="256">
        <v>1</v>
      </c>
      <c r="W214" s="256"/>
      <c r="X214" s="256"/>
      <c r="Y214" s="256"/>
      <c r="Z214" s="256"/>
      <c r="AA214" s="256"/>
      <c r="AB214" s="256"/>
      <c r="AC214" s="256"/>
      <c r="AD214" s="256"/>
      <c r="AE214" s="256"/>
      <c r="AF214" s="256"/>
      <c r="AG214" s="256"/>
      <c r="AH214" s="256"/>
      <c r="AI214" s="256"/>
      <c r="AJ214" s="256"/>
      <c r="AK214" s="256"/>
      <c r="AL214" s="256"/>
      <c r="AM214" s="256"/>
      <c r="AN214" s="256"/>
      <c r="AO214" s="256"/>
      <c r="AP214" s="256"/>
      <c r="AQ214" s="256"/>
      <c r="AR214" s="256"/>
      <c r="AS214" s="256"/>
      <c r="AT214" s="256"/>
      <c r="AU214" s="256"/>
      <c r="AV214" s="255" t="s">
        <v>50</v>
      </c>
      <c r="AW214" s="255" t="s">
        <v>2141</v>
      </c>
      <c r="AX214" s="255" t="s">
        <v>50</v>
      </c>
      <c r="AY214" s="255" t="s">
        <v>824</v>
      </c>
      <c r="AZ214" s="255" t="s">
        <v>50</v>
      </c>
    </row>
    <row r="215" spans="1:52" ht="30" customHeight="1">
      <c r="A215" s="258" t="s">
        <v>706</v>
      </c>
      <c r="B215" s="258" t="s">
        <v>896</v>
      </c>
      <c r="C215" s="258" t="s">
        <v>650</v>
      </c>
      <c r="D215" s="259">
        <v>0.59470000000000001</v>
      </c>
      <c r="E215" s="303"/>
      <c r="F215" s="297"/>
      <c r="G215" s="303"/>
      <c r="H215" s="297"/>
      <c r="I215" s="303"/>
      <c r="J215" s="297"/>
      <c r="K215" s="303"/>
      <c r="L215" s="297"/>
      <c r="M215" s="258" t="s">
        <v>823</v>
      </c>
      <c r="N215" s="255" t="s">
        <v>50</v>
      </c>
      <c r="O215" s="255" t="s">
        <v>2142</v>
      </c>
      <c r="P215" s="255" t="s">
        <v>599</v>
      </c>
      <c r="Q215" s="255" t="s">
        <v>599</v>
      </c>
      <c r="R215" s="255" t="s">
        <v>598</v>
      </c>
      <c r="S215" s="256"/>
      <c r="T215" s="256"/>
      <c r="U215" s="256"/>
      <c r="V215" s="256">
        <v>1</v>
      </c>
      <c r="W215" s="256"/>
      <c r="X215" s="256"/>
      <c r="Y215" s="256"/>
      <c r="Z215" s="256"/>
      <c r="AA215" s="256"/>
      <c r="AB215" s="256"/>
      <c r="AC215" s="256"/>
      <c r="AD215" s="256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5" t="s">
        <v>50</v>
      </c>
      <c r="AW215" s="255" t="s">
        <v>2143</v>
      </c>
      <c r="AX215" s="255" t="s">
        <v>50</v>
      </c>
      <c r="AY215" s="255" t="s">
        <v>824</v>
      </c>
      <c r="AZ215" s="255" t="s">
        <v>50</v>
      </c>
    </row>
    <row r="216" spans="1:52" ht="30" customHeight="1">
      <c r="A216" s="258" t="s">
        <v>753</v>
      </c>
      <c r="B216" s="258" t="s">
        <v>754</v>
      </c>
      <c r="C216" s="258" t="s">
        <v>650</v>
      </c>
      <c r="D216" s="259">
        <v>1</v>
      </c>
      <c r="E216" s="303"/>
      <c r="F216" s="297"/>
      <c r="G216" s="303"/>
      <c r="H216" s="297"/>
      <c r="I216" s="303"/>
      <c r="J216" s="297"/>
      <c r="K216" s="303"/>
      <c r="L216" s="297"/>
      <c r="M216" s="258" t="s">
        <v>823</v>
      </c>
      <c r="N216" s="255" t="s">
        <v>50</v>
      </c>
      <c r="O216" s="255" t="s">
        <v>1945</v>
      </c>
      <c r="P216" s="255" t="s">
        <v>598</v>
      </c>
      <c r="Q216" s="255" t="s">
        <v>599</v>
      </c>
      <c r="R216" s="255" t="s">
        <v>599</v>
      </c>
      <c r="S216" s="256"/>
      <c r="T216" s="256"/>
      <c r="U216" s="256"/>
      <c r="V216" s="256">
        <v>1</v>
      </c>
      <c r="W216" s="256"/>
      <c r="X216" s="256"/>
      <c r="Y216" s="256"/>
      <c r="Z216" s="256"/>
      <c r="AA216" s="256"/>
      <c r="AB216" s="256"/>
      <c r="AC216" s="256"/>
      <c r="AD216" s="256"/>
      <c r="AE216" s="256"/>
      <c r="AF216" s="256"/>
      <c r="AG216" s="256"/>
      <c r="AH216" s="256"/>
      <c r="AI216" s="256"/>
      <c r="AJ216" s="256"/>
      <c r="AK216" s="256"/>
      <c r="AL216" s="256"/>
      <c r="AM216" s="256"/>
      <c r="AN216" s="256"/>
      <c r="AO216" s="256"/>
      <c r="AP216" s="256"/>
      <c r="AQ216" s="256"/>
      <c r="AR216" s="256"/>
      <c r="AS216" s="256"/>
      <c r="AT216" s="256"/>
      <c r="AU216" s="256"/>
      <c r="AV216" s="255" t="s">
        <v>50</v>
      </c>
      <c r="AW216" s="255" t="s">
        <v>2144</v>
      </c>
      <c r="AX216" s="255" t="s">
        <v>50</v>
      </c>
      <c r="AY216" s="255" t="s">
        <v>824</v>
      </c>
      <c r="AZ216" s="255" t="s">
        <v>50</v>
      </c>
    </row>
    <row r="217" spans="1:52" ht="30" customHeight="1">
      <c r="A217" s="258" t="s">
        <v>826</v>
      </c>
      <c r="B217" s="258" t="s">
        <v>827</v>
      </c>
      <c r="C217" s="258" t="s">
        <v>146</v>
      </c>
      <c r="D217" s="259">
        <v>1</v>
      </c>
      <c r="E217" s="303"/>
      <c r="F217" s="297"/>
      <c r="G217" s="303"/>
      <c r="H217" s="297"/>
      <c r="I217" s="303"/>
      <c r="J217" s="297"/>
      <c r="K217" s="303"/>
      <c r="L217" s="297"/>
      <c r="M217" s="258" t="s">
        <v>50</v>
      </c>
      <c r="N217" s="255" t="s">
        <v>1943</v>
      </c>
      <c r="O217" s="255" t="s">
        <v>1900</v>
      </c>
      <c r="P217" s="255" t="s">
        <v>599</v>
      </c>
      <c r="Q217" s="255" t="s">
        <v>599</v>
      </c>
      <c r="R217" s="255" t="s">
        <v>599</v>
      </c>
      <c r="S217" s="256">
        <v>3</v>
      </c>
      <c r="T217" s="256">
        <v>2</v>
      </c>
      <c r="U217" s="256">
        <v>1</v>
      </c>
      <c r="V217" s="256"/>
      <c r="W217" s="256"/>
      <c r="X217" s="256"/>
      <c r="Y217" s="256"/>
      <c r="Z217" s="256"/>
      <c r="AA217" s="256"/>
      <c r="AB217" s="256"/>
      <c r="AC217" s="256"/>
      <c r="AD217" s="256"/>
      <c r="AE217" s="256"/>
      <c r="AF217" s="256"/>
      <c r="AG217" s="256"/>
      <c r="AH217" s="256"/>
      <c r="AI217" s="256"/>
      <c r="AJ217" s="256"/>
      <c r="AK217" s="256"/>
      <c r="AL217" s="256"/>
      <c r="AM217" s="256"/>
      <c r="AN217" s="256"/>
      <c r="AO217" s="256"/>
      <c r="AP217" s="256"/>
      <c r="AQ217" s="256"/>
      <c r="AR217" s="256"/>
      <c r="AS217" s="256"/>
      <c r="AT217" s="256"/>
      <c r="AU217" s="256"/>
      <c r="AV217" s="255" t="s">
        <v>50</v>
      </c>
      <c r="AW217" s="255" t="s">
        <v>2145</v>
      </c>
      <c r="AX217" s="255" t="s">
        <v>50</v>
      </c>
      <c r="AY217" s="255" t="s">
        <v>50</v>
      </c>
      <c r="AZ217" s="255" t="s">
        <v>50</v>
      </c>
    </row>
    <row r="218" spans="1:52" ht="30" customHeight="1">
      <c r="A218" s="258" t="s">
        <v>820</v>
      </c>
      <c r="B218" s="258" t="s">
        <v>50</v>
      </c>
      <c r="C218" s="258" t="s">
        <v>50</v>
      </c>
      <c r="D218" s="259"/>
      <c r="E218" s="303"/>
      <c r="F218" s="297"/>
      <c r="G218" s="303"/>
      <c r="H218" s="297"/>
      <c r="I218" s="303"/>
      <c r="J218" s="297"/>
      <c r="K218" s="303"/>
      <c r="L218" s="297"/>
      <c r="M218" s="258" t="s">
        <v>50</v>
      </c>
      <c r="N218" s="255" t="s">
        <v>617</v>
      </c>
      <c r="O218" s="255" t="s">
        <v>617</v>
      </c>
      <c r="P218" s="255" t="s">
        <v>50</v>
      </c>
      <c r="Q218" s="255" t="s">
        <v>50</v>
      </c>
      <c r="R218" s="255" t="s">
        <v>50</v>
      </c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256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5" t="s">
        <v>50</v>
      </c>
      <c r="AW218" s="255" t="s">
        <v>50</v>
      </c>
      <c r="AX218" s="255" t="s">
        <v>50</v>
      </c>
      <c r="AY218" s="255" t="s">
        <v>50</v>
      </c>
      <c r="AZ218" s="255" t="s">
        <v>50</v>
      </c>
    </row>
    <row r="219" spans="1:52" ht="30" customHeight="1">
      <c r="A219" s="259"/>
      <c r="B219" s="259"/>
      <c r="C219" s="259"/>
      <c r="D219" s="259"/>
      <c r="E219" s="303"/>
      <c r="F219" s="297"/>
      <c r="G219" s="303"/>
      <c r="H219" s="297"/>
      <c r="I219" s="303"/>
      <c r="J219" s="297"/>
      <c r="K219" s="303"/>
      <c r="L219" s="297"/>
      <c r="M219" s="259"/>
    </row>
    <row r="220" spans="1:52" ht="30" customHeight="1">
      <c r="A220" s="299" t="s">
        <v>1573</v>
      </c>
      <c r="B220" s="300"/>
      <c r="C220" s="300"/>
      <c r="D220" s="300"/>
      <c r="E220" s="301"/>
      <c r="F220" s="302"/>
      <c r="G220" s="301"/>
      <c r="H220" s="302"/>
      <c r="I220" s="301"/>
      <c r="J220" s="302"/>
      <c r="K220" s="301"/>
      <c r="L220" s="302"/>
      <c r="M220" s="300"/>
      <c r="N220" s="464" t="s">
        <v>1944</v>
      </c>
    </row>
    <row r="221" spans="1:52" ht="30" customHeight="1">
      <c r="A221" s="258" t="s">
        <v>760</v>
      </c>
      <c r="B221" s="258" t="s">
        <v>761</v>
      </c>
      <c r="C221" s="258" t="s">
        <v>610</v>
      </c>
      <c r="D221" s="259">
        <v>0.20849999999999999</v>
      </c>
      <c r="E221" s="303"/>
      <c r="F221" s="297"/>
      <c r="G221" s="303"/>
      <c r="H221" s="297"/>
      <c r="I221" s="303"/>
      <c r="J221" s="297"/>
      <c r="K221" s="303"/>
      <c r="L221" s="297"/>
      <c r="M221" s="258" t="s">
        <v>382</v>
      </c>
      <c r="N221" s="255" t="s">
        <v>1944</v>
      </c>
      <c r="O221" s="255" t="s">
        <v>2146</v>
      </c>
      <c r="P221" s="255" t="s">
        <v>599</v>
      </c>
      <c r="Q221" s="255" t="s">
        <v>599</v>
      </c>
      <c r="R221" s="255" t="s">
        <v>598</v>
      </c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256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5" t="s">
        <v>50</v>
      </c>
      <c r="AW221" s="255" t="s">
        <v>2147</v>
      </c>
      <c r="AX221" s="255" t="s">
        <v>50</v>
      </c>
      <c r="AY221" s="255" t="s">
        <v>50</v>
      </c>
      <c r="AZ221" s="255" t="s">
        <v>50</v>
      </c>
    </row>
    <row r="222" spans="1:52" ht="30" customHeight="1">
      <c r="A222" s="258" t="s">
        <v>904</v>
      </c>
      <c r="B222" s="258" t="s">
        <v>905</v>
      </c>
      <c r="C222" s="258" t="s">
        <v>869</v>
      </c>
      <c r="D222" s="259">
        <v>5</v>
      </c>
      <c r="E222" s="303"/>
      <c r="F222" s="297"/>
      <c r="G222" s="303"/>
      <c r="H222" s="297"/>
      <c r="I222" s="303"/>
      <c r="J222" s="297"/>
      <c r="K222" s="303"/>
      <c r="L222" s="297"/>
      <c r="M222" s="258" t="s">
        <v>50</v>
      </c>
      <c r="N222" s="255" t="s">
        <v>1944</v>
      </c>
      <c r="O222" s="255" t="s">
        <v>2148</v>
      </c>
      <c r="P222" s="255" t="s">
        <v>599</v>
      </c>
      <c r="Q222" s="255" t="s">
        <v>599</v>
      </c>
      <c r="R222" s="255" t="s">
        <v>598</v>
      </c>
      <c r="S222" s="256"/>
      <c r="T222" s="256"/>
      <c r="U222" s="256"/>
      <c r="V222" s="256">
        <v>1</v>
      </c>
      <c r="W222" s="256"/>
      <c r="X222" s="256"/>
      <c r="Y222" s="256"/>
      <c r="Z222" s="256"/>
      <c r="AA222" s="256"/>
      <c r="AB222" s="256"/>
      <c r="AC222" s="256"/>
      <c r="AD222" s="256"/>
      <c r="AE222" s="256"/>
      <c r="AF222" s="256"/>
      <c r="AG222" s="256"/>
      <c r="AH222" s="256"/>
      <c r="AI222" s="256"/>
      <c r="AJ222" s="256"/>
      <c r="AK222" s="256"/>
      <c r="AL222" s="256"/>
      <c r="AM222" s="256"/>
      <c r="AN222" s="256"/>
      <c r="AO222" s="256"/>
      <c r="AP222" s="256"/>
      <c r="AQ222" s="256"/>
      <c r="AR222" s="256"/>
      <c r="AS222" s="256"/>
      <c r="AT222" s="256"/>
      <c r="AU222" s="256"/>
      <c r="AV222" s="255" t="s">
        <v>50</v>
      </c>
      <c r="AW222" s="255" t="s">
        <v>2149</v>
      </c>
      <c r="AX222" s="255" t="s">
        <v>50</v>
      </c>
      <c r="AY222" s="255" t="s">
        <v>50</v>
      </c>
      <c r="AZ222" s="255" t="s">
        <v>50</v>
      </c>
    </row>
    <row r="223" spans="1:52" ht="30" customHeight="1">
      <c r="A223" s="258" t="s">
        <v>871</v>
      </c>
      <c r="B223" s="258" t="s">
        <v>906</v>
      </c>
      <c r="C223" s="258" t="s">
        <v>146</v>
      </c>
      <c r="D223" s="259">
        <v>1</v>
      </c>
      <c r="E223" s="303"/>
      <c r="F223" s="297"/>
      <c r="G223" s="303"/>
      <c r="H223" s="297"/>
      <c r="I223" s="303"/>
      <c r="J223" s="297"/>
      <c r="K223" s="303"/>
      <c r="L223" s="297"/>
      <c r="M223" s="258" t="s">
        <v>50</v>
      </c>
      <c r="N223" s="255" t="s">
        <v>1944</v>
      </c>
      <c r="O223" s="255" t="s">
        <v>1900</v>
      </c>
      <c r="P223" s="255" t="s">
        <v>599</v>
      </c>
      <c r="Q223" s="255" t="s">
        <v>599</v>
      </c>
      <c r="R223" s="255" t="s">
        <v>599</v>
      </c>
      <c r="S223" s="256">
        <v>0</v>
      </c>
      <c r="T223" s="256">
        <v>0</v>
      </c>
      <c r="U223" s="256">
        <v>0.21</v>
      </c>
      <c r="V223" s="256"/>
      <c r="W223" s="256"/>
      <c r="X223" s="256"/>
      <c r="Y223" s="256"/>
      <c r="Z223" s="256"/>
      <c r="AA223" s="256"/>
      <c r="AB223" s="256"/>
      <c r="AC223" s="256"/>
      <c r="AD223" s="256"/>
      <c r="AE223" s="256"/>
      <c r="AF223" s="256"/>
      <c r="AG223" s="256"/>
      <c r="AH223" s="256"/>
      <c r="AI223" s="256"/>
      <c r="AJ223" s="256"/>
      <c r="AK223" s="256"/>
      <c r="AL223" s="256"/>
      <c r="AM223" s="256"/>
      <c r="AN223" s="256"/>
      <c r="AO223" s="256"/>
      <c r="AP223" s="256"/>
      <c r="AQ223" s="256"/>
      <c r="AR223" s="256"/>
      <c r="AS223" s="256"/>
      <c r="AT223" s="256"/>
      <c r="AU223" s="256"/>
      <c r="AV223" s="255" t="s">
        <v>50</v>
      </c>
      <c r="AW223" s="255" t="s">
        <v>2150</v>
      </c>
      <c r="AX223" s="255" t="s">
        <v>50</v>
      </c>
      <c r="AY223" s="255" t="s">
        <v>50</v>
      </c>
      <c r="AZ223" s="255" t="s">
        <v>50</v>
      </c>
    </row>
    <row r="224" spans="1:52" ht="30" customHeight="1">
      <c r="A224" s="258" t="s">
        <v>907</v>
      </c>
      <c r="B224" s="258" t="s">
        <v>830</v>
      </c>
      <c r="C224" s="258" t="s">
        <v>831</v>
      </c>
      <c r="D224" s="259">
        <v>1</v>
      </c>
      <c r="E224" s="303"/>
      <c r="F224" s="297"/>
      <c r="G224" s="303"/>
      <c r="H224" s="297"/>
      <c r="I224" s="303"/>
      <c r="J224" s="297"/>
      <c r="K224" s="303"/>
      <c r="L224" s="297"/>
      <c r="M224" s="258" t="s">
        <v>50</v>
      </c>
      <c r="N224" s="255" t="s">
        <v>1944</v>
      </c>
      <c r="O224" s="255" t="s">
        <v>2151</v>
      </c>
      <c r="P224" s="255" t="s">
        <v>599</v>
      </c>
      <c r="Q224" s="255" t="s">
        <v>599</v>
      </c>
      <c r="R224" s="255" t="s">
        <v>598</v>
      </c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256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5" t="s">
        <v>50</v>
      </c>
      <c r="AW224" s="255" t="s">
        <v>2152</v>
      </c>
      <c r="AX224" s="255" t="s">
        <v>598</v>
      </c>
      <c r="AY224" s="255" t="s">
        <v>50</v>
      </c>
      <c r="AZ224" s="255" t="s">
        <v>50</v>
      </c>
    </row>
    <row r="225" spans="1:52" ht="30" customHeight="1">
      <c r="A225" s="258" t="s">
        <v>820</v>
      </c>
      <c r="B225" s="258" t="s">
        <v>50</v>
      </c>
      <c r="C225" s="258" t="s">
        <v>50</v>
      </c>
      <c r="D225" s="259"/>
      <c r="E225" s="303"/>
      <c r="F225" s="297"/>
      <c r="G225" s="303"/>
      <c r="H225" s="297"/>
      <c r="I225" s="303"/>
      <c r="J225" s="297"/>
      <c r="K225" s="303"/>
      <c r="L225" s="297"/>
      <c r="M225" s="258" t="s">
        <v>50</v>
      </c>
      <c r="N225" s="255" t="s">
        <v>617</v>
      </c>
      <c r="O225" s="255" t="s">
        <v>617</v>
      </c>
      <c r="P225" s="255" t="s">
        <v>50</v>
      </c>
      <c r="Q225" s="255" t="s">
        <v>50</v>
      </c>
      <c r="R225" s="255" t="s">
        <v>50</v>
      </c>
      <c r="S225" s="256"/>
      <c r="T225" s="256"/>
      <c r="U225" s="256"/>
      <c r="V225" s="256"/>
      <c r="W225" s="256"/>
      <c r="X225" s="256"/>
      <c r="Y225" s="256"/>
      <c r="Z225" s="256"/>
      <c r="AA225" s="256"/>
      <c r="AB225" s="256"/>
      <c r="AC225" s="256"/>
      <c r="AD225" s="256"/>
      <c r="AE225" s="256"/>
      <c r="AF225" s="256"/>
      <c r="AG225" s="256"/>
      <c r="AH225" s="256"/>
      <c r="AI225" s="256"/>
      <c r="AJ225" s="256"/>
      <c r="AK225" s="256"/>
      <c r="AL225" s="256"/>
      <c r="AM225" s="256"/>
      <c r="AN225" s="256"/>
      <c r="AO225" s="256"/>
      <c r="AP225" s="256"/>
      <c r="AQ225" s="256"/>
      <c r="AR225" s="256"/>
      <c r="AS225" s="256"/>
      <c r="AT225" s="256"/>
      <c r="AU225" s="256"/>
      <c r="AV225" s="255" t="s">
        <v>50</v>
      </c>
      <c r="AW225" s="255" t="s">
        <v>50</v>
      </c>
      <c r="AX225" s="255" t="s">
        <v>50</v>
      </c>
      <c r="AY225" s="255" t="s">
        <v>50</v>
      </c>
      <c r="AZ225" s="255" t="s">
        <v>50</v>
      </c>
    </row>
    <row r="226" spans="1:52" ht="30" customHeight="1">
      <c r="A226" s="259"/>
      <c r="B226" s="259"/>
      <c r="C226" s="259"/>
      <c r="D226" s="259"/>
      <c r="E226" s="303"/>
      <c r="F226" s="297"/>
      <c r="G226" s="303"/>
      <c r="H226" s="297"/>
      <c r="I226" s="303"/>
      <c r="J226" s="297"/>
      <c r="K226" s="303"/>
      <c r="L226" s="297"/>
      <c r="M226" s="259"/>
    </row>
    <row r="227" spans="1:52" ht="30" customHeight="1">
      <c r="A227" s="299" t="s">
        <v>1574</v>
      </c>
      <c r="B227" s="300"/>
      <c r="C227" s="300"/>
      <c r="D227" s="300"/>
      <c r="E227" s="301"/>
      <c r="F227" s="302"/>
      <c r="G227" s="301"/>
      <c r="H227" s="302"/>
      <c r="I227" s="301"/>
      <c r="J227" s="302"/>
      <c r="K227" s="301"/>
      <c r="L227" s="302"/>
      <c r="M227" s="300"/>
      <c r="N227" s="464" t="s">
        <v>1945</v>
      </c>
    </row>
    <row r="228" spans="1:52" ht="30" customHeight="1">
      <c r="A228" s="258" t="s">
        <v>897</v>
      </c>
      <c r="B228" s="258" t="s">
        <v>830</v>
      </c>
      <c r="C228" s="258" t="s">
        <v>831</v>
      </c>
      <c r="D228" s="259">
        <v>1.29</v>
      </c>
      <c r="E228" s="303"/>
      <c r="F228" s="297"/>
      <c r="G228" s="303"/>
      <c r="H228" s="297"/>
      <c r="I228" s="303"/>
      <c r="J228" s="297"/>
      <c r="K228" s="303"/>
      <c r="L228" s="297"/>
      <c r="M228" s="258" t="s">
        <v>50</v>
      </c>
      <c r="N228" s="255" t="s">
        <v>1945</v>
      </c>
      <c r="O228" s="255" t="s">
        <v>2153</v>
      </c>
      <c r="P228" s="255" t="s">
        <v>599</v>
      </c>
      <c r="Q228" s="255" t="s">
        <v>599</v>
      </c>
      <c r="R228" s="255" t="s">
        <v>598</v>
      </c>
      <c r="S228" s="256"/>
      <c r="T228" s="256"/>
      <c r="U228" s="256"/>
      <c r="V228" s="256"/>
      <c r="W228" s="256"/>
      <c r="X228" s="256"/>
      <c r="Y228" s="256"/>
      <c r="Z228" s="256"/>
      <c r="AA228" s="256"/>
      <c r="AB228" s="256"/>
      <c r="AC228" s="256"/>
      <c r="AD228" s="256"/>
      <c r="AE228" s="256"/>
      <c r="AF228" s="256"/>
      <c r="AG228" s="256"/>
      <c r="AH228" s="256"/>
      <c r="AI228" s="256"/>
      <c r="AJ228" s="256"/>
      <c r="AK228" s="256"/>
      <c r="AL228" s="256"/>
      <c r="AM228" s="256"/>
      <c r="AN228" s="256"/>
      <c r="AO228" s="256"/>
      <c r="AP228" s="256"/>
      <c r="AQ228" s="256"/>
      <c r="AR228" s="256"/>
      <c r="AS228" s="256"/>
      <c r="AT228" s="256"/>
      <c r="AU228" s="256"/>
      <c r="AV228" s="255" t="s">
        <v>50</v>
      </c>
      <c r="AW228" s="255" t="s">
        <v>2154</v>
      </c>
      <c r="AX228" s="255" t="s">
        <v>50</v>
      </c>
      <c r="AY228" s="255" t="s">
        <v>50</v>
      </c>
      <c r="AZ228" s="255" t="s">
        <v>50</v>
      </c>
    </row>
    <row r="229" spans="1:52" ht="30" customHeight="1">
      <c r="A229" s="258" t="s">
        <v>829</v>
      </c>
      <c r="B229" s="258" t="s">
        <v>830</v>
      </c>
      <c r="C229" s="258" t="s">
        <v>831</v>
      </c>
      <c r="D229" s="259">
        <v>1.36</v>
      </c>
      <c r="E229" s="303"/>
      <c r="F229" s="297"/>
      <c r="G229" s="303"/>
      <c r="H229" s="297"/>
      <c r="I229" s="303"/>
      <c r="J229" s="297"/>
      <c r="K229" s="303"/>
      <c r="L229" s="297"/>
      <c r="M229" s="258" t="s">
        <v>50</v>
      </c>
      <c r="N229" s="255" t="s">
        <v>1945</v>
      </c>
      <c r="O229" s="255" t="s">
        <v>2027</v>
      </c>
      <c r="P229" s="255" t="s">
        <v>599</v>
      </c>
      <c r="Q229" s="255" t="s">
        <v>599</v>
      </c>
      <c r="R229" s="255" t="s">
        <v>598</v>
      </c>
      <c r="S229" s="256"/>
      <c r="T229" s="256"/>
      <c r="U229" s="256"/>
      <c r="V229" s="256"/>
      <c r="W229" s="256"/>
      <c r="X229" s="256"/>
      <c r="Y229" s="256"/>
      <c r="Z229" s="256"/>
      <c r="AA229" s="256"/>
      <c r="AB229" s="256"/>
      <c r="AC229" s="256"/>
      <c r="AD229" s="256"/>
      <c r="AE229" s="256"/>
      <c r="AF229" s="256"/>
      <c r="AG229" s="256"/>
      <c r="AH229" s="256"/>
      <c r="AI229" s="256"/>
      <c r="AJ229" s="256"/>
      <c r="AK229" s="256"/>
      <c r="AL229" s="256"/>
      <c r="AM229" s="256"/>
      <c r="AN229" s="256"/>
      <c r="AO229" s="256"/>
      <c r="AP229" s="256"/>
      <c r="AQ229" s="256"/>
      <c r="AR229" s="256"/>
      <c r="AS229" s="256"/>
      <c r="AT229" s="256"/>
      <c r="AU229" s="256"/>
      <c r="AV229" s="255" t="s">
        <v>50</v>
      </c>
      <c r="AW229" s="255" t="s">
        <v>2155</v>
      </c>
      <c r="AX229" s="255" t="s">
        <v>50</v>
      </c>
      <c r="AY229" s="255" t="s">
        <v>50</v>
      </c>
      <c r="AZ229" s="255" t="s">
        <v>50</v>
      </c>
    </row>
    <row r="230" spans="1:52" ht="30" customHeight="1">
      <c r="A230" s="258" t="s">
        <v>820</v>
      </c>
      <c r="B230" s="258" t="s">
        <v>50</v>
      </c>
      <c r="C230" s="258" t="s">
        <v>50</v>
      </c>
      <c r="D230" s="259"/>
      <c r="E230" s="303"/>
      <c r="F230" s="297"/>
      <c r="G230" s="303"/>
      <c r="H230" s="297"/>
      <c r="I230" s="303"/>
      <c r="J230" s="297"/>
      <c r="K230" s="303"/>
      <c r="L230" s="297"/>
      <c r="M230" s="258" t="s">
        <v>50</v>
      </c>
      <c r="N230" s="255" t="s">
        <v>617</v>
      </c>
      <c r="O230" s="255" t="s">
        <v>617</v>
      </c>
      <c r="P230" s="255" t="s">
        <v>50</v>
      </c>
      <c r="Q230" s="255" t="s">
        <v>50</v>
      </c>
      <c r="R230" s="255" t="s">
        <v>50</v>
      </c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256"/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5" t="s">
        <v>50</v>
      </c>
      <c r="AW230" s="255" t="s">
        <v>50</v>
      </c>
      <c r="AX230" s="255" t="s">
        <v>50</v>
      </c>
      <c r="AY230" s="255" t="s">
        <v>50</v>
      </c>
      <c r="AZ230" s="255" t="s">
        <v>50</v>
      </c>
    </row>
    <row r="231" spans="1:52" ht="30" customHeight="1">
      <c r="A231" s="259"/>
      <c r="B231" s="259"/>
      <c r="C231" s="259"/>
      <c r="D231" s="259"/>
      <c r="E231" s="303"/>
      <c r="F231" s="297"/>
      <c r="G231" s="303"/>
      <c r="H231" s="297"/>
      <c r="I231" s="303"/>
      <c r="J231" s="297"/>
      <c r="K231" s="303"/>
      <c r="L231" s="297"/>
      <c r="M231" s="259"/>
    </row>
    <row r="232" spans="1:52" ht="30" customHeight="1">
      <c r="A232" s="299" t="s">
        <v>2156</v>
      </c>
      <c r="B232" s="300"/>
      <c r="C232" s="300"/>
      <c r="D232" s="300"/>
      <c r="E232" s="301"/>
      <c r="F232" s="302"/>
      <c r="G232" s="301"/>
      <c r="H232" s="302"/>
      <c r="I232" s="301"/>
      <c r="J232" s="302"/>
      <c r="K232" s="301"/>
      <c r="L232" s="302"/>
      <c r="M232" s="300"/>
      <c r="N232" s="464" t="s">
        <v>1946</v>
      </c>
    </row>
    <row r="233" spans="1:52" ht="30" customHeight="1">
      <c r="A233" s="258" t="s">
        <v>1517</v>
      </c>
      <c r="B233" s="258" t="s">
        <v>1518</v>
      </c>
      <c r="C233" s="258" t="s">
        <v>705</v>
      </c>
      <c r="D233" s="259">
        <v>6</v>
      </c>
      <c r="E233" s="303"/>
      <c r="F233" s="297"/>
      <c r="G233" s="303"/>
      <c r="H233" s="297"/>
      <c r="I233" s="303"/>
      <c r="J233" s="297"/>
      <c r="K233" s="303"/>
      <c r="L233" s="297"/>
      <c r="M233" s="258" t="s">
        <v>823</v>
      </c>
      <c r="N233" s="255" t="s">
        <v>50</v>
      </c>
      <c r="O233" s="255" t="s">
        <v>2157</v>
      </c>
      <c r="P233" s="255" t="s">
        <v>599</v>
      </c>
      <c r="Q233" s="255" t="s">
        <v>599</v>
      </c>
      <c r="R233" s="255" t="s">
        <v>598</v>
      </c>
      <c r="S233" s="256"/>
      <c r="T233" s="256"/>
      <c r="U233" s="256"/>
      <c r="V233" s="256">
        <v>1</v>
      </c>
      <c r="W233" s="256"/>
      <c r="X233" s="256"/>
      <c r="Y233" s="256"/>
      <c r="Z233" s="256"/>
      <c r="AA233" s="256"/>
      <c r="AB233" s="256"/>
      <c r="AC233" s="256"/>
      <c r="AD233" s="256"/>
      <c r="AE233" s="256"/>
      <c r="AF233" s="256"/>
      <c r="AG233" s="256"/>
      <c r="AH233" s="256"/>
      <c r="AI233" s="256"/>
      <c r="AJ233" s="256"/>
      <c r="AK233" s="256"/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5" t="s">
        <v>50</v>
      </c>
      <c r="AW233" s="255" t="s">
        <v>2158</v>
      </c>
      <c r="AX233" s="255" t="s">
        <v>50</v>
      </c>
      <c r="AY233" s="255" t="s">
        <v>824</v>
      </c>
      <c r="AZ233" s="255" t="s">
        <v>50</v>
      </c>
    </row>
    <row r="234" spans="1:52" ht="30" customHeight="1">
      <c r="A234" s="258" t="s">
        <v>898</v>
      </c>
      <c r="B234" s="258" t="s">
        <v>899</v>
      </c>
      <c r="C234" s="258" t="s">
        <v>704</v>
      </c>
      <c r="D234" s="259">
        <v>3</v>
      </c>
      <c r="E234" s="303"/>
      <c r="F234" s="297"/>
      <c r="G234" s="303"/>
      <c r="H234" s="297"/>
      <c r="I234" s="303"/>
      <c r="J234" s="297"/>
      <c r="K234" s="303"/>
      <c r="L234" s="297"/>
      <c r="M234" s="258" t="s">
        <v>823</v>
      </c>
      <c r="N234" s="255" t="s">
        <v>50</v>
      </c>
      <c r="O234" s="255" t="s">
        <v>2159</v>
      </c>
      <c r="P234" s="255" t="s">
        <v>599</v>
      </c>
      <c r="Q234" s="255" t="s">
        <v>599</v>
      </c>
      <c r="R234" s="255" t="s">
        <v>598</v>
      </c>
      <c r="S234" s="256"/>
      <c r="T234" s="256"/>
      <c r="U234" s="256"/>
      <c r="V234" s="256">
        <v>1</v>
      </c>
      <c r="W234" s="256"/>
      <c r="X234" s="256"/>
      <c r="Y234" s="256"/>
      <c r="Z234" s="256"/>
      <c r="AA234" s="256"/>
      <c r="AB234" s="256"/>
      <c r="AC234" s="256"/>
      <c r="AD234" s="256"/>
      <c r="AE234" s="256"/>
      <c r="AF234" s="256"/>
      <c r="AG234" s="256"/>
      <c r="AH234" s="256"/>
      <c r="AI234" s="256"/>
      <c r="AJ234" s="256"/>
      <c r="AK234" s="256"/>
      <c r="AL234" s="256"/>
      <c r="AM234" s="256"/>
      <c r="AN234" s="256"/>
      <c r="AO234" s="256"/>
      <c r="AP234" s="256"/>
      <c r="AQ234" s="256"/>
      <c r="AR234" s="256"/>
      <c r="AS234" s="256"/>
      <c r="AT234" s="256"/>
      <c r="AU234" s="256"/>
      <c r="AV234" s="255" t="s">
        <v>50</v>
      </c>
      <c r="AW234" s="255" t="s">
        <v>2160</v>
      </c>
      <c r="AX234" s="255" t="s">
        <v>50</v>
      </c>
      <c r="AY234" s="255" t="s">
        <v>824</v>
      </c>
      <c r="AZ234" s="255" t="s">
        <v>50</v>
      </c>
    </row>
    <row r="235" spans="1:52" ht="30" customHeight="1">
      <c r="A235" s="258" t="s">
        <v>900</v>
      </c>
      <c r="B235" s="258" t="s">
        <v>2161</v>
      </c>
      <c r="C235" s="258" t="s">
        <v>146</v>
      </c>
      <c r="D235" s="259">
        <v>1</v>
      </c>
      <c r="E235" s="303"/>
      <c r="F235" s="297"/>
      <c r="G235" s="303"/>
      <c r="H235" s="297"/>
      <c r="I235" s="303"/>
      <c r="J235" s="297"/>
      <c r="K235" s="303"/>
      <c r="L235" s="297"/>
      <c r="M235" s="258" t="s">
        <v>50</v>
      </c>
      <c r="N235" s="255" t="s">
        <v>1946</v>
      </c>
      <c r="O235" s="255" t="s">
        <v>1900</v>
      </c>
      <c r="P235" s="255" t="s">
        <v>599</v>
      </c>
      <c r="Q235" s="255" t="s">
        <v>599</v>
      </c>
      <c r="R235" s="255" t="s">
        <v>599</v>
      </c>
      <c r="S235" s="256">
        <v>0</v>
      </c>
      <c r="T235" s="256">
        <v>2</v>
      </c>
      <c r="U235" s="256">
        <v>0.36</v>
      </c>
      <c r="V235" s="256"/>
      <c r="W235" s="256"/>
      <c r="X235" s="256"/>
      <c r="Y235" s="256"/>
      <c r="Z235" s="256"/>
      <c r="AA235" s="256"/>
      <c r="AB235" s="256"/>
      <c r="AC235" s="256"/>
      <c r="AD235" s="256"/>
      <c r="AE235" s="256"/>
      <c r="AF235" s="256"/>
      <c r="AG235" s="256"/>
      <c r="AH235" s="256"/>
      <c r="AI235" s="256"/>
      <c r="AJ235" s="256"/>
      <c r="AK235" s="256"/>
      <c r="AL235" s="256"/>
      <c r="AM235" s="256"/>
      <c r="AN235" s="256"/>
      <c r="AO235" s="256"/>
      <c r="AP235" s="256"/>
      <c r="AQ235" s="256"/>
      <c r="AR235" s="256"/>
      <c r="AS235" s="256"/>
      <c r="AT235" s="256"/>
      <c r="AU235" s="256"/>
      <c r="AV235" s="255" t="s">
        <v>50</v>
      </c>
      <c r="AW235" s="255" t="s">
        <v>2162</v>
      </c>
      <c r="AX235" s="255" t="s">
        <v>50</v>
      </c>
      <c r="AY235" s="255" t="s">
        <v>50</v>
      </c>
      <c r="AZ235" s="255" t="s">
        <v>50</v>
      </c>
    </row>
    <row r="236" spans="1:52" ht="30" customHeight="1">
      <c r="A236" s="258" t="s">
        <v>887</v>
      </c>
      <c r="B236" s="258" t="s">
        <v>888</v>
      </c>
      <c r="C236" s="258" t="s">
        <v>596</v>
      </c>
      <c r="D236" s="259">
        <v>16</v>
      </c>
      <c r="E236" s="303"/>
      <c r="F236" s="297"/>
      <c r="G236" s="303"/>
      <c r="H236" s="297"/>
      <c r="I236" s="303"/>
      <c r="J236" s="297"/>
      <c r="K236" s="303"/>
      <c r="L236" s="297"/>
      <c r="M236" s="258" t="s">
        <v>823</v>
      </c>
      <c r="N236" s="255" t="s">
        <v>50</v>
      </c>
      <c r="O236" s="255" t="s">
        <v>2113</v>
      </c>
      <c r="P236" s="255" t="s">
        <v>599</v>
      </c>
      <c r="Q236" s="255" t="s">
        <v>599</v>
      </c>
      <c r="R236" s="255" t="s">
        <v>598</v>
      </c>
      <c r="S236" s="256"/>
      <c r="T236" s="256"/>
      <c r="U236" s="256"/>
      <c r="V236" s="256"/>
      <c r="W236" s="256">
        <v>2</v>
      </c>
      <c r="X236" s="256"/>
      <c r="Y236" s="256"/>
      <c r="Z236" s="256"/>
      <c r="AA236" s="256"/>
      <c r="AB236" s="256"/>
      <c r="AC236" s="256"/>
      <c r="AD236" s="256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5" t="s">
        <v>50</v>
      </c>
      <c r="AW236" s="255" t="s">
        <v>2163</v>
      </c>
      <c r="AX236" s="255" t="s">
        <v>50</v>
      </c>
      <c r="AY236" s="255" t="s">
        <v>824</v>
      </c>
      <c r="AZ236" s="255" t="s">
        <v>50</v>
      </c>
    </row>
    <row r="237" spans="1:52" ht="30" customHeight="1">
      <c r="A237" s="258" t="s">
        <v>901</v>
      </c>
      <c r="B237" s="258" t="s">
        <v>2115</v>
      </c>
      <c r="C237" s="258" t="s">
        <v>146</v>
      </c>
      <c r="D237" s="259">
        <v>1</v>
      </c>
      <c r="E237" s="303"/>
      <c r="F237" s="297"/>
      <c r="G237" s="303"/>
      <c r="H237" s="297"/>
      <c r="I237" s="303"/>
      <c r="J237" s="297"/>
      <c r="K237" s="303"/>
      <c r="L237" s="297"/>
      <c r="M237" s="258" t="s">
        <v>50</v>
      </c>
      <c r="N237" s="255" t="s">
        <v>1946</v>
      </c>
      <c r="O237" s="255" t="s">
        <v>2094</v>
      </c>
      <c r="P237" s="255" t="s">
        <v>599</v>
      </c>
      <c r="Q237" s="255" t="s">
        <v>599</v>
      </c>
      <c r="R237" s="255" t="s">
        <v>599</v>
      </c>
      <c r="S237" s="256">
        <v>0</v>
      </c>
      <c r="T237" s="256">
        <v>2</v>
      </c>
      <c r="U237" s="256">
        <v>0.1</v>
      </c>
      <c r="V237" s="256"/>
      <c r="W237" s="256"/>
      <c r="X237" s="256"/>
      <c r="Y237" s="256"/>
      <c r="Z237" s="256"/>
      <c r="AA237" s="256"/>
      <c r="AB237" s="256"/>
      <c r="AC237" s="256"/>
      <c r="AD237" s="256"/>
      <c r="AE237" s="256"/>
      <c r="AF237" s="256"/>
      <c r="AG237" s="256"/>
      <c r="AH237" s="256"/>
      <c r="AI237" s="256"/>
      <c r="AJ237" s="256"/>
      <c r="AK237" s="256"/>
      <c r="AL237" s="256"/>
      <c r="AM237" s="256"/>
      <c r="AN237" s="256"/>
      <c r="AO237" s="256"/>
      <c r="AP237" s="256"/>
      <c r="AQ237" s="256"/>
      <c r="AR237" s="256"/>
      <c r="AS237" s="256"/>
      <c r="AT237" s="256"/>
      <c r="AU237" s="256"/>
      <c r="AV237" s="255" t="s">
        <v>50</v>
      </c>
      <c r="AW237" s="255" t="s">
        <v>2164</v>
      </c>
      <c r="AX237" s="255" t="s">
        <v>50</v>
      </c>
      <c r="AY237" s="255" t="s">
        <v>50</v>
      </c>
      <c r="AZ237" s="255" t="s">
        <v>50</v>
      </c>
    </row>
    <row r="238" spans="1:52" ht="30" customHeight="1">
      <c r="A238" s="258" t="s">
        <v>890</v>
      </c>
      <c r="B238" s="258" t="s">
        <v>891</v>
      </c>
      <c r="C238" s="258" t="s">
        <v>704</v>
      </c>
      <c r="D238" s="259">
        <v>6</v>
      </c>
      <c r="E238" s="303"/>
      <c r="F238" s="297"/>
      <c r="G238" s="303"/>
      <c r="H238" s="297"/>
      <c r="I238" s="303"/>
      <c r="J238" s="297"/>
      <c r="K238" s="303"/>
      <c r="L238" s="297"/>
      <c r="M238" s="258" t="s">
        <v>823</v>
      </c>
      <c r="N238" s="255" t="s">
        <v>50</v>
      </c>
      <c r="O238" s="255" t="s">
        <v>2117</v>
      </c>
      <c r="P238" s="255" t="s">
        <v>599</v>
      </c>
      <c r="Q238" s="255" t="s">
        <v>599</v>
      </c>
      <c r="R238" s="255" t="s">
        <v>598</v>
      </c>
      <c r="S238" s="256"/>
      <c r="T238" s="256"/>
      <c r="U238" s="256"/>
      <c r="V238" s="256"/>
      <c r="W238" s="256"/>
      <c r="X238" s="256">
        <v>3</v>
      </c>
      <c r="Y238" s="256"/>
      <c r="Z238" s="256"/>
      <c r="AA238" s="256"/>
      <c r="AB238" s="256"/>
      <c r="AC238" s="256"/>
      <c r="AD238" s="256"/>
      <c r="AE238" s="256"/>
      <c r="AF238" s="256"/>
      <c r="AG238" s="256"/>
      <c r="AH238" s="256"/>
      <c r="AI238" s="256"/>
      <c r="AJ238" s="256"/>
      <c r="AK238" s="256"/>
      <c r="AL238" s="256"/>
      <c r="AM238" s="256"/>
      <c r="AN238" s="256"/>
      <c r="AO238" s="256"/>
      <c r="AP238" s="256"/>
      <c r="AQ238" s="256"/>
      <c r="AR238" s="256"/>
      <c r="AS238" s="256"/>
      <c r="AT238" s="256"/>
      <c r="AU238" s="256"/>
      <c r="AV238" s="255" t="s">
        <v>50</v>
      </c>
      <c r="AW238" s="255" t="s">
        <v>2165</v>
      </c>
      <c r="AX238" s="255" t="s">
        <v>50</v>
      </c>
      <c r="AY238" s="255" t="s">
        <v>824</v>
      </c>
      <c r="AZ238" s="255" t="s">
        <v>50</v>
      </c>
    </row>
    <row r="239" spans="1:52" ht="30" customHeight="1">
      <c r="A239" s="258" t="s">
        <v>890</v>
      </c>
      <c r="B239" s="258" t="s">
        <v>892</v>
      </c>
      <c r="C239" s="258" t="s">
        <v>704</v>
      </c>
      <c r="D239" s="259">
        <v>0.99</v>
      </c>
      <c r="E239" s="303"/>
      <c r="F239" s="297"/>
      <c r="G239" s="303"/>
      <c r="H239" s="297"/>
      <c r="I239" s="303"/>
      <c r="J239" s="297"/>
      <c r="K239" s="303"/>
      <c r="L239" s="297"/>
      <c r="M239" s="258" t="s">
        <v>823</v>
      </c>
      <c r="N239" s="255" t="s">
        <v>50</v>
      </c>
      <c r="O239" s="255" t="s">
        <v>2119</v>
      </c>
      <c r="P239" s="255" t="s">
        <v>599</v>
      </c>
      <c r="Q239" s="255" t="s">
        <v>599</v>
      </c>
      <c r="R239" s="255" t="s">
        <v>598</v>
      </c>
      <c r="S239" s="256"/>
      <c r="T239" s="256"/>
      <c r="U239" s="256"/>
      <c r="V239" s="256"/>
      <c r="W239" s="256"/>
      <c r="X239" s="256">
        <v>3</v>
      </c>
      <c r="Y239" s="256"/>
      <c r="Z239" s="256"/>
      <c r="AA239" s="256"/>
      <c r="AB239" s="256"/>
      <c r="AC239" s="256"/>
      <c r="AD239" s="256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5" t="s">
        <v>50</v>
      </c>
      <c r="AW239" s="255" t="s">
        <v>2166</v>
      </c>
      <c r="AX239" s="255" t="s">
        <v>50</v>
      </c>
      <c r="AY239" s="255" t="s">
        <v>824</v>
      </c>
      <c r="AZ239" s="255" t="s">
        <v>50</v>
      </c>
    </row>
    <row r="240" spans="1:52" ht="30" customHeight="1">
      <c r="A240" s="258" t="s">
        <v>902</v>
      </c>
      <c r="B240" s="258" t="s">
        <v>911</v>
      </c>
      <c r="C240" s="258" t="s">
        <v>146</v>
      </c>
      <c r="D240" s="259">
        <v>1</v>
      </c>
      <c r="E240" s="303"/>
      <c r="F240" s="297"/>
      <c r="G240" s="303"/>
      <c r="H240" s="297"/>
      <c r="I240" s="303"/>
      <c r="J240" s="297"/>
      <c r="K240" s="303"/>
      <c r="L240" s="297"/>
      <c r="M240" s="258" t="s">
        <v>50</v>
      </c>
      <c r="N240" s="255" t="s">
        <v>1946</v>
      </c>
      <c r="O240" s="255" t="s">
        <v>2122</v>
      </c>
      <c r="P240" s="255" t="s">
        <v>599</v>
      </c>
      <c r="Q240" s="255" t="s">
        <v>599</v>
      </c>
      <c r="R240" s="255" t="s">
        <v>599</v>
      </c>
      <c r="S240" s="256">
        <v>0</v>
      </c>
      <c r="T240" s="256">
        <v>2</v>
      </c>
      <c r="U240" s="256">
        <v>0.2</v>
      </c>
      <c r="V240" s="256"/>
      <c r="W240" s="256"/>
      <c r="X240" s="256"/>
      <c r="Y240" s="256"/>
      <c r="Z240" s="256"/>
      <c r="AA240" s="256"/>
      <c r="AB240" s="256"/>
      <c r="AC240" s="256"/>
      <c r="AD240" s="256"/>
      <c r="AE240" s="256"/>
      <c r="AF240" s="256"/>
      <c r="AG240" s="256"/>
      <c r="AH240" s="256"/>
      <c r="AI240" s="256"/>
      <c r="AJ240" s="256"/>
      <c r="AK240" s="256"/>
      <c r="AL240" s="256"/>
      <c r="AM240" s="256"/>
      <c r="AN240" s="256"/>
      <c r="AO240" s="256"/>
      <c r="AP240" s="256"/>
      <c r="AQ240" s="256"/>
      <c r="AR240" s="256"/>
      <c r="AS240" s="256"/>
      <c r="AT240" s="256"/>
      <c r="AU240" s="256"/>
      <c r="AV240" s="255" t="s">
        <v>50</v>
      </c>
      <c r="AW240" s="255" t="s">
        <v>2167</v>
      </c>
      <c r="AX240" s="255" t="s">
        <v>50</v>
      </c>
      <c r="AY240" s="255" t="s">
        <v>50</v>
      </c>
      <c r="AZ240" s="255" t="s">
        <v>50</v>
      </c>
    </row>
    <row r="241" spans="1:52" ht="30" customHeight="1">
      <c r="A241" s="258" t="s">
        <v>820</v>
      </c>
      <c r="B241" s="258" t="s">
        <v>50</v>
      </c>
      <c r="C241" s="258" t="s">
        <v>50</v>
      </c>
      <c r="D241" s="259"/>
      <c r="E241" s="303"/>
      <c r="F241" s="297"/>
      <c r="G241" s="303"/>
      <c r="H241" s="297"/>
      <c r="I241" s="303"/>
      <c r="J241" s="297"/>
      <c r="K241" s="303"/>
      <c r="L241" s="297"/>
      <c r="M241" s="258" t="s">
        <v>50</v>
      </c>
      <c r="N241" s="255" t="s">
        <v>617</v>
      </c>
      <c r="O241" s="255" t="s">
        <v>617</v>
      </c>
      <c r="P241" s="255" t="s">
        <v>50</v>
      </c>
      <c r="Q241" s="255" t="s">
        <v>50</v>
      </c>
      <c r="R241" s="255" t="s">
        <v>50</v>
      </c>
      <c r="S241" s="256"/>
      <c r="T241" s="256"/>
      <c r="U241" s="256"/>
      <c r="V241" s="256"/>
      <c r="W241" s="256"/>
      <c r="X241" s="256"/>
      <c r="Y241" s="256"/>
      <c r="Z241" s="256"/>
      <c r="AA241" s="256"/>
      <c r="AB241" s="256"/>
      <c r="AC241" s="256"/>
      <c r="AD241" s="256"/>
      <c r="AE241" s="256"/>
      <c r="AF241" s="256"/>
      <c r="AG241" s="256"/>
      <c r="AH241" s="256"/>
      <c r="AI241" s="256"/>
      <c r="AJ241" s="256"/>
      <c r="AK241" s="256"/>
      <c r="AL241" s="256"/>
      <c r="AM241" s="256"/>
      <c r="AN241" s="256"/>
      <c r="AO241" s="256"/>
      <c r="AP241" s="256"/>
      <c r="AQ241" s="256"/>
      <c r="AR241" s="256"/>
      <c r="AS241" s="256"/>
      <c r="AT241" s="256"/>
      <c r="AU241" s="256"/>
      <c r="AV241" s="255" t="s">
        <v>50</v>
      </c>
      <c r="AW241" s="255" t="s">
        <v>50</v>
      </c>
      <c r="AX241" s="255" t="s">
        <v>50</v>
      </c>
      <c r="AY241" s="255" t="s">
        <v>50</v>
      </c>
      <c r="AZ241" s="255" t="s">
        <v>50</v>
      </c>
    </row>
    <row r="242" spans="1:52" ht="30" customHeight="1">
      <c r="A242" s="259"/>
      <c r="B242" s="259"/>
      <c r="C242" s="259"/>
      <c r="D242" s="259"/>
      <c r="E242" s="303"/>
      <c r="F242" s="297"/>
      <c r="G242" s="303"/>
      <c r="H242" s="297"/>
      <c r="I242" s="303"/>
      <c r="J242" s="297"/>
      <c r="K242" s="303"/>
      <c r="L242" s="297"/>
      <c r="M242" s="259"/>
    </row>
    <row r="243" spans="1:52" ht="30" customHeight="1">
      <c r="A243" s="299" t="s">
        <v>1575</v>
      </c>
      <c r="B243" s="300"/>
      <c r="C243" s="300"/>
      <c r="D243" s="300"/>
      <c r="E243" s="301"/>
      <c r="F243" s="302"/>
      <c r="G243" s="301"/>
      <c r="H243" s="302"/>
      <c r="I243" s="301"/>
      <c r="J243" s="302"/>
      <c r="K243" s="301"/>
      <c r="L243" s="302"/>
      <c r="M243" s="300"/>
      <c r="N243" s="464" t="s">
        <v>1948</v>
      </c>
    </row>
    <row r="244" spans="1:52" ht="30" customHeight="1">
      <c r="A244" s="258" t="s">
        <v>903</v>
      </c>
      <c r="B244" s="258" t="s">
        <v>830</v>
      </c>
      <c r="C244" s="258" t="s">
        <v>831</v>
      </c>
      <c r="D244" s="259">
        <v>0.03</v>
      </c>
      <c r="E244" s="303"/>
      <c r="F244" s="297"/>
      <c r="G244" s="303"/>
      <c r="H244" s="297"/>
      <c r="I244" s="303"/>
      <c r="J244" s="297"/>
      <c r="K244" s="303"/>
      <c r="L244" s="297"/>
      <c r="M244" s="258" t="s">
        <v>823</v>
      </c>
      <c r="N244" s="255" t="s">
        <v>50</v>
      </c>
      <c r="O244" s="255" t="s">
        <v>2129</v>
      </c>
      <c r="P244" s="255" t="s">
        <v>599</v>
      </c>
      <c r="Q244" s="255" t="s">
        <v>599</v>
      </c>
      <c r="R244" s="255" t="s">
        <v>598</v>
      </c>
      <c r="S244" s="256"/>
      <c r="T244" s="256"/>
      <c r="U244" s="256"/>
      <c r="V244" s="256">
        <v>1</v>
      </c>
      <c r="W244" s="256">
        <v>2</v>
      </c>
      <c r="X244" s="256"/>
      <c r="Y244" s="256"/>
      <c r="Z244" s="256"/>
      <c r="AA244" s="256"/>
      <c r="AB244" s="256"/>
      <c r="AC244" s="256"/>
      <c r="AD244" s="256"/>
      <c r="AE244" s="256"/>
      <c r="AF244" s="256"/>
      <c r="AG244" s="256"/>
      <c r="AH244" s="256"/>
      <c r="AI244" s="256"/>
      <c r="AJ244" s="256"/>
      <c r="AK244" s="256"/>
      <c r="AL244" s="256"/>
      <c r="AM244" s="256"/>
      <c r="AN244" s="256"/>
      <c r="AO244" s="256"/>
      <c r="AP244" s="256"/>
      <c r="AQ244" s="256"/>
      <c r="AR244" s="256"/>
      <c r="AS244" s="256"/>
      <c r="AT244" s="256"/>
      <c r="AU244" s="256"/>
      <c r="AV244" s="255" t="s">
        <v>50</v>
      </c>
      <c r="AW244" s="255" t="s">
        <v>2168</v>
      </c>
      <c r="AX244" s="255" t="s">
        <v>50</v>
      </c>
      <c r="AY244" s="255" t="s">
        <v>824</v>
      </c>
      <c r="AZ244" s="255" t="s">
        <v>50</v>
      </c>
    </row>
    <row r="245" spans="1:52" ht="30" customHeight="1">
      <c r="A245" s="258" t="s">
        <v>829</v>
      </c>
      <c r="B245" s="258" t="s">
        <v>830</v>
      </c>
      <c r="C245" s="258" t="s">
        <v>831</v>
      </c>
      <c r="D245" s="259">
        <v>0.01</v>
      </c>
      <c r="E245" s="303"/>
      <c r="F245" s="297"/>
      <c r="G245" s="303"/>
      <c r="H245" s="297"/>
      <c r="I245" s="303"/>
      <c r="J245" s="297"/>
      <c r="K245" s="303"/>
      <c r="L245" s="297"/>
      <c r="M245" s="258" t="s">
        <v>823</v>
      </c>
      <c r="N245" s="255" t="s">
        <v>50</v>
      </c>
      <c r="O245" s="255" t="s">
        <v>2027</v>
      </c>
      <c r="P245" s="255" t="s">
        <v>599</v>
      </c>
      <c r="Q245" s="255" t="s">
        <v>599</v>
      </c>
      <c r="R245" s="255" t="s">
        <v>598</v>
      </c>
      <c r="S245" s="256"/>
      <c r="T245" s="256"/>
      <c r="U245" s="256"/>
      <c r="V245" s="256">
        <v>1</v>
      </c>
      <c r="W245" s="256">
        <v>2</v>
      </c>
      <c r="X245" s="256"/>
      <c r="Y245" s="256"/>
      <c r="Z245" s="256"/>
      <c r="AA245" s="256"/>
      <c r="AB245" s="256"/>
      <c r="AC245" s="256"/>
      <c r="AD245" s="256"/>
      <c r="AE245" s="256"/>
      <c r="AF245" s="256"/>
      <c r="AG245" s="256"/>
      <c r="AH245" s="256"/>
      <c r="AI245" s="256"/>
      <c r="AJ245" s="256"/>
      <c r="AK245" s="256"/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5" t="s">
        <v>50</v>
      </c>
      <c r="AW245" s="255" t="s">
        <v>2169</v>
      </c>
      <c r="AX245" s="255" t="s">
        <v>50</v>
      </c>
      <c r="AY245" s="255" t="s">
        <v>824</v>
      </c>
      <c r="AZ245" s="255" t="s">
        <v>50</v>
      </c>
    </row>
    <row r="246" spans="1:52" ht="30" customHeight="1">
      <c r="A246" s="258" t="s">
        <v>857</v>
      </c>
      <c r="B246" s="258" t="s">
        <v>866</v>
      </c>
      <c r="C246" s="258" t="s">
        <v>146</v>
      </c>
      <c r="D246" s="259">
        <v>1</v>
      </c>
      <c r="E246" s="303"/>
      <c r="F246" s="297"/>
      <c r="G246" s="303"/>
      <c r="H246" s="297"/>
      <c r="I246" s="303"/>
      <c r="J246" s="297"/>
      <c r="K246" s="303"/>
      <c r="L246" s="297"/>
      <c r="M246" s="258" t="s">
        <v>823</v>
      </c>
      <c r="N246" s="255" t="s">
        <v>50</v>
      </c>
      <c r="O246" s="255" t="s">
        <v>1900</v>
      </c>
      <c r="P246" s="255" t="s">
        <v>599</v>
      </c>
      <c r="Q246" s="255" t="s">
        <v>599</v>
      </c>
      <c r="R246" s="255" t="s">
        <v>599</v>
      </c>
      <c r="S246" s="256">
        <v>1</v>
      </c>
      <c r="T246" s="256">
        <v>2</v>
      </c>
      <c r="U246" s="256">
        <v>0.03</v>
      </c>
      <c r="V246" s="256"/>
      <c r="W246" s="256">
        <v>2</v>
      </c>
      <c r="X246" s="256"/>
      <c r="Y246" s="256"/>
      <c r="Z246" s="256"/>
      <c r="AA246" s="256"/>
      <c r="AB246" s="256"/>
      <c r="AC246" s="256"/>
      <c r="AD246" s="256"/>
      <c r="AE246" s="256"/>
      <c r="AF246" s="256"/>
      <c r="AG246" s="256"/>
      <c r="AH246" s="256"/>
      <c r="AI246" s="256"/>
      <c r="AJ246" s="256"/>
      <c r="AK246" s="256"/>
      <c r="AL246" s="256"/>
      <c r="AM246" s="256"/>
      <c r="AN246" s="256"/>
      <c r="AO246" s="256"/>
      <c r="AP246" s="256"/>
      <c r="AQ246" s="256"/>
      <c r="AR246" s="256"/>
      <c r="AS246" s="256"/>
      <c r="AT246" s="256"/>
      <c r="AU246" s="256"/>
      <c r="AV246" s="255" t="s">
        <v>50</v>
      </c>
      <c r="AW246" s="255" t="s">
        <v>2170</v>
      </c>
      <c r="AX246" s="255" t="s">
        <v>50</v>
      </c>
      <c r="AY246" s="255" t="s">
        <v>824</v>
      </c>
      <c r="AZ246" s="255" t="s">
        <v>50</v>
      </c>
    </row>
    <row r="247" spans="1:52" ht="30" customHeight="1">
      <c r="A247" s="258" t="s">
        <v>826</v>
      </c>
      <c r="B247" s="258" t="s">
        <v>827</v>
      </c>
      <c r="C247" s="258" t="s">
        <v>146</v>
      </c>
      <c r="D247" s="259">
        <v>1</v>
      </c>
      <c r="E247" s="303"/>
      <c r="F247" s="297"/>
      <c r="G247" s="303"/>
      <c r="H247" s="297"/>
      <c r="I247" s="303"/>
      <c r="J247" s="297"/>
      <c r="K247" s="303"/>
      <c r="L247" s="297"/>
      <c r="M247" s="258" t="s">
        <v>50</v>
      </c>
      <c r="N247" s="255" t="s">
        <v>1948</v>
      </c>
      <c r="O247" s="255" t="s">
        <v>2094</v>
      </c>
      <c r="P247" s="255" t="s">
        <v>599</v>
      </c>
      <c r="Q247" s="255" t="s">
        <v>599</v>
      </c>
      <c r="R247" s="255" t="s">
        <v>599</v>
      </c>
      <c r="S247" s="256">
        <v>3</v>
      </c>
      <c r="T247" s="256">
        <v>2</v>
      </c>
      <c r="U247" s="256">
        <v>1</v>
      </c>
      <c r="V247" s="256"/>
      <c r="W247" s="256"/>
      <c r="X247" s="256"/>
      <c r="Y247" s="256"/>
      <c r="Z247" s="256"/>
      <c r="AA247" s="256"/>
      <c r="AB247" s="256"/>
      <c r="AC247" s="256"/>
      <c r="AD247" s="256"/>
      <c r="AE247" s="256"/>
      <c r="AF247" s="256"/>
      <c r="AG247" s="256"/>
      <c r="AH247" s="256"/>
      <c r="AI247" s="256"/>
      <c r="AJ247" s="256"/>
      <c r="AK247" s="256"/>
      <c r="AL247" s="256"/>
      <c r="AM247" s="256"/>
      <c r="AN247" s="256"/>
      <c r="AO247" s="256"/>
      <c r="AP247" s="256"/>
      <c r="AQ247" s="256"/>
      <c r="AR247" s="256"/>
      <c r="AS247" s="256"/>
      <c r="AT247" s="256"/>
      <c r="AU247" s="256"/>
      <c r="AV247" s="255" t="s">
        <v>50</v>
      </c>
      <c r="AW247" s="255" t="s">
        <v>2171</v>
      </c>
      <c r="AX247" s="255" t="s">
        <v>50</v>
      </c>
      <c r="AY247" s="255" t="s">
        <v>50</v>
      </c>
      <c r="AZ247" s="255" t="s">
        <v>50</v>
      </c>
    </row>
    <row r="248" spans="1:52" ht="30" customHeight="1">
      <c r="A248" s="258" t="s">
        <v>820</v>
      </c>
      <c r="B248" s="258" t="s">
        <v>50</v>
      </c>
      <c r="C248" s="258" t="s">
        <v>50</v>
      </c>
      <c r="D248" s="259"/>
      <c r="E248" s="303"/>
      <c r="F248" s="297"/>
      <c r="G248" s="303"/>
      <c r="H248" s="297"/>
      <c r="I248" s="303"/>
      <c r="J248" s="297"/>
      <c r="K248" s="303"/>
      <c r="L248" s="297"/>
      <c r="M248" s="258" t="s">
        <v>50</v>
      </c>
      <c r="N248" s="255" t="s">
        <v>617</v>
      </c>
      <c r="O248" s="255" t="s">
        <v>617</v>
      </c>
      <c r="P248" s="255" t="s">
        <v>50</v>
      </c>
      <c r="Q248" s="255" t="s">
        <v>50</v>
      </c>
      <c r="R248" s="255" t="s">
        <v>50</v>
      </c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256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5" t="s">
        <v>50</v>
      </c>
      <c r="AW248" s="255" t="s">
        <v>50</v>
      </c>
      <c r="AX248" s="255" t="s">
        <v>50</v>
      </c>
      <c r="AY248" s="255" t="s">
        <v>50</v>
      </c>
      <c r="AZ248" s="255" t="s">
        <v>50</v>
      </c>
    </row>
    <row r="249" spans="1:52" ht="30" customHeight="1">
      <c r="A249" s="259"/>
      <c r="B249" s="259"/>
      <c r="C249" s="259"/>
      <c r="D249" s="259"/>
      <c r="E249" s="303"/>
      <c r="F249" s="297"/>
      <c r="G249" s="303"/>
      <c r="H249" s="297"/>
      <c r="I249" s="303"/>
      <c r="J249" s="297"/>
      <c r="K249" s="303"/>
      <c r="L249" s="297"/>
      <c r="M249" s="259"/>
    </row>
    <row r="250" spans="1:52" ht="30" customHeight="1">
      <c r="A250" s="299" t="s">
        <v>1576</v>
      </c>
      <c r="B250" s="300"/>
      <c r="C250" s="300"/>
      <c r="D250" s="300"/>
      <c r="E250" s="301"/>
      <c r="F250" s="302"/>
      <c r="G250" s="301"/>
      <c r="H250" s="302"/>
      <c r="I250" s="301"/>
      <c r="J250" s="302"/>
      <c r="K250" s="301"/>
      <c r="L250" s="302"/>
      <c r="M250" s="300"/>
      <c r="N250" s="464" t="s">
        <v>1949</v>
      </c>
    </row>
    <row r="251" spans="1:52" ht="30" customHeight="1">
      <c r="A251" s="258" t="s">
        <v>903</v>
      </c>
      <c r="B251" s="258" t="s">
        <v>830</v>
      </c>
      <c r="C251" s="258" t="s">
        <v>831</v>
      </c>
      <c r="D251" s="259">
        <v>4.2999999999999997E-2</v>
      </c>
      <c r="E251" s="303"/>
      <c r="F251" s="297"/>
      <c r="G251" s="303"/>
      <c r="H251" s="297"/>
      <c r="I251" s="303"/>
      <c r="J251" s="297"/>
      <c r="K251" s="303"/>
      <c r="L251" s="297"/>
      <c r="M251" s="258" t="s">
        <v>823</v>
      </c>
      <c r="N251" s="255" t="s">
        <v>50</v>
      </c>
      <c r="O251" s="255" t="s">
        <v>2129</v>
      </c>
      <c r="P251" s="255" t="s">
        <v>599</v>
      </c>
      <c r="Q251" s="255" t="s">
        <v>599</v>
      </c>
      <c r="R251" s="255" t="s">
        <v>598</v>
      </c>
      <c r="S251" s="256"/>
      <c r="T251" s="256"/>
      <c r="U251" s="256"/>
      <c r="V251" s="256">
        <v>1</v>
      </c>
      <c r="W251" s="256">
        <v>2</v>
      </c>
      <c r="X251" s="256"/>
      <c r="Y251" s="256"/>
      <c r="Z251" s="256"/>
      <c r="AA251" s="256"/>
      <c r="AB251" s="256"/>
      <c r="AC251" s="256"/>
      <c r="AD251" s="256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5" t="s">
        <v>50</v>
      </c>
      <c r="AW251" s="255" t="s">
        <v>2172</v>
      </c>
      <c r="AX251" s="255" t="s">
        <v>50</v>
      </c>
      <c r="AY251" s="255" t="s">
        <v>824</v>
      </c>
      <c r="AZ251" s="255" t="s">
        <v>50</v>
      </c>
    </row>
    <row r="252" spans="1:52" ht="30" customHeight="1">
      <c r="A252" s="258" t="s">
        <v>829</v>
      </c>
      <c r="B252" s="258" t="s">
        <v>830</v>
      </c>
      <c r="C252" s="258" t="s">
        <v>831</v>
      </c>
      <c r="D252" s="259">
        <v>1.4E-2</v>
      </c>
      <c r="E252" s="303"/>
      <c r="F252" s="297"/>
      <c r="G252" s="303"/>
      <c r="H252" s="297"/>
      <c r="I252" s="303"/>
      <c r="J252" s="297"/>
      <c r="K252" s="303"/>
      <c r="L252" s="297"/>
      <c r="M252" s="258" t="s">
        <v>823</v>
      </c>
      <c r="N252" s="255" t="s">
        <v>50</v>
      </c>
      <c r="O252" s="255" t="s">
        <v>2027</v>
      </c>
      <c r="P252" s="255" t="s">
        <v>599</v>
      </c>
      <c r="Q252" s="255" t="s">
        <v>599</v>
      </c>
      <c r="R252" s="255" t="s">
        <v>598</v>
      </c>
      <c r="S252" s="256"/>
      <c r="T252" s="256"/>
      <c r="U252" s="256"/>
      <c r="V252" s="256">
        <v>1</v>
      </c>
      <c r="W252" s="256">
        <v>2</v>
      </c>
      <c r="X252" s="256"/>
      <c r="Y252" s="256"/>
      <c r="Z252" s="256"/>
      <c r="AA252" s="256"/>
      <c r="AB252" s="256"/>
      <c r="AC252" s="256"/>
      <c r="AD252" s="256"/>
      <c r="AE252" s="256"/>
      <c r="AF252" s="256"/>
      <c r="AG252" s="256"/>
      <c r="AH252" s="256"/>
      <c r="AI252" s="256"/>
      <c r="AJ252" s="256"/>
      <c r="AK252" s="256"/>
      <c r="AL252" s="256"/>
      <c r="AM252" s="256"/>
      <c r="AN252" s="256"/>
      <c r="AO252" s="256"/>
      <c r="AP252" s="256"/>
      <c r="AQ252" s="256"/>
      <c r="AR252" s="256"/>
      <c r="AS252" s="256"/>
      <c r="AT252" s="256"/>
      <c r="AU252" s="256"/>
      <c r="AV252" s="255" t="s">
        <v>50</v>
      </c>
      <c r="AW252" s="255" t="s">
        <v>2173</v>
      </c>
      <c r="AX252" s="255" t="s">
        <v>50</v>
      </c>
      <c r="AY252" s="255" t="s">
        <v>824</v>
      </c>
      <c r="AZ252" s="255" t="s">
        <v>50</v>
      </c>
    </row>
    <row r="253" spans="1:52" ht="30" customHeight="1">
      <c r="A253" s="258" t="s">
        <v>760</v>
      </c>
      <c r="B253" s="258" t="s">
        <v>761</v>
      </c>
      <c r="C253" s="258" t="s">
        <v>762</v>
      </c>
      <c r="D253" s="259">
        <v>5.7000000000000002E-2</v>
      </c>
      <c r="E253" s="303"/>
      <c r="F253" s="297"/>
      <c r="G253" s="303"/>
      <c r="H253" s="297"/>
      <c r="I253" s="303"/>
      <c r="J253" s="297"/>
      <c r="K253" s="303"/>
      <c r="L253" s="297"/>
      <c r="M253" s="258" t="s">
        <v>823</v>
      </c>
      <c r="N253" s="255" t="s">
        <v>50</v>
      </c>
      <c r="O253" s="255" t="s">
        <v>1944</v>
      </c>
      <c r="P253" s="255" t="s">
        <v>598</v>
      </c>
      <c r="Q253" s="255" t="s">
        <v>599</v>
      </c>
      <c r="R253" s="255" t="s">
        <v>599</v>
      </c>
      <c r="S253" s="256"/>
      <c r="T253" s="256"/>
      <c r="U253" s="256"/>
      <c r="V253" s="256"/>
      <c r="W253" s="256">
        <v>2</v>
      </c>
      <c r="X253" s="256"/>
      <c r="Y253" s="256"/>
      <c r="Z253" s="256"/>
      <c r="AA253" s="256"/>
      <c r="AB253" s="256"/>
      <c r="AC253" s="256"/>
      <c r="AD253" s="256"/>
      <c r="AE253" s="256"/>
      <c r="AF253" s="256"/>
      <c r="AG253" s="256"/>
      <c r="AH253" s="256"/>
      <c r="AI253" s="256"/>
      <c r="AJ253" s="256"/>
      <c r="AK253" s="256"/>
      <c r="AL253" s="256"/>
      <c r="AM253" s="256"/>
      <c r="AN253" s="256"/>
      <c r="AO253" s="256"/>
      <c r="AP253" s="256"/>
      <c r="AQ253" s="256"/>
      <c r="AR253" s="256"/>
      <c r="AS253" s="256"/>
      <c r="AT253" s="256"/>
      <c r="AU253" s="256"/>
      <c r="AV253" s="255" t="s">
        <v>50</v>
      </c>
      <c r="AW253" s="255" t="s">
        <v>2174</v>
      </c>
      <c r="AX253" s="255" t="s">
        <v>50</v>
      </c>
      <c r="AY253" s="255" t="s">
        <v>824</v>
      </c>
      <c r="AZ253" s="255" t="s">
        <v>50</v>
      </c>
    </row>
    <row r="254" spans="1:52" ht="30" customHeight="1">
      <c r="A254" s="258" t="s">
        <v>857</v>
      </c>
      <c r="B254" s="258" t="s">
        <v>866</v>
      </c>
      <c r="C254" s="258" t="s">
        <v>146</v>
      </c>
      <c r="D254" s="259">
        <v>1</v>
      </c>
      <c r="E254" s="303"/>
      <c r="F254" s="297"/>
      <c r="G254" s="303"/>
      <c r="H254" s="297"/>
      <c r="I254" s="303"/>
      <c r="J254" s="297"/>
      <c r="K254" s="303"/>
      <c r="L254" s="297"/>
      <c r="M254" s="258" t="s">
        <v>823</v>
      </c>
      <c r="N254" s="255" t="s">
        <v>50</v>
      </c>
      <c r="O254" s="255" t="s">
        <v>1900</v>
      </c>
      <c r="P254" s="255" t="s">
        <v>599</v>
      </c>
      <c r="Q254" s="255" t="s">
        <v>599</v>
      </c>
      <c r="R254" s="255" t="s">
        <v>599</v>
      </c>
      <c r="S254" s="256">
        <v>1</v>
      </c>
      <c r="T254" s="256">
        <v>2</v>
      </c>
      <c r="U254" s="256">
        <v>0.03</v>
      </c>
      <c r="V254" s="256"/>
      <c r="W254" s="256">
        <v>2</v>
      </c>
      <c r="X254" s="256"/>
      <c r="Y254" s="256"/>
      <c r="Z254" s="256"/>
      <c r="AA254" s="256"/>
      <c r="AB254" s="256"/>
      <c r="AC254" s="256"/>
      <c r="AD254" s="256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5" t="s">
        <v>50</v>
      </c>
      <c r="AW254" s="255" t="s">
        <v>2175</v>
      </c>
      <c r="AX254" s="255" t="s">
        <v>50</v>
      </c>
      <c r="AY254" s="255" t="s">
        <v>824</v>
      </c>
      <c r="AZ254" s="255" t="s">
        <v>50</v>
      </c>
    </row>
    <row r="255" spans="1:52" ht="30" customHeight="1">
      <c r="A255" s="258" t="s">
        <v>826</v>
      </c>
      <c r="B255" s="258" t="s">
        <v>827</v>
      </c>
      <c r="C255" s="258" t="s">
        <v>146</v>
      </c>
      <c r="D255" s="259">
        <v>1</v>
      </c>
      <c r="E255" s="303"/>
      <c r="F255" s="297"/>
      <c r="G255" s="303"/>
      <c r="H255" s="297"/>
      <c r="I255" s="303"/>
      <c r="J255" s="297"/>
      <c r="K255" s="303"/>
      <c r="L255" s="297"/>
      <c r="M255" s="258" t="s">
        <v>50</v>
      </c>
      <c r="N255" s="255" t="s">
        <v>1949</v>
      </c>
      <c r="O255" s="255" t="s">
        <v>2094</v>
      </c>
      <c r="P255" s="255" t="s">
        <v>599</v>
      </c>
      <c r="Q255" s="255" t="s">
        <v>599</v>
      </c>
      <c r="R255" s="255" t="s">
        <v>599</v>
      </c>
      <c r="S255" s="256">
        <v>3</v>
      </c>
      <c r="T255" s="256">
        <v>2</v>
      </c>
      <c r="U255" s="256">
        <v>1</v>
      </c>
      <c r="V255" s="256"/>
      <c r="W255" s="256"/>
      <c r="X255" s="256"/>
      <c r="Y255" s="256"/>
      <c r="Z255" s="256"/>
      <c r="AA255" s="256"/>
      <c r="AB255" s="256"/>
      <c r="AC255" s="256"/>
      <c r="AD255" s="256"/>
      <c r="AE255" s="256"/>
      <c r="AF255" s="256"/>
      <c r="AG255" s="256"/>
      <c r="AH255" s="256"/>
      <c r="AI255" s="256"/>
      <c r="AJ255" s="256"/>
      <c r="AK255" s="256"/>
      <c r="AL255" s="256"/>
      <c r="AM255" s="256"/>
      <c r="AN255" s="256"/>
      <c r="AO255" s="256"/>
      <c r="AP255" s="256"/>
      <c r="AQ255" s="256"/>
      <c r="AR255" s="256"/>
      <c r="AS255" s="256"/>
      <c r="AT255" s="256"/>
      <c r="AU255" s="256"/>
      <c r="AV255" s="255" t="s">
        <v>50</v>
      </c>
      <c r="AW255" s="255" t="s">
        <v>2176</v>
      </c>
      <c r="AX255" s="255" t="s">
        <v>50</v>
      </c>
      <c r="AY255" s="255" t="s">
        <v>50</v>
      </c>
      <c r="AZ255" s="255" t="s">
        <v>50</v>
      </c>
    </row>
    <row r="256" spans="1:52" ht="30" customHeight="1">
      <c r="A256" s="258" t="s">
        <v>820</v>
      </c>
      <c r="B256" s="258" t="s">
        <v>50</v>
      </c>
      <c r="C256" s="258" t="s">
        <v>50</v>
      </c>
      <c r="D256" s="259"/>
      <c r="E256" s="303"/>
      <c r="F256" s="297"/>
      <c r="G256" s="303"/>
      <c r="H256" s="297"/>
      <c r="I256" s="303"/>
      <c r="J256" s="297"/>
      <c r="K256" s="303"/>
      <c r="L256" s="297"/>
      <c r="M256" s="258" t="s">
        <v>50</v>
      </c>
      <c r="N256" s="255" t="s">
        <v>617</v>
      </c>
      <c r="O256" s="255" t="s">
        <v>617</v>
      </c>
      <c r="P256" s="255" t="s">
        <v>50</v>
      </c>
      <c r="Q256" s="255" t="s">
        <v>50</v>
      </c>
      <c r="R256" s="255" t="s">
        <v>50</v>
      </c>
      <c r="S256" s="256"/>
      <c r="T256" s="256"/>
      <c r="U256" s="256"/>
      <c r="V256" s="256"/>
      <c r="W256" s="256"/>
      <c r="X256" s="256"/>
      <c r="Y256" s="256"/>
      <c r="Z256" s="256"/>
      <c r="AA256" s="256"/>
      <c r="AB256" s="256"/>
      <c r="AC256" s="256"/>
      <c r="AD256" s="256"/>
      <c r="AE256" s="256"/>
      <c r="AF256" s="256"/>
      <c r="AG256" s="256"/>
      <c r="AH256" s="256"/>
      <c r="AI256" s="256"/>
      <c r="AJ256" s="256"/>
      <c r="AK256" s="256"/>
      <c r="AL256" s="256"/>
      <c r="AM256" s="256"/>
      <c r="AN256" s="256"/>
      <c r="AO256" s="256"/>
      <c r="AP256" s="256"/>
      <c r="AQ256" s="256"/>
      <c r="AR256" s="256"/>
      <c r="AS256" s="256"/>
      <c r="AT256" s="256"/>
      <c r="AU256" s="256"/>
      <c r="AV256" s="255" t="s">
        <v>50</v>
      </c>
      <c r="AW256" s="255" t="s">
        <v>50</v>
      </c>
      <c r="AX256" s="255" t="s">
        <v>50</v>
      </c>
      <c r="AY256" s="255" t="s">
        <v>50</v>
      </c>
      <c r="AZ256" s="255" t="s">
        <v>50</v>
      </c>
    </row>
    <row r="257" spans="1:52" ht="30" customHeight="1">
      <c r="A257" s="259"/>
      <c r="B257" s="259"/>
      <c r="C257" s="259"/>
      <c r="D257" s="259"/>
      <c r="E257" s="303"/>
      <c r="F257" s="297"/>
      <c r="G257" s="303"/>
      <c r="H257" s="297"/>
      <c r="I257" s="303"/>
      <c r="J257" s="297"/>
      <c r="K257" s="303"/>
      <c r="L257" s="297"/>
      <c r="M257" s="259"/>
    </row>
    <row r="258" spans="1:52" ht="30" customHeight="1">
      <c r="A258" s="299" t="s">
        <v>1577</v>
      </c>
      <c r="B258" s="300"/>
      <c r="C258" s="300"/>
      <c r="D258" s="300"/>
      <c r="E258" s="301"/>
      <c r="F258" s="302"/>
      <c r="G258" s="301"/>
      <c r="H258" s="302"/>
      <c r="I258" s="301"/>
      <c r="J258" s="302"/>
      <c r="K258" s="301"/>
      <c r="L258" s="302"/>
      <c r="M258" s="300"/>
      <c r="N258" s="464" t="s">
        <v>1950</v>
      </c>
    </row>
    <row r="259" spans="1:52" ht="30" customHeight="1">
      <c r="A259" s="258" t="s">
        <v>903</v>
      </c>
      <c r="B259" s="258" t="s">
        <v>830</v>
      </c>
      <c r="C259" s="258" t="s">
        <v>831</v>
      </c>
      <c r="D259" s="259">
        <v>0.39</v>
      </c>
      <c r="E259" s="303"/>
      <c r="F259" s="297"/>
      <c r="G259" s="303"/>
      <c r="H259" s="297"/>
      <c r="I259" s="303"/>
      <c r="J259" s="297"/>
      <c r="K259" s="303"/>
      <c r="L259" s="297"/>
      <c r="M259" s="258" t="s">
        <v>823</v>
      </c>
      <c r="N259" s="255" t="s">
        <v>50</v>
      </c>
      <c r="O259" s="255" t="s">
        <v>2129</v>
      </c>
      <c r="P259" s="255" t="s">
        <v>599</v>
      </c>
      <c r="Q259" s="255" t="s">
        <v>599</v>
      </c>
      <c r="R259" s="255" t="s">
        <v>598</v>
      </c>
      <c r="S259" s="256"/>
      <c r="T259" s="256"/>
      <c r="U259" s="256"/>
      <c r="V259" s="256">
        <v>1</v>
      </c>
      <c r="W259" s="256"/>
      <c r="X259" s="256"/>
      <c r="Y259" s="256"/>
      <c r="Z259" s="256"/>
      <c r="AA259" s="256"/>
      <c r="AB259" s="256"/>
      <c r="AC259" s="256"/>
      <c r="AD259" s="256"/>
      <c r="AE259" s="256"/>
      <c r="AF259" s="256"/>
      <c r="AG259" s="256"/>
      <c r="AH259" s="256"/>
      <c r="AI259" s="256"/>
      <c r="AJ259" s="256"/>
      <c r="AK259" s="256"/>
      <c r="AL259" s="256"/>
      <c r="AM259" s="256"/>
      <c r="AN259" s="256"/>
      <c r="AO259" s="256"/>
      <c r="AP259" s="256"/>
      <c r="AQ259" s="256"/>
      <c r="AR259" s="256"/>
      <c r="AS259" s="256"/>
      <c r="AT259" s="256"/>
      <c r="AU259" s="256"/>
      <c r="AV259" s="255" t="s">
        <v>50</v>
      </c>
      <c r="AW259" s="255" t="s">
        <v>2177</v>
      </c>
      <c r="AX259" s="255" t="s">
        <v>50</v>
      </c>
      <c r="AY259" s="255" t="s">
        <v>824</v>
      </c>
      <c r="AZ259" s="255" t="s">
        <v>50</v>
      </c>
    </row>
    <row r="260" spans="1:52" ht="30" customHeight="1">
      <c r="A260" s="258" t="s">
        <v>860</v>
      </c>
      <c r="B260" s="258" t="s">
        <v>830</v>
      </c>
      <c r="C260" s="258" t="s">
        <v>831</v>
      </c>
      <c r="D260" s="259">
        <v>0.19</v>
      </c>
      <c r="E260" s="303"/>
      <c r="F260" s="297"/>
      <c r="G260" s="303"/>
      <c r="H260" s="297"/>
      <c r="I260" s="303"/>
      <c r="J260" s="297"/>
      <c r="K260" s="303"/>
      <c r="L260" s="297"/>
      <c r="M260" s="258" t="s">
        <v>823</v>
      </c>
      <c r="N260" s="255" t="s">
        <v>50</v>
      </c>
      <c r="O260" s="255" t="s">
        <v>2051</v>
      </c>
      <c r="P260" s="255" t="s">
        <v>599</v>
      </c>
      <c r="Q260" s="255" t="s">
        <v>599</v>
      </c>
      <c r="R260" s="255" t="s">
        <v>598</v>
      </c>
      <c r="S260" s="256"/>
      <c r="T260" s="256"/>
      <c r="U260" s="256"/>
      <c r="V260" s="256">
        <v>1</v>
      </c>
      <c r="W260" s="256"/>
      <c r="X260" s="256"/>
      <c r="Y260" s="256"/>
      <c r="Z260" s="256"/>
      <c r="AA260" s="256"/>
      <c r="AB260" s="256"/>
      <c r="AC260" s="256"/>
      <c r="AD260" s="256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5" t="s">
        <v>50</v>
      </c>
      <c r="AW260" s="255" t="s">
        <v>2178</v>
      </c>
      <c r="AX260" s="255" t="s">
        <v>50</v>
      </c>
      <c r="AY260" s="255" t="s">
        <v>824</v>
      </c>
      <c r="AZ260" s="255" t="s">
        <v>50</v>
      </c>
    </row>
    <row r="261" spans="1:52" ht="30" customHeight="1">
      <c r="A261" s="258" t="s">
        <v>766</v>
      </c>
      <c r="B261" s="258" t="s">
        <v>767</v>
      </c>
      <c r="C261" s="258" t="s">
        <v>762</v>
      </c>
      <c r="D261" s="259">
        <v>1</v>
      </c>
      <c r="E261" s="303"/>
      <c r="F261" s="297"/>
      <c r="G261" s="303"/>
      <c r="H261" s="297"/>
      <c r="I261" s="303"/>
      <c r="J261" s="297"/>
      <c r="K261" s="303"/>
      <c r="L261" s="297"/>
      <c r="M261" s="258" t="s">
        <v>823</v>
      </c>
      <c r="N261" s="255" t="s">
        <v>50</v>
      </c>
      <c r="O261" s="255" t="s">
        <v>1951</v>
      </c>
      <c r="P261" s="255" t="s">
        <v>598</v>
      </c>
      <c r="Q261" s="255" t="s">
        <v>599</v>
      </c>
      <c r="R261" s="255" t="s">
        <v>599</v>
      </c>
      <c r="S261" s="256"/>
      <c r="T261" s="256"/>
      <c r="U261" s="256"/>
      <c r="V261" s="256">
        <v>1</v>
      </c>
      <c r="W261" s="256"/>
      <c r="X261" s="256"/>
      <c r="Y261" s="256"/>
      <c r="Z261" s="256"/>
      <c r="AA261" s="256"/>
      <c r="AB261" s="256"/>
      <c r="AC261" s="256"/>
      <c r="AD261" s="256"/>
      <c r="AE261" s="256"/>
      <c r="AF261" s="256"/>
      <c r="AG261" s="256"/>
      <c r="AH261" s="256"/>
      <c r="AI261" s="256"/>
      <c r="AJ261" s="256"/>
      <c r="AK261" s="256"/>
      <c r="AL261" s="256"/>
      <c r="AM261" s="256"/>
      <c r="AN261" s="256"/>
      <c r="AO261" s="256"/>
      <c r="AP261" s="256"/>
      <c r="AQ261" s="256"/>
      <c r="AR261" s="256"/>
      <c r="AS261" s="256"/>
      <c r="AT261" s="256"/>
      <c r="AU261" s="256"/>
      <c r="AV261" s="255" t="s">
        <v>50</v>
      </c>
      <c r="AW261" s="255" t="s">
        <v>2179</v>
      </c>
      <c r="AX261" s="255" t="s">
        <v>50</v>
      </c>
      <c r="AY261" s="255" t="s">
        <v>824</v>
      </c>
      <c r="AZ261" s="255" t="s">
        <v>50</v>
      </c>
    </row>
    <row r="262" spans="1:52" ht="30" customHeight="1">
      <c r="A262" s="258" t="s">
        <v>826</v>
      </c>
      <c r="B262" s="258" t="s">
        <v>827</v>
      </c>
      <c r="C262" s="258" t="s">
        <v>146</v>
      </c>
      <c r="D262" s="259">
        <v>1</v>
      </c>
      <c r="E262" s="303"/>
      <c r="F262" s="297"/>
      <c r="G262" s="303"/>
      <c r="H262" s="297"/>
      <c r="I262" s="303"/>
      <c r="J262" s="297"/>
      <c r="K262" s="303"/>
      <c r="L262" s="297"/>
      <c r="M262" s="258" t="s">
        <v>50</v>
      </c>
      <c r="N262" s="255" t="s">
        <v>1950</v>
      </c>
      <c r="O262" s="255" t="s">
        <v>1900</v>
      </c>
      <c r="P262" s="255" t="s">
        <v>599</v>
      </c>
      <c r="Q262" s="255" t="s">
        <v>599</v>
      </c>
      <c r="R262" s="255" t="s">
        <v>599</v>
      </c>
      <c r="S262" s="256">
        <v>3</v>
      </c>
      <c r="T262" s="256">
        <v>2</v>
      </c>
      <c r="U262" s="256">
        <v>1</v>
      </c>
      <c r="V262" s="256"/>
      <c r="W262" s="256"/>
      <c r="X262" s="256"/>
      <c r="Y262" s="256"/>
      <c r="Z262" s="256"/>
      <c r="AA262" s="256"/>
      <c r="AB262" s="256"/>
      <c r="AC262" s="256"/>
      <c r="AD262" s="256"/>
      <c r="AE262" s="256"/>
      <c r="AF262" s="256"/>
      <c r="AG262" s="256"/>
      <c r="AH262" s="256"/>
      <c r="AI262" s="256"/>
      <c r="AJ262" s="256"/>
      <c r="AK262" s="256"/>
      <c r="AL262" s="256"/>
      <c r="AM262" s="256"/>
      <c r="AN262" s="256"/>
      <c r="AO262" s="256"/>
      <c r="AP262" s="256"/>
      <c r="AQ262" s="256"/>
      <c r="AR262" s="256"/>
      <c r="AS262" s="256"/>
      <c r="AT262" s="256"/>
      <c r="AU262" s="256"/>
      <c r="AV262" s="255" t="s">
        <v>50</v>
      </c>
      <c r="AW262" s="255" t="s">
        <v>2180</v>
      </c>
      <c r="AX262" s="255" t="s">
        <v>50</v>
      </c>
      <c r="AY262" s="255" t="s">
        <v>50</v>
      </c>
      <c r="AZ262" s="255" t="s">
        <v>50</v>
      </c>
    </row>
    <row r="263" spans="1:52" ht="30" customHeight="1">
      <c r="A263" s="258" t="s">
        <v>820</v>
      </c>
      <c r="B263" s="258" t="s">
        <v>50</v>
      </c>
      <c r="C263" s="258" t="s">
        <v>50</v>
      </c>
      <c r="D263" s="259"/>
      <c r="E263" s="303"/>
      <c r="F263" s="297"/>
      <c r="G263" s="303"/>
      <c r="H263" s="297"/>
      <c r="I263" s="303"/>
      <c r="J263" s="297"/>
      <c r="K263" s="303"/>
      <c r="L263" s="297"/>
      <c r="M263" s="258" t="s">
        <v>50</v>
      </c>
      <c r="N263" s="255" t="s">
        <v>617</v>
      </c>
      <c r="O263" s="255" t="s">
        <v>617</v>
      </c>
      <c r="P263" s="255" t="s">
        <v>50</v>
      </c>
      <c r="Q263" s="255" t="s">
        <v>50</v>
      </c>
      <c r="R263" s="255" t="s">
        <v>50</v>
      </c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256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5" t="s">
        <v>50</v>
      </c>
      <c r="AW263" s="255" t="s">
        <v>50</v>
      </c>
      <c r="AX263" s="255" t="s">
        <v>50</v>
      </c>
      <c r="AY263" s="255" t="s">
        <v>50</v>
      </c>
      <c r="AZ263" s="255" t="s">
        <v>50</v>
      </c>
    </row>
    <row r="264" spans="1:52" ht="30" customHeight="1">
      <c r="A264" s="259"/>
      <c r="B264" s="259"/>
      <c r="C264" s="259"/>
      <c r="D264" s="259"/>
      <c r="E264" s="303"/>
      <c r="F264" s="297"/>
      <c r="G264" s="303"/>
      <c r="H264" s="297"/>
      <c r="I264" s="303"/>
      <c r="J264" s="297"/>
      <c r="K264" s="303"/>
      <c r="L264" s="297"/>
      <c r="M264" s="259"/>
    </row>
    <row r="265" spans="1:52" ht="30" customHeight="1">
      <c r="A265" s="299" t="s">
        <v>1578</v>
      </c>
      <c r="B265" s="300"/>
      <c r="C265" s="300"/>
      <c r="D265" s="300"/>
      <c r="E265" s="301"/>
      <c r="F265" s="302"/>
      <c r="G265" s="301"/>
      <c r="H265" s="302"/>
      <c r="I265" s="301"/>
      <c r="J265" s="302"/>
      <c r="K265" s="301"/>
      <c r="L265" s="302"/>
      <c r="M265" s="300"/>
      <c r="N265" s="464" t="s">
        <v>1951</v>
      </c>
    </row>
    <row r="266" spans="1:52" ht="30" customHeight="1">
      <c r="A266" s="258" t="s">
        <v>766</v>
      </c>
      <c r="B266" s="258" t="s">
        <v>767</v>
      </c>
      <c r="C266" s="258" t="s">
        <v>610</v>
      </c>
      <c r="D266" s="259">
        <v>0.2298</v>
      </c>
      <c r="E266" s="303"/>
      <c r="F266" s="297"/>
      <c r="G266" s="303"/>
      <c r="H266" s="297"/>
      <c r="I266" s="303"/>
      <c r="J266" s="297"/>
      <c r="K266" s="303"/>
      <c r="L266" s="297"/>
      <c r="M266" s="258" t="s">
        <v>382</v>
      </c>
      <c r="N266" s="255" t="s">
        <v>1951</v>
      </c>
      <c r="O266" s="255" t="s">
        <v>2181</v>
      </c>
      <c r="P266" s="255" t="s">
        <v>599</v>
      </c>
      <c r="Q266" s="255" t="s">
        <v>599</v>
      </c>
      <c r="R266" s="255" t="s">
        <v>598</v>
      </c>
      <c r="S266" s="256"/>
      <c r="T266" s="256"/>
      <c r="U266" s="256"/>
      <c r="V266" s="256"/>
      <c r="W266" s="256"/>
      <c r="X266" s="256"/>
      <c r="Y266" s="256"/>
      <c r="Z266" s="256"/>
      <c r="AA266" s="256"/>
      <c r="AB266" s="256"/>
      <c r="AC266" s="256"/>
      <c r="AD266" s="256"/>
      <c r="AE266" s="256"/>
      <c r="AF266" s="256"/>
      <c r="AG266" s="256"/>
      <c r="AH266" s="256"/>
      <c r="AI266" s="256"/>
      <c r="AJ266" s="256"/>
      <c r="AK266" s="256"/>
      <c r="AL266" s="256"/>
      <c r="AM266" s="256"/>
      <c r="AN266" s="256"/>
      <c r="AO266" s="256"/>
      <c r="AP266" s="256"/>
      <c r="AQ266" s="256"/>
      <c r="AR266" s="256"/>
      <c r="AS266" s="256"/>
      <c r="AT266" s="256"/>
      <c r="AU266" s="256"/>
      <c r="AV266" s="255" t="s">
        <v>50</v>
      </c>
      <c r="AW266" s="255" t="s">
        <v>2182</v>
      </c>
      <c r="AX266" s="255" t="s">
        <v>50</v>
      </c>
      <c r="AY266" s="255" t="s">
        <v>50</v>
      </c>
      <c r="AZ266" s="255" t="s">
        <v>50</v>
      </c>
    </row>
    <row r="267" spans="1:52" ht="30" customHeight="1">
      <c r="A267" s="258" t="s">
        <v>904</v>
      </c>
      <c r="B267" s="258" t="s">
        <v>905</v>
      </c>
      <c r="C267" s="258" t="s">
        <v>869</v>
      </c>
      <c r="D267" s="259">
        <v>3.8</v>
      </c>
      <c r="E267" s="303"/>
      <c r="F267" s="297"/>
      <c r="G267" s="303"/>
      <c r="H267" s="297"/>
      <c r="I267" s="303"/>
      <c r="J267" s="297"/>
      <c r="K267" s="303"/>
      <c r="L267" s="297"/>
      <c r="M267" s="258" t="s">
        <v>50</v>
      </c>
      <c r="N267" s="255" t="s">
        <v>1951</v>
      </c>
      <c r="O267" s="255" t="s">
        <v>2148</v>
      </c>
      <c r="P267" s="255" t="s">
        <v>599</v>
      </c>
      <c r="Q267" s="255" t="s">
        <v>599</v>
      </c>
      <c r="R267" s="255" t="s">
        <v>598</v>
      </c>
      <c r="S267" s="256"/>
      <c r="T267" s="256"/>
      <c r="U267" s="256"/>
      <c r="V267" s="256">
        <v>1</v>
      </c>
      <c r="W267" s="256"/>
      <c r="X267" s="256"/>
      <c r="Y267" s="256"/>
      <c r="Z267" s="256"/>
      <c r="AA267" s="256"/>
      <c r="AB267" s="256"/>
      <c r="AC267" s="256"/>
      <c r="AD267" s="256"/>
      <c r="AE267" s="256"/>
      <c r="AF267" s="256"/>
      <c r="AG267" s="256"/>
      <c r="AH267" s="256"/>
      <c r="AI267" s="256"/>
      <c r="AJ267" s="256"/>
      <c r="AK267" s="256"/>
      <c r="AL267" s="256"/>
      <c r="AM267" s="256"/>
      <c r="AN267" s="256"/>
      <c r="AO267" s="256"/>
      <c r="AP267" s="256"/>
      <c r="AQ267" s="256"/>
      <c r="AR267" s="256"/>
      <c r="AS267" s="256"/>
      <c r="AT267" s="256"/>
      <c r="AU267" s="256"/>
      <c r="AV267" s="255" t="s">
        <v>50</v>
      </c>
      <c r="AW267" s="255" t="s">
        <v>2183</v>
      </c>
      <c r="AX267" s="255" t="s">
        <v>50</v>
      </c>
      <c r="AY267" s="255" t="s">
        <v>50</v>
      </c>
      <c r="AZ267" s="255" t="s">
        <v>50</v>
      </c>
    </row>
    <row r="268" spans="1:52" ht="30" customHeight="1">
      <c r="A268" s="258" t="s">
        <v>871</v>
      </c>
      <c r="B268" s="258" t="s">
        <v>908</v>
      </c>
      <c r="C268" s="258" t="s">
        <v>146</v>
      </c>
      <c r="D268" s="259">
        <v>1</v>
      </c>
      <c r="E268" s="303"/>
      <c r="F268" s="297"/>
      <c r="G268" s="303"/>
      <c r="H268" s="297"/>
      <c r="I268" s="303"/>
      <c r="J268" s="297"/>
      <c r="K268" s="303"/>
      <c r="L268" s="297"/>
      <c r="M268" s="258" t="s">
        <v>50</v>
      </c>
      <c r="N268" s="255" t="s">
        <v>1951</v>
      </c>
      <c r="O268" s="255" t="s">
        <v>1900</v>
      </c>
      <c r="P268" s="255" t="s">
        <v>599</v>
      </c>
      <c r="Q268" s="255" t="s">
        <v>599</v>
      </c>
      <c r="R268" s="255" t="s">
        <v>599</v>
      </c>
      <c r="S268" s="256">
        <v>0</v>
      </c>
      <c r="T268" s="256">
        <v>0</v>
      </c>
      <c r="U268" s="256">
        <v>0.39</v>
      </c>
      <c r="V268" s="256"/>
      <c r="W268" s="256"/>
      <c r="X268" s="256"/>
      <c r="Y268" s="256"/>
      <c r="Z268" s="256"/>
      <c r="AA268" s="256"/>
      <c r="AB268" s="256"/>
      <c r="AC268" s="256"/>
      <c r="AD268" s="256"/>
      <c r="AE268" s="256"/>
      <c r="AF268" s="256"/>
      <c r="AG268" s="256"/>
      <c r="AH268" s="256"/>
      <c r="AI268" s="256"/>
      <c r="AJ268" s="256"/>
      <c r="AK268" s="256"/>
      <c r="AL268" s="256"/>
      <c r="AM268" s="256"/>
      <c r="AN268" s="256"/>
      <c r="AO268" s="256"/>
      <c r="AP268" s="256"/>
      <c r="AQ268" s="256"/>
      <c r="AR268" s="256"/>
      <c r="AS268" s="256"/>
      <c r="AT268" s="256"/>
      <c r="AU268" s="256"/>
      <c r="AV268" s="255" t="s">
        <v>50</v>
      </c>
      <c r="AW268" s="255" t="s">
        <v>2184</v>
      </c>
      <c r="AX268" s="255" t="s">
        <v>50</v>
      </c>
      <c r="AY268" s="255" t="s">
        <v>50</v>
      </c>
      <c r="AZ268" s="255" t="s">
        <v>50</v>
      </c>
    </row>
    <row r="269" spans="1:52" ht="30" customHeight="1">
      <c r="A269" s="258" t="s">
        <v>907</v>
      </c>
      <c r="B269" s="258" t="s">
        <v>830</v>
      </c>
      <c r="C269" s="258" t="s">
        <v>831</v>
      </c>
      <c r="D269" s="259">
        <v>1</v>
      </c>
      <c r="E269" s="303"/>
      <c r="F269" s="297"/>
      <c r="G269" s="303"/>
      <c r="H269" s="297"/>
      <c r="I269" s="303"/>
      <c r="J269" s="297"/>
      <c r="K269" s="303"/>
      <c r="L269" s="297"/>
      <c r="M269" s="258" t="s">
        <v>50</v>
      </c>
      <c r="N269" s="255" t="s">
        <v>1951</v>
      </c>
      <c r="O269" s="255" t="s">
        <v>2151</v>
      </c>
      <c r="P269" s="255" t="s">
        <v>599</v>
      </c>
      <c r="Q269" s="255" t="s">
        <v>599</v>
      </c>
      <c r="R269" s="255" t="s">
        <v>598</v>
      </c>
      <c r="S269" s="256"/>
      <c r="T269" s="256"/>
      <c r="U269" s="256"/>
      <c r="V269" s="256"/>
      <c r="W269" s="256"/>
      <c r="X269" s="256"/>
      <c r="Y269" s="256"/>
      <c r="Z269" s="256"/>
      <c r="AA269" s="256"/>
      <c r="AB269" s="256"/>
      <c r="AC269" s="256"/>
      <c r="AD269" s="256"/>
      <c r="AE269" s="256"/>
      <c r="AF269" s="256"/>
      <c r="AG269" s="256"/>
      <c r="AH269" s="256"/>
      <c r="AI269" s="256"/>
      <c r="AJ269" s="256"/>
      <c r="AK269" s="256"/>
      <c r="AL269" s="256"/>
      <c r="AM269" s="256"/>
      <c r="AN269" s="256"/>
      <c r="AO269" s="256"/>
      <c r="AP269" s="256"/>
      <c r="AQ269" s="256"/>
      <c r="AR269" s="256"/>
      <c r="AS269" s="256"/>
      <c r="AT269" s="256"/>
      <c r="AU269" s="256"/>
      <c r="AV269" s="255" t="s">
        <v>50</v>
      </c>
      <c r="AW269" s="255" t="s">
        <v>2185</v>
      </c>
      <c r="AX269" s="255" t="s">
        <v>598</v>
      </c>
      <c r="AY269" s="255" t="s">
        <v>50</v>
      </c>
      <c r="AZ269" s="255" t="s">
        <v>50</v>
      </c>
    </row>
    <row r="270" spans="1:52" ht="30" customHeight="1">
      <c r="A270" s="258" t="s">
        <v>820</v>
      </c>
      <c r="B270" s="258" t="s">
        <v>50</v>
      </c>
      <c r="C270" s="258" t="s">
        <v>50</v>
      </c>
      <c r="D270" s="259"/>
      <c r="E270" s="303"/>
      <c r="F270" s="297"/>
      <c r="G270" s="303"/>
      <c r="H270" s="297"/>
      <c r="I270" s="303"/>
      <c r="J270" s="297"/>
      <c r="K270" s="303"/>
      <c r="L270" s="297"/>
      <c r="M270" s="258" t="s">
        <v>50</v>
      </c>
      <c r="N270" s="255" t="s">
        <v>617</v>
      </c>
      <c r="O270" s="255" t="s">
        <v>617</v>
      </c>
      <c r="P270" s="255" t="s">
        <v>50</v>
      </c>
      <c r="Q270" s="255" t="s">
        <v>50</v>
      </c>
      <c r="R270" s="255" t="s">
        <v>50</v>
      </c>
      <c r="S270" s="256"/>
      <c r="T270" s="256"/>
      <c r="U270" s="256"/>
      <c r="V270" s="256"/>
      <c r="W270" s="256"/>
      <c r="X270" s="256"/>
      <c r="Y270" s="256"/>
      <c r="Z270" s="256"/>
      <c r="AA270" s="256"/>
      <c r="AB270" s="256"/>
      <c r="AC270" s="256"/>
      <c r="AD270" s="256"/>
      <c r="AE270" s="256"/>
      <c r="AF270" s="256"/>
      <c r="AG270" s="256"/>
      <c r="AH270" s="256"/>
      <c r="AI270" s="256"/>
      <c r="AJ270" s="256"/>
      <c r="AK270" s="256"/>
      <c r="AL270" s="256"/>
      <c r="AM270" s="256"/>
      <c r="AN270" s="256"/>
      <c r="AO270" s="256"/>
      <c r="AP270" s="256"/>
      <c r="AQ270" s="256"/>
      <c r="AR270" s="256"/>
      <c r="AS270" s="256"/>
      <c r="AT270" s="256"/>
      <c r="AU270" s="256"/>
      <c r="AV270" s="255" t="s">
        <v>50</v>
      </c>
      <c r="AW270" s="255" t="s">
        <v>50</v>
      </c>
      <c r="AX270" s="255" t="s">
        <v>50</v>
      </c>
      <c r="AY270" s="255" t="s">
        <v>50</v>
      </c>
      <c r="AZ270" s="255" t="s">
        <v>50</v>
      </c>
    </row>
    <row r="271" spans="1:52" ht="30" customHeight="1">
      <c r="A271" s="259"/>
      <c r="B271" s="259"/>
      <c r="C271" s="259"/>
      <c r="D271" s="259"/>
      <c r="E271" s="303"/>
      <c r="F271" s="297"/>
      <c r="G271" s="303"/>
      <c r="H271" s="297"/>
      <c r="I271" s="303"/>
      <c r="J271" s="297"/>
      <c r="K271" s="303"/>
      <c r="L271" s="297"/>
      <c r="M271" s="259"/>
    </row>
    <row r="272" spans="1:52" ht="30" customHeight="1">
      <c r="A272" s="299" t="s">
        <v>1579</v>
      </c>
      <c r="B272" s="300"/>
      <c r="C272" s="300"/>
      <c r="D272" s="300"/>
      <c r="E272" s="301"/>
      <c r="F272" s="302"/>
      <c r="G272" s="301"/>
      <c r="H272" s="302"/>
      <c r="I272" s="301"/>
      <c r="J272" s="302"/>
      <c r="K272" s="301"/>
      <c r="L272" s="302"/>
      <c r="M272" s="300"/>
      <c r="N272" s="464" t="s">
        <v>1952</v>
      </c>
    </row>
    <row r="273" spans="1:52" ht="30" customHeight="1">
      <c r="A273" s="258" t="s">
        <v>903</v>
      </c>
      <c r="B273" s="258" t="s">
        <v>830</v>
      </c>
      <c r="C273" s="258" t="s">
        <v>831</v>
      </c>
      <c r="D273" s="259">
        <v>0.78</v>
      </c>
      <c r="E273" s="303"/>
      <c r="F273" s="297"/>
      <c r="G273" s="303"/>
      <c r="H273" s="297"/>
      <c r="I273" s="303"/>
      <c r="J273" s="297"/>
      <c r="K273" s="303"/>
      <c r="L273" s="297"/>
      <c r="M273" s="258" t="s">
        <v>823</v>
      </c>
      <c r="N273" s="255" t="s">
        <v>50</v>
      </c>
      <c r="O273" s="255" t="s">
        <v>2129</v>
      </c>
      <c r="P273" s="255" t="s">
        <v>599</v>
      </c>
      <c r="Q273" s="255" t="s">
        <v>599</v>
      </c>
      <c r="R273" s="255" t="s">
        <v>598</v>
      </c>
      <c r="S273" s="256"/>
      <c r="T273" s="256"/>
      <c r="U273" s="256"/>
      <c r="V273" s="256">
        <v>1</v>
      </c>
      <c r="W273" s="256"/>
      <c r="X273" s="256"/>
      <c r="Y273" s="256"/>
      <c r="Z273" s="256"/>
      <c r="AA273" s="256"/>
      <c r="AB273" s="256"/>
      <c r="AC273" s="256"/>
      <c r="AD273" s="256"/>
      <c r="AE273" s="256"/>
      <c r="AF273" s="256"/>
      <c r="AG273" s="256"/>
      <c r="AH273" s="256"/>
      <c r="AI273" s="256"/>
      <c r="AJ273" s="256"/>
      <c r="AK273" s="256"/>
      <c r="AL273" s="256"/>
      <c r="AM273" s="256"/>
      <c r="AN273" s="256"/>
      <c r="AO273" s="256"/>
      <c r="AP273" s="256"/>
      <c r="AQ273" s="256"/>
      <c r="AR273" s="256"/>
      <c r="AS273" s="256"/>
      <c r="AT273" s="256"/>
      <c r="AU273" s="256"/>
      <c r="AV273" s="255" t="s">
        <v>50</v>
      </c>
      <c r="AW273" s="255" t="s">
        <v>2186</v>
      </c>
      <c r="AX273" s="255" t="s">
        <v>50</v>
      </c>
      <c r="AY273" s="255" t="s">
        <v>824</v>
      </c>
      <c r="AZ273" s="255" t="s">
        <v>50</v>
      </c>
    </row>
    <row r="274" spans="1:52" ht="30" customHeight="1">
      <c r="A274" s="258" t="s">
        <v>860</v>
      </c>
      <c r="B274" s="258" t="s">
        <v>830</v>
      </c>
      <c r="C274" s="258" t="s">
        <v>831</v>
      </c>
      <c r="D274" s="259">
        <v>0.38</v>
      </c>
      <c r="E274" s="303"/>
      <c r="F274" s="297"/>
      <c r="G274" s="303"/>
      <c r="H274" s="297"/>
      <c r="I274" s="303"/>
      <c r="J274" s="297"/>
      <c r="K274" s="303"/>
      <c r="L274" s="297"/>
      <c r="M274" s="258" t="s">
        <v>823</v>
      </c>
      <c r="N274" s="255" t="s">
        <v>50</v>
      </c>
      <c r="O274" s="255" t="s">
        <v>2051</v>
      </c>
      <c r="P274" s="255" t="s">
        <v>599</v>
      </c>
      <c r="Q274" s="255" t="s">
        <v>599</v>
      </c>
      <c r="R274" s="255" t="s">
        <v>598</v>
      </c>
      <c r="S274" s="256"/>
      <c r="T274" s="256"/>
      <c r="U274" s="256"/>
      <c r="V274" s="256">
        <v>1</v>
      </c>
      <c r="W274" s="256"/>
      <c r="X274" s="256"/>
      <c r="Y274" s="256"/>
      <c r="Z274" s="256"/>
      <c r="AA274" s="256"/>
      <c r="AB274" s="256"/>
      <c r="AC274" s="256"/>
      <c r="AD274" s="256"/>
      <c r="AE274" s="256"/>
      <c r="AF274" s="256"/>
      <c r="AG274" s="256"/>
      <c r="AH274" s="256"/>
      <c r="AI274" s="256"/>
      <c r="AJ274" s="256"/>
      <c r="AK274" s="256"/>
      <c r="AL274" s="256"/>
      <c r="AM274" s="256"/>
      <c r="AN274" s="256"/>
      <c r="AO274" s="256"/>
      <c r="AP274" s="256"/>
      <c r="AQ274" s="256"/>
      <c r="AR274" s="256"/>
      <c r="AS274" s="256"/>
      <c r="AT274" s="256"/>
      <c r="AU274" s="256"/>
      <c r="AV274" s="255" t="s">
        <v>50</v>
      </c>
      <c r="AW274" s="255" t="s">
        <v>2187</v>
      </c>
      <c r="AX274" s="255" t="s">
        <v>50</v>
      </c>
      <c r="AY274" s="255" t="s">
        <v>824</v>
      </c>
      <c r="AZ274" s="255" t="s">
        <v>50</v>
      </c>
    </row>
    <row r="275" spans="1:52" ht="30" customHeight="1">
      <c r="A275" s="258" t="s">
        <v>766</v>
      </c>
      <c r="B275" s="258" t="s">
        <v>767</v>
      </c>
      <c r="C275" s="258" t="s">
        <v>762</v>
      </c>
      <c r="D275" s="259">
        <v>2</v>
      </c>
      <c r="E275" s="303"/>
      <c r="F275" s="297"/>
      <c r="G275" s="303"/>
      <c r="H275" s="297"/>
      <c r="I275" s="303"/>
      <c r="J275" s="297"/>
      <c r="K275" s="303"/>
      <c r="L275" s="297"/>
      <c r="M275" s="258" t="s">
        <v>823</v>
      </c>
      <c r="N275" s="255" t="s">
        <v>50</v>
      </c>
      <c r="O275" s="255" t="s">
        <v>1951</v>
      </c>
      <c r="P275" s="255" t="s">
        <v>598</v>
      </c>
      <c r="Q275" s="255" t="s">
        <v>599</v>
      </c>
      <c r="R275" s="255" t="s">
        <v>599</v>
      </c>
      <c r="S275" s="256"/>
      <c r="T275" s="256"/>
      <c r="U275" s="256"/>
      <c r="V275" s="256">
        <v>1</v>
      </c>
      <c r="W275" s="256"/>
      <c r="X275" s="256"/>
      <c r="Y275" s="256"/>
      <c r="Z275" s="256"/>
      <c r="AA275" s="256"/>
      <c r="AB275" s="256"/>
      <c r="AC275" s="256"/>
      <c r="AD275" s="256"/>
      <c r="AE275" s="256"/>
      <c r="AF275" s="256"/>
      <c r="AG275" s="256"/>
      <c r="AH275" s="256"/>
      <c r="AI275" s="256"/>
      <c r="AJ275" s="256"/>
      <c r="AK275" s="256"/>
      <c r="AL275" s="256"/>
      <c r="AM275" s="256"/>
      <c r="AN275" s="256"/>
      <c r="AO275" s="256"/>
      <c r="AP275" s="256"/>
      <c r="AQ275" s="256"/>
      <c r="AR275" s="256"/>
      <c r="AS275" s="256"/>
      <c r="AT275" s="256"/>
      <c r="AU275" s="256"/>
      <c r="AV275" s="255" t="s">
        <v>50</v>
      </c>
      <c r="AW275" s="255" t="s">
        <v>2188</v>
      </c>
      <c r="AX275" s="255" t="s">
        <v>50</v>
      </c>
      <c r="AY275" s="255" t="s">
        <v>824</v>
      </c>
      <c r="AZ275" s="255" t="s">
        <v>50</v>
      </c>
    </row>
    <row r="276" spans="1:52" ht="30" customHeight="1">
      <c r="A276" s="258" t="s">
        <v>826</v>
      </c>
      <c r="B276" s="258" t="s">
        <v>827</v>
      </c>
      <c r="C276" s="258" t="s">
        <v>146</v>
      </c>
      <c r="D276" s="259">
        <v>1</v>
      </c>
      <c r="E276" s="303"/>
      <c r="F276" s="297"/>
      <c r="G276" s="303"/>
      <c r="H276" s="297"/>
      <c r="I276" s="303"/>
      <c r="J276" s="297"/>
      <c r="K276" s="303"/>
      <c r="L276" s="297"/>
      <c r="M276" s="258" t="s">
        <v>50</v>
      </c>
      <c r="N276" s="255" t="s">
        <v>1952</v>
      </c>
      <c r="O276" s="255" t="s">
        <v>1900</v>
      </c>
      <c r="P276" s="255" t="s">
        <v>599</v>
      </c>
      <c r="Q276" s="255" t="s">
        <v>599</v>
      </c>
      <c r="R276" s="255" t="s">
        <v>599</v>
      </c>
      <c r="S276" s="256">
        <v>3</v>
      </c>
      <c r="T276" s="256">
        <v>2</v>
      </c>
      <c r="U276" s="256">
        <v>1</v>
      </c>
      <c r="V276" s="256"/>
      <c r="W276" s="256"/>
      <c r="X276" s="256"/>
      <c r="Y276" s="256"/>
      <c r="Z276" s="256"/>
      <c r="AA276" s="256"/>
      <c r="AB276" s="256"/>
      <c r="AC276" s="256"/>
      <c r="AD276" s="256"/>
      <c r="AE276" s="256"/>
      <c r="AF276" s="256"/>
      <c r="AG276" s="256"/>
      <c r="AH276" s="256"/>
      <c r="AI276" s="256"/>
      <c r="AJ276" s="256"/>
      <c r="AK276" s="256"/>
      <c r="AL276" s="256"/>
      <c r="AM276" s="256"/>
      <c r="AN276" s="256"/>
      <c r="AO276" s="256"/>
      <c r="AP276" s="256"/>
      <c r="AQ276" s="256"/>
      <c r="AR276" s="256"/>
      <c r="AS276" s="256"/>
      <c r="AT276" s="256"/>
      <c r="AU276" s="256"/>
      <c r="AV276" s="255" t="s">
        <v>50</v>
      </c>
      <c r="AW276" s="255" t="s">
        <v>2189</v>
      </c>
      <c r="AX276" s="255" t="s">
        <v>50</v>
      </c>
      <c r="AY276" s="255" t="s">
        <v>50</v>
      </c>
      <c r="AZ276" s="255" t="s">
        <v>50</v>
      </c>
    </row>
    <row r="277" spans="1:52" ht="30" customHeight="1">
      <c r="A277" s="258" t="s">
        <v>820</v>
      </c>
      <c r="B277" s="258" t="s">
        <v>50</v>
      </c>
      <c r="C277" s="258" t="s">
        <v>50</v>
      </c>
      <c r="D277" s="259"/>
      <c r="E277" s="303"/>
      <c r="F277" s="297"/>
      <c r="G277" s="303"/>
      <c r="H277" s="297"/>
      <c r="I277" s="303"/>
      <c r="J277" s="297"/>
      <c r="K277" s="303"/>
      <c r="L277" s="297"/>
      <c r="M277" s="258" t="s">
        <v>50</v>
      </c>
      <c r="N277" s="255" t="s">
        <v>617</v>
      </c>
      <c r="O277" s="255" t="s">
        <v>617</v>
      </c>
      <c r="P277" s="255" t="s">
        <v>50</v>
      </c>
      <c r="Q277" s="255" t="s">
        <v>50</v>
      </c>
      <c r="R277" s="255" t="s">
        <v>50</v>
      </c>
      <c r="S277" s="256"/>
      <c r="T277" s="256"/>
      <c r="U277" s="256"/>
      <c r="V277" s="256"/>
      <c r="W277" s="256"/>
      <c r="X277" s="256"/>
      <c r="Y277" s="256"/>
      <c r="Z277" s="256"/>
      <c r="AA277" s="256"/>
      <c r="AB277" s="256"/>
      <c r="AC277" s="256"/>
      <c r="AD277" s="256"/>
      <c r="AE277" s="256"/>
      <c r="AF277" s="256"/>
      <c r="AG277" s="256"/>
      <c r="AH277" s="256"/>
      <c r="AI277" s="256"/>
      <c r="AJ277" s="256"/>
      <c r="AK277" s="256"/>
      <c r="AL277" s="256"/>
      <c r="AM277" s="256"/>
      <c r="AN277" s="256"/>
      <c r="AO277" s="256"/>
      <c r="AP277" s="256"/>
      <c r="AQ277" s="256"/>
      <c r="AR277" s="256"/>
      <c r="AS277" s="256"/>
      <c r="AT277" s="256"/>
      <c r="AU277" s="256"/>
      <c r="AV277" s="255" t="s">
        <v>50</v>
      </c>
      <c r="AW277" s="255" t="s">
        <v>50</v>
      </c>
      <c r="AX277" s="255" t="s">
        <v>50</v>
      </c>
      <c r="AY277" s="255" t="s">
        <v>50</v>
      </c>
      <c r="AZ277" s="255" t="s">
        <v>50</v>
      </c>
    </row>
    <row r="278" spans="1:52" ht="30" customHeight="1">
      <c r="A278" s="259"/>
      <c r="B278" s="259"/>
      <c r="C278" s="259"/>
      <c r="D278" s="259"/>
      <c r="E278" s="303"/>
      <c r="F278" s="297"/>
      <c r="G278" s="303"/>
      <c r="H278" s="297"/>
      <c r="I278" s="303"/>
      <c r="J278" s="297"/>
      <c r="K278" s="303"/>
      <c r="L278" s="297"/>
      <c r="M278" s="259"/>
    </row>
    <row r="279" spans="1:52" ht="30" customHeight="1">
      <c r="A279" s="299" t="s">
        <v>1580</v>
      </c>
      <c r="B279" s="300"/>
      <c r="C279" s="300"/>
      <c r="D279" s="300"/>
      <c r="E279" s="301"/>
      <c r="F279" s="302"/>
      <c r="G279" s="301"/>
      <c r="H279" s="302"/>
      <c r="I279" s="301"/>
      <c r="J279" s="302"/>
      <c r="K279" s="301"/>
      <c r="L279" s="302"/>
      <c r="M279" s="300"/>
      <c r="N279" s="464" t="s">
        <v>1953</v>
      </c>
    </row>
    <row r="280" spans="1:52" ht="30" customHeight="1">
      <c r="A280" s="258" t="s">
        <v>903</v>
      </c>
      <c r="B280" s="258" t="s">
        <v>830</v>
      </c>
      <c r="C280" s="258" t="s">
        <v>831</v>
      </c>
      <c r="D280" s="259">
        <v>0.28999999999999998</v>
      </c>
      <c r="E280" s="303"/>
      <c r="F280" s="297"/>
      <c r="G280" s="303"/>
      <c r="H280" s="297"/>
      <c r="I280" s="303"/>
      <c r="J280" s="297"/>
      <c r="K280" s="303"/>
      <c r="L280" s="297"/>
      <c r="M280" s="258" t="s">
        <v>823</v>
      </c>
      <c r="N280" s="255" t="s">
        <v>50</v>
      </c>
      <c r="O280" s="255" t="s">
        <v>2129</v>
      </c>
      <c r="P280" s="255" t="s">
        <v>599</v>
      </c>
      <c r="Q280" s="255" t="s">
        <v>599</v>
      </c>
      <c r="R280" s="255" t="s">
        <v>598</v>
      </c>
      <c r="S280" s="256"/>
      <c r="T280" s="256"/>
      <c r="U280" s="256"/>
      <c r="V280" s="256">
        <v>1</v>
      </c>
      <c r="W280" s="256"/>
      <c r="X280" s="256"/>
      <c r="Y280" s="256"/>
      <c r="Z280" s="256"/>
      <c r="AA280" s="256"/>
      <c r="AB280" s="256"/>
      <c r="AC280" s="256"/>
      <c r="AD280" s="256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5" t="s">
        <v>50</v>
      </c>
      <c r="AW280" s="255" t="s">
        <v>2190</v>
      </c>
      <c r="AX280" s="255" t="s">
        <v>50</v>
      </c>
      <c r="AY280" s="255" t="s">
        <v>824</v>
      </c>
      <c r="AZ280" s="255" t="s">
        <v>50</v>
      </c>
    </row>
    <row r="281" spans="1:52" ht="30" customHeight="1">
      <c r="A281" s="258" t="s">
        <v>860</v>
      </c>
      <c r="B281" s="258" t="s">
        <v>830</v>
      </c>
      <c r="C281" s="258" t="s">
        <v>831</v>
      </c>
      <c r="D281" s="259">
        <v>0.17</v>
      </c>
      <c r="E281" s="303"/>
      <c r="F281" s="297"/>
      <c r="G281" s="303"/>
      <c r="H281" s="297"/>
      <c r="I281" s="303"/>
      <c r="J281" s="297"/>
      <c r="K281" s="303"/>
      <c r="L281" s="297"/>
      <c r="M281" s="258" t="s">
        <v>823</v>
      </c>
      <c r="N281" s="255" t="s">
        <v>50</v>
      </c>
      <c r="O281" s="255" t="s">
        <v>2051</v>
      </c>
      <c r="P281" s="255" t="s">
        <v>599</v>
      </c>
      <c r="Q281" s="255" t="s">
        <v>599</v>
      </c>
      <c r="R281" s="255" t="s">
        <v>598</v>
      </c>
      <c r="S281" s="256"/>
      <c r="T281" s="256"/>
      <c r="U281" s="256"/>
      <c r="V281" s="256">
        <v>1</v>
      </c>
      <c r="W281" s="256"/>
      <c r="X281" s="256"/>
      <c r="Y281" s="256"/>
      <c r="Z281" s="256"/>
      <c r="AA281" s="256"/>
      <c r="AB281" s="256"/>
      <c r="AC281" s="256"/>
      <c r="AD281" s="256"/>
      <c r="AE281" s="256"/>
      <c r="AF281" s="256"/>
      <c r="AG281" s="256"/>
      <c r="AH281" s="256"/>
      <c r="AI281" s="256"/>
      <c r="AJ281" s="256"/>
      <c r="AK281" s="256"/>
      <c r="AL281" s="256"/>
      <c r="AM281" s="256"/>
      <c r="AN281" s="256"/>
      <c r="AO281" s="256"/>
      <c r="AP281" s="256"/>
      <c r="AQ281" s="256"/>
      <c r="AR281" s="256"/>
      <c r="AS281" s="256"/>
      <c r="AT281" s="256"/>
      <c r="AU281" s="256"/>
      <c r="AV281" s="255" t="s">
        <v>50</v>
      </c>
      <c r="AW281" s="255" t="s">
        <v>2191</v>
      </c>
      <c r="AX281" s="255" t="s">
        <v>50</v>
      </c>
      <c r="AY281" s="255" t="s">
        <v>824</v>
      </c>
      <c r="AZ281" s="255" t="s">
        <v>50</v>
      </c>
    </row>
    <row r="282" spans="1:52" ht="30" customHeight="1">
      <c r="A282" s="258" t="s">
        <v>766</v>
      </c>
      <c r="B282" s="258" t="s">
        <v>767</v>
      </c>
      <c r="C282" s="258" t="s">
        <v>762</v>
      </c>
      <c r="D282" s="259">
        <v>1</v>
      </c>
      <c r="E282" s="303"/>
      <c r="F282" s="297"/>
      <c r="G282" s="303"/>
      <c r="H282" s="297"/>
      <c r="I282" s="303"/>
      <c r="J282" s="297"/>
      <c r="K282" s="303"/>
      <c r="L282" s="297"/>
      <c r="M282" s="258" t="s">
        <v>823</v>
      </c>
      <c r="N282" s="255" t="s">
        <v>50</v>
      </c>
      <c r="O282" s="255" t="s">
        <v>1951</v>
      </c>
      <c r="P282" s="255" t="s">
        <v>598</v>
      </c>
      <c r="Q282" s="255" t="s">
        <v>599</v>
      </c>
      <c r="R282" s="255" t="s">
        <v>599</v>
      </c>
      <c r="S282" s="256"/>
      <c r="T282" s="256"/>
      <c r="U282" s="256"/>
      <c r="V282" s="256">
        <v>1</v>
      </c>
      <c r="W282" s="256"/>
      <c r="X282" s="256"/>
      <c r="Y282" s="256"/>
      <c r="Z282" s="256"/>
      <c r="AA282" s="256"/>
      <c r="AB282" s="256"/>
      <c r="AC282" s="256"/>
      <c r="AD282" s="256"/>
      <c r="AE282" s="256"/>
      <c r="AF282" s="256"/>
      <c r="AG282" s="256"/>
      <c r="AH282" s="256"/>
      <c r="AI282" s="256"/>
      <c r="AJ282" s="256"/>
      <c r="AK282" s="256"/>
      <c r="AL282" s="256"/>
      <c r="AM282" s="256"/>
      <c r="AN282" s="256"/>
      <c r="AO282" s="256"/>
      <c r="AP282" s="256"/>
      <c r="AQ282" s="256"/>
      <c r="AR282" s="256"/>
      <c r="AS282" s="256"/>
      <c r="AT282" s="256"/>
      <c r="AU282" s="256"/>
      <c r="AV282" s="255" t="s">
        <v>50</v>
      </c>
      <c r="AW282" s="255" t="s">
        <v>2192</v>
      </c>
      <c r="AX282" s="255" t="s">
        <v>50</v>
      </c>
      <c r="AY282" s="255" t="s">
        <v>824</v>
      </c>
      <c r="AZ282" s="255" t="s">
        <v>50</v>
      </c>
    </row>
    <row r="283" spans="1:52" ht="30" customHeight="1">
      <c r="A283" s="258" t="s">
        <v>826</v>
      </c>
      <c r="B283" s="258" t="s">
        <v>827</v>
      </c>
      <c r="C283" s="258" t="s">
        <v>146</v>
      </c>
      <c r="D283" s="259">
        <v>1</v>
      </c>
      <c r="E283" s="303"/>
      <c r="F283" s="297"/>
      <c r="G283" s="303"/>
      <c r="H283" s="297"/>
      <c r="I283" s="303"/>
      <c r="J283" s="297"/>
      <c r="K283" s="303"/>
      <c r="L283" s="297"/>
      <c r="M283" s="258" t="s">
        <v>50</v>
      </c>
      <c r="N283" s="255" t="s">
        <v>1953</v>
      </c>
      <c r="O283" s="255" t="s">
        <v>1900</v>
      </c>
      <c r="P283" s="255" t="s">
        <v>599</v>
      </c>
      <c r="Q283" s="255" t="s">
        <v>599</v>
      </c>
      <c r="R283" s="255" t="s">
        <v>599</v>
      </c>
      <c r="S283" s="256">
        <v>3</v>
      </c>
      <c r="T283" s="256">
        <v>2</v>
      </c>
      <c r="U283" s="256">
        <v>1</v>
      </c>
      <c r="V283" s="256"/>
      <c r="W283" s="256"/>
      <c r="X283" s="256"/>
      <c r="Y283" s="256"/>
      <c r="Z283" s="256"/>
      <c r="AA283" s="256"/>
      <c r="AB283" s="256"/>
      <c r="AC283" s="256"/>
      <c r="AD283" s="256"/>
      <c r="AE283" s="256"/>
      <c r="AF283" s="256"/>
      <c r="AG283" s="256"/>
      <c r="AH283" s="256"/>
      <c r="AI283" s="256"/>
      <c r="AJ283" s="256"/>
      <c r="AK283" s="256"/>
      <c r="AL283" s="256"/>
      <c r="AM283" s="256"/>
      <c r="AN283" s="256"/>
      <c r="AO283" s="256"/>
      <c r="AP283" s="256"/>
      <c r="AQ283" s="256"/>
      <c r="AR283" s="256"/>
      <c r="AS283" s="256"/>
      <c r="AT283" s="256"/>
      <c r="AU283" s="256"/>
      <c r="AV283" s="255" t="s">
        <v>50</v>
      </c>
      <c r="AW283" s="255" t="s">
        <v>2193</v>
      </c>
      <c r="AX283" s="255" t="s">
        <v>50</v>
      </c>
      <c r="AY283" s="255" t="s">
        <v>50</v>
      </c>
      <c r="AZ283" s="255" t="s">
        <v>50</v>
      </c>
    </row>
    <row r="284" spans="1:52" ht="30" customHeight="1">
      <c r="A284" s="258" t="s">
        <v>820</v>
      </c>
      <c r="B284" s="258" t="s">
        <v>50</v>
      </c>
      <c r="C284" s="258" t="s">
        <v>50</v>
      </c>
      <c r="D284" s="259"/>
      <c r="E284" s="303"/>
      <c r="F284" s="297"/>
      <c r="G284" s="303"/>
      <c r="H284" s="297"/>
      <c r="I284" s="303"/>
      <c r="J284" s="297"/>
      <c r="K284" s="303"/>
      <c r="L284" s="297"/>
      <c r="M284" s="258" t="s">
        <v>50</v>
      </c>
      <c r="N284" s="255" t="s">
        <v>617</v>
      </c>
      <c r="O284" s="255" t="s">
        <v>617</v>
      </c>
      <c r="P284" s="255" t="s">
        <v>50</v>
      </c>
      <c r="Q284" s="255" t="s">
        <v>50</v>
      </c>
      <c r="R284" s="255" t="s">
        <v>50</v>
      </c>
      <c r="S284" s="256"/>
      <c r="T284" s="256"/>
      <c r="U284" s="256"/>
      <c r="V284" s="256"/>
      <c r="W284" s="256"/>
      <c r="X284" s="256"/>
      <c r="Y284" s="256"/>
      <c r="Z284" s="256"/>
      <c r="AA284" s="256"/>
      <c r="AB284" s="256"/>
      <c r="AC284" s="256"/>
      <c r="AD284" s="256"/>
      <c r="AE284" s="256"/>
      <c r="AF284" s="256"/>
      <c r="AG284" s="256"/>
      <c r="AH284" s="256"/>
      <c r="AI284" s="256"/>
      <c r="AJ284" s="256"/>
      <c r="AK284" s="256"/>
      <c r="AL284" s="256"/>
      <c r="AM284" s="256"/>
      <c r="AN284" s="256"/>
      <c r="AO284" s="256"/>
      <c r="AP284" s="256"/>
      <c r="AQ284" s="256"/>
      <c r="AR284" s="256"/>
      <c r="AS284" s="256"/>
      <c r="AT284" s="256"/>
      <c r="AU284" s="256"/>
      <c r="AV284" s="255" t="s">
        <v>50</v>
      </c>
      <c r="AW284" s="255" t="s">
        <v>50</v>
      </c>
      <c r="AX284" s="255" t="s">
        <v>50</v>
      </c>
      <c r="AY284" s="255" t="s">
        <v>50</v>
      </c>
      <c r="AZ284" s="255" t="s">
        <v>50</v>
      </c>
    </row>
    <row r="285" spans="1:52" ht="30" customHeight="1">
      <c r="A285" s="259"/>
      <c r="B285" s="259"/>
      <c r="C285" s="259"/>
      <c r="D285" s="259"/>
      <c r="E285" s="303"/>
      <c r="F285" s="297"/>
      <c r="G285" s="303"/>
      <c r="H285" s="297"/>
      <c r="I285" s="303"/>
      <c r="J285" s="297"/>
      <c r="K285" s="303"/>
      <c r="L285" s="297"/>
      <c r="M285" s="259"/>
    </row>
    <row r="286" spans="1:52" ht="30" customHeight="1">
      <c r="A286" s="299" t="s">
        <v>1581</v>
      </c>
      <c r="B286" s="300"/>
      <c r="C286" s="300"/>
      <c r="D286" s="300"/>
      <c r="E286" s="301"/>
      <c r="F286" s="302"/>
      <c r="G286" s="301"/>
      <c r="H286" s="302"/>
      <c r="I286" s="301"/>
      <c r="J286" s="302"/>
      <c r="K286" s="301"/>
      <c r="L286" s="302"/>
      <c r="M286" s="300"/>
      <c r="N286" s="464" t="s">
        <v>1954</v>
      </c>
    </row>
    <row r="287" spans="1:52" ht="30" customHeight="1">
      <c r="A287" s="258" t="s">
        <v>860</v>
      </c>
      <c r="B287" s="258" t="s">
        <v>830</v>
      </c>
      <c r="C287" s="258" t="s">
        <v>831</v>
      </c>
      <c r="D287" s="259">
        <v>1.59</v>
      </c>
      <c r="E287" s="303"/>
      <c r="F287" s="297"/>
      <c r="G287" s="303"/>
      <c r="H287" s="297"/>
      <c r="I287" s="303"/>
      <c r="J287" s="297"/>
      <c r="K287" s="303"/>
      <c r="L287" s="297"/>
      <c r="M287" s="258" t="s">
        <v>823</v>
      </c>
      <c r="N287" s="255" t="s">
        <v>50</v>
      </c>
      <c r="O287" s="255" t="s">
        <v>2051</v>
      </c>
      <c r="P287" s="255" t="s">
        <v>599</v>
      </c>
      <c r="Q287" s="255" t="s">
        <v>599</v>
      </c>
      <c r="R287" s="255" t="s">
        <v>598</v>
      </c>
      <c r="S287" s="256"/>
      <c r="T287" s="256"/>
      <c r="U287" s="256"/>
      <c r="V287" s="256">
        <v>1</v>
      </c>
      <c r="W287" s="256">
        <v>2</v>
      </c>
      <c r="X287" s="256"/>
      <c r="Y287" s="256"/>
      <c r="Z287" s="256"/>
      <c r="AA287" s="256"/>
      <c r="AB287" s="256"/>
      <c r="AC287" s="256"/>
      <c r="AD287" s="256"/>
      <c r="AE287" s="256"/>
      <c r="AF287" s="256"/>
      <c r="AG287" s="256"/>
      <c r="AH287" s="256"/>
      <c r="AI287" s="256"/>
      <c r="AJ287" s="256"/>
      <c r="AK287" s="256"/>
      <c r="AL287" s="256"/>
      <c r="AM287" s="256"/>
      <c r="AN287" s="256"/>
      <c r="AO287" s="256"/>
      <c r="AP287" s="256"/>
      <c r="AQ287" s="256"/>
      <c r="AR287" s="256"/>
      <c r="AS287" s="256"/>
      <c r="AT287" s="256"/>
      <c r="AU287" s="256"/>
      <c r="AV287" s="255" t="s">
        <v>50</v>
      </c>
      <c r="AW287" s="255" t="s">
        <v>2194</v>
      </c>
      <c r="AX287" s="255" t="s">
        <v>50</v>
      </c>
      <c r="AY287" s="255" t="s">
        <v>824</v>
      </c>
      <c r="AZ287" s="255" t="s">
        <v>50</v>
      </c>
    </row>
    <row r="288" spans="1:52" ht="30" customHeight="1">
      <c r="A288" s="258" t="s">
        <v>766</v>
      </c>
      <c r="B288" s="258" t="s">
        <v>767</v>
      </c>
      <c r="C288" s="258" t="s">
        <v>762</v>
      </c>
      <c r="D288" s="259">
        <v>2.6</v>
      </c>
      <c r="E288" s="303"/>
      <c r="F288" s="297"/>
      <c r="G288" s="303"/>
      <c r="H288" s="297"/>
      <c r="I288" s="303"/>
      <c r="J288" s="297"/>
      <c r="K288" s="303"/>
      <c r="L288" s="297"/>
      <c r="M288" s="258" t="s">
        <v>823</v>
      </c>
      <c r="N288" s="255" t="s">
        <v>50</v>
      </c>
      <c r="O288" s="255" t="s">
        <v>1951</v>
      </c>
      <c r="P288" s="255" t="s">
        <v>598</v>
      </c>
      <c r="Q288" s="255" t="s">
        <v>599</v>
      </c>
      <c r="R288" s="255" t="s">
        <v>599</v>
      </c>
      <c r="S288" s="256"/>
      <c r="T288" s="256"/>
      <c r="U288" s="256"/>
      <c r="V288" s="256"/>
      <c r="W288" s="256">
        <v>2</v>
      </c>
      <c r="X288" s="256"/>
      <c r="Y288" s="256"/>
      <c r="Z288" s="256"/>
      <c r="AA288" s="256"/>
      <c r="AB288" s="256"/>
      <c r="AC288" s="256"/>
      <c r="AD288" s="256"/>
      <c r="AE288" s="256"/>
      <c r="AF288" s="256"/>
      <c r="AG288" s="256"/>
      <c r="AH288" s="256"/>
      <c r="AI288" s="256"/>
      <c r="AJ288" s="256"/>
      <c r="AK288" s="256"/>
      <c r="AL288" s="256"/>
      <c r="AM288" s="256"/>
      <c r="AN288" s="256"/>
      <c r="AO288" s="256"/>
      <c r="AP288" s="256"/>
      <c r="AQ288" s="256"/>
      <c r="AR288" s="256"/>
      <c r="AS288" s="256"/>
      <c r="AT288" s="256"/>
      <c r="AU288" s="256"/>
      <c r="AV288" s="255" t="s">
        <v>50</v>
      </c>
      <c r="AW288" s="255" t="s">
        <v>2195</v>
      </c>
      <c r="AX288" s="255" t="s">
        <v>50</v>
      </c>
      <c r="AY288" s="255" t="s">
        <v>824</v>
      </c>
      <c r="AZ288" s="255" t="s">
        <v>50</v>
      </c>
    </row>
    <row r="289" spans="1:52" ht="30" customHeight="1">
      <c r="A289" s="258" t="s">
        <v>857</v>
      </c>
      <c r="B289" s="258" t="s">
        <v>874</v>
      </c>
      <c r="C289" s="258" t="s">
        <v>146</v>
      </c>
      <c r="D289" s="259">
        <v>1</v>
      </c>
      <c r="E289" s="303"/>
      <c r="F289" s="297"/>
      <c r="G289" s="303"/>
      <c r="H289" s="297"/>
      <c r="I289" s="303"/>
      <c r="J289" s="297"/>
      <c r="K289" s="303"/>
      <c r="L289" s="297"/>
      <c r="M289" s="258" t="s">
        <v>823</v>
      </c>
      <c r="N289" s="255" t="s">
        <v>50</v>
      </c>
      <c r="O289" s="255" t="s">
        <v>1900</v>
      </c>
      <c r="P289" s="255" t="s">
        <v>599</v>
      </c>
      <c r="Q289" s="255" t="s">
        <v>599</v>
      </c>
      <c r="R289" s="255" t="s">
        <v>599</v>
      </c>
      <c r="S289" s="256">
        <v>1</v>
      </c>
      <c r="T289" s="256">
        <v>2</v>
      </c>
      <c r="U289" s="256">
        <v>0.02</v>
      </c>
      <c r="V289" s="256"/>
      <c r="W289" s="256">
        <v>2</v>
      </c>
      <c r="X289" s="256"/>
      <c r="Y289" s="256"/>
      <c r="Z289" s="256"/>
      <c r="AA289" s="256"/>
      <c r="AB289" s="256"/>
      <c r="AC289" s="256"/>
      <c r="AD289" s="256"/>
      <c r="AE289" s="256"/>
      <c r="AF289" s="256"/>
      <c r="AG289" s="256"/>
      <c r="AH289" s="256"/>
      <c r="AI289" s="256"/>
      <c r="AJ289" s="256"/>
      <c r="AK289" s="256"/>
      <c r="AL289" s="256"/>
      <c r="AM289" s="256"/>
      <c r="AN289" s="256"/>
      <c r="AO289" s="256"/>
      <c r="AP289" s="256"/>
      <c r="AQ289" s="256"/>
      <c r="AR289" s="256"/>
      <c r="AS289" s="256"/>
      <c r="AT289" s="256"/>
      <c r="AU289" s="256"/>
      <c r="AV289" s="255" t="s">
        <v>50</v>
      </c>
      <c r="AW289" s="255" t="s">
        <v>2196</v>
      </c>
      <c r="AX289" s="255" t="s">
        <v>50</v>
      </c>
      <c r="AY289" s="255" t="s">
        <v>824</v>
      </c>
      <c r="AZ289" s="255" t="s">
        <v>50</v>
      </c>
    </row>
    <row r="290" spans="1:52" ht="30" customHeight="1">
      <c r="A290" s="258" t="s">
        <v>826</v>
      </c>
      <c r="B290" s="258" t="s">
        <v>827</v>
      </c>
      <c r="C290" s="258" t="s">
        <v>146</v>
      </c>
      <c r="D290" s="259">
        <v>1</v>
      </c>
      <c r="E290" s="303"/>
      <c r="F290" s="297"/>
      <c r="G290" s="303"/>
      <c r="H290" s="297"/>
      <c r="I290" s="303"/>
      <c r="J290" s="297"/>
      <c r="K290" s="303"/>
      <c r="L290" s="297"/>
      <c r="M290" s="258" t="s">
        <v>50</v>
      </c>
      <c r="N290" s="255" t="s">
        <v>1954</v>
      </c>
      <c r="O290" s="255" t="s">
        <v>2094</v>
      </c>
      <c r="P290" s="255" t="s">
        <v>599</v>
      </c>
      <c r="Q290" s="255" t="s">
        <v>599</v>
      </c>
      <c r="R290" s="255" t="s">
        <v>599</v>
      </c>
      <c r="S290" s="256">
        <v>3</v>
      </c>
      <c r="T290" s="256">
        <v>2</v>
      </c>
      <c r="U290" s="256">
        <v>1</v>
      </c>
      <c r="V290" s="256"/>
      <c r="W290" s="256"/>
      <c r="X290" s="256"/>
      <c r="Y290" s="256"/>
      <c r="Z290" s="256"/>
      <c r="AA290" s="256"/>
      <c r="AB290" s="256"/>
      <c r="AC290" s="256"/>
      <c r="AD290" s="256"/>
      <c r="AE290" s="256"/>
      <c r="AF290" s="256"/>
      <c r="AG290" s="256"/>
      <c r="AH290" s="256"/>
      <c r="AI290" s="256"/>
      <c r="AJ290" s="256"/>
      <c r="AK290" s="256"/>
      <c r="AL290" s="256"/>
      <c r="AM290" s="256"/>
      <c r="AN290" s="256"/>
      <c r="AO290" s="256"/>
      <c r="AP290" s="256"/>
      <c r="AQ290" s="256"/>
      <c r="AR290" s="256"/>
      <c r="AS290" s="256"/>
      <c r="AT290" s="256"/>
      <c r="AU290" s="256"/>
      <c r="AV290" s="255" t="s">
        <v>50</v>
      </c>
      <c r="AW290" s="255" t="s">
        <v>2197</v>
      </c>
      <c r="AX290" s="255" t="s">
        <v>50</v>
      </c>
      <c r="AY290" s="255" t="s">
        <v>50</v>
      </c>
      <c r="AZ290" s="255" t="s">
        <v>50</v>
      </c>
    </row>
    <row r="291" spans="1:52" ht="30" customHeight="1">
      <c r="A291" s="258" t="s">
        <v>820</v>
      </c>
      <c r="B291" s="258" t="s">
        <v>50</v>
      </c>
      <c r="C291" s="258" t="s">
        <v>50</v>
      </c>
      <c r="D291" s="259"/>
      <c r="E291" s="303"/>
      <c r="F291" s="297"/>
      <c r="G291" s="303"/>
      <c r="H291" s="297"/>
      <c r="I291" s="303"/>
      <c r="J291" s="297"/>
      <c r="K291" s="303"/>
      <c r="L291" s="297"/>
      <c r="M291" s="258" t="s">
        <v>50</v>
      </c>
      <c r="N291" s="255" t="s">
        <v>617</v>
      </c>
      <c r="O291" s="255" t="s">
        <v>617</v>
      </c>
      <c r="P291" s="255" t="s">
        <v>50</v>
      </c>
      <c r="Q291" s="255" t="s">
        <v>50</v>
      </c>
      <c r="R291" s="255" t="s">
        <v>50</v>
      </c>
      <c r="S291" s="256"/>
      <c r="T291" s="256"/>
      <c r="U291" s="256"/>
      <c r="V291" s="256"/>
      <c r="W291" s="256"/>
      <c r="X291" s="256"/>
      <c r="Y291" s="256"/>
      <c r="Z291" s="256"/>
      <c r="AA291" s="256"/>
      <c r="AB291" s="256"/>
      <c r="AC291" s="256"/>
      <c r="AD291" s="256"/>
      <c r="AE291" s="256"/>
      <c r="AF291" s="256"/>
      <c r="AG291" s="256"/>
      <c r="AH291" s="256"/>
      <c r="AI291" s="256"/>
      <c r="AJ291" s="256"/>
      <c r="AK291" s="256"/>
      <c r="AL291" s="256"/>
      <c r="AM291" s="256"/>
      <c r="AN291" s="256"/>
      <c r="AO291" s="256"/>
      <c r="AP291" s="256"/>
      <c r="AQ291" s="256"/>
      <c r="AR291" s="256"/>
      <c r="AS291" s="256"/>
      <c r="AT291" s="256"/>
      <c r="AU291" s="256"/>
      <c r="AV291" s="255" t="s">
        <v>50</v>
      </c>
      <c r="AW291" s="255" t="s">
        <v>50</v>
      </c>
      <c r="AX291" s="255" t="s">
        <v>50</v>
      </c>
      <c r="AY291" s="255" t="s">
        <v>50</v>
      </c>
      <c r="AZ291" s="255" t="s">
        <v>50</v>
      </c>
    </row>
    <row r="292" spans="1:52" ht="30" customHeight="1">
      <c r="A292" s="259"/>
      <c r="B292" s="259"/>
      <c r="C292" s="259"/>
      <c r="D292" s="259"/>
      <c r="E292" s="303"/>
      <c r="F292" s="297"/>
      <c r="G292" s="303"/>
      <c r="H292" s="297"/>
      <c r="I292" s="303"/>
      <c r="J292" s="297"/>
      <c r="K292" s="303"/>
      <c r="L292" s="297"/>
      <c r="M292" s="259"/>
    </row>
    <row r="293" spans="1:52" ht="30" customHeight="1">
      <c r="A293" s="299" t="s">
        <v>1582</v>
      </c>
      <c r="B293" s="300"/>
      <c r="C293" s="300"/>
      <c r="D293" s="300"/>
      <c r="E293" s="301"/>
      <c r="F293" s="302"/>
      <c r="G293" s="301"/>
      <c r="H293" s="302"/>
      <c r="I293" s="301"/>
      <c r="J293" s="302"/>
      <c r="K293" s="301"/>
      <c r="L293" s="302"/>
      <c r="M293" s="300"/>
      <c r="N293" s="464" t="s">
        <v>1955</v>
      </c>
    </row>
    <row r="294" spans="1:52" ht="30" customHeight="1">
      <c r="A294" s="258" t="s">
        <v>760</v>
      </c>
      <c r="B294" s="258" t="s">
        <v>770</v>
      </c>
      <c r="C294" s="258" t="s">
        <v>610</v>
      </c>
      <c r="D294" s="259">
        <v>0.20849999999999999</v>
      </c>
      <c r="E294" s="303"/>
      <c r="F294" s="297"/>
      <c r="G294" s="303"/>
      <c r="H294" s="297"/>
      <c r="I294" s="303"/>
      <c r="J294" s="297"/>
      <c r="K294" s="303"/>
      <c r="L294" s="297"/>
      <c r="M294" s="258" t="s">
        <v>382</v>
      </c>
      <c r="N294" s="255" t="s">
        <v>1955</v>
      </c>
      <c r="O294" s="255" t="s">
        <v>2198</v>
      </c>
      <c r="P294" s="255" t="s">
        <v>599</v>
      </c>
      <c r="Q294" s="255" t="s">
        <v>599</v>
      </c>
      <c r="R294" s="255" t="s">
        <v>598</v>
      </c>
      <c r="S294" s="256"/>
      <c r="T294" s="256"/>
      <c r="U294" s="256"/>
      <c r="V294" s="256"/>
      <c r="W294" s="256"/>
      <c r="X294" s="256"/>
      <c r="Y294" s="256"/>
      <c r="Z294" s="256"/>
      <c r="AA294" s="256"/>
      <c r="AB294" s="256"/>
      <c r="AC294" s="256"/>
      <c r="AD294" s="256"/>
      <c r="AE294" s="256"/>
      <c r="AF294" s="256"/>
      <c r="AG294" s="256"/>
      <c r="AH294" s="256"/>
      <c r="AI294" s="256"/>
      <c r="AJ294" s="256"/>
      <c r="AK294" s="256"/>
      <c r="AL294" s="256"/>
      <c r="AM294" s="256"/>
      <c r="AN294" s="256"/>
      <c r="AO294" s="256"/>
      <c r="AP294" s="256"/>
      <c r="AQ294" s="256"/>
      <c r="AR294" s="256"/>
      <c r="AS294" s="256"/>
      <c r="AT294" s="256"/>
      <c r="AU294" s="256"/>
      <c r="AV294" s="255" t="s">
        <v>50</v>
      </c>
      <c r="AW294" s="255" t="s">
        <v>2199</v>
      </c>
      <c r="AX294" s="255" t="s">
        <v>50</v>
      </c>
      <c r="AY294" s="255" t="s">
        <v>50</v>
      </c>
      <c r="AZ294" s="255" t="s">
        <v>50</v>
      </c>
    </row>
    <row r="295" spans="1:52" ht="30" customHeight="1">
      <c r="A295" s="258" t="s">
        <v>904</v>
      </c>
      <c r="B295" s="258" t="s">
        <v>905</v>
      </c>
      <c r="C295" s="258" t="s">
        <v>869</v>
      </c>
      <c r="D295" s="259">
        <v>11.6</v>
      </c>
      <c r="E295" s="303"/>
      <c r="F295" s="297"/>
      <c r="G295" s="303"/>
      <c r="H295" s="297"/>
      <c r="I295" s="303"/>
      <c r="J295" s="297"/>
      <c r="K295" s="303"/>
      <c r="L295" s="297"/>
      <c r="M295" s="258" t="s">
        <v>50</v>
      </c>
      <c r="N295" s="255" t="s">
        <v>1955</v>
      </c>
      <c r="O295" s="255" t="s">
        <v>2148</v>
      </c>
      <c r="P295" s="255" t="s">
        <v>599</v>
      </c>
      <c r="Q295" s="255" t="s">
        <v>599</v>
      </c>
      <c r="R295" s="255" t="s">
        <v>598</v>
      </c>
      <c r="S295" s="256"/>
      <c r="T295" s="256"/>
      <c r="U295" s="256"/>
      <c r="V295" s="256">
        <v>1</v>
      </c>
      <c r="W295" s="256"/>
      <c r="X295" s="256"/>
      <c r="Y295" s="256"/>
      <c r="Z295" s="256"/>
      <c r="AA295" s="256"/>
      <c r="AB295" s="256"/>
      <c r="AC295" s="256"/>
      <c r="AD295" s="256"/>
      <c r="AE295" s="256"/>
      <c r="AF295" s="256"/>
      <c r="AG295" s="256"/>
      <c r="AH295" s="256"/>
      <c r="AI295" s="256"/>
      <c r="AJ295" s="256"/>
      <c r="AK295" s="256"/>
      <c r="AL295" s="256"/>
      <c r="AM295" s="256"/>
      <c r="AN295" s="256"/>
      <c r="AO295" s="256"/>
      <c r="AP295" s="256"/>
      <c r="AQ295" s="256"/>
      <c r="AR295" s="256"/>
      <c r="AS295" s="256"/>
      <c r="AT295" s="256"/>
      <c r="AU295" s="256"/>
      <c r="AV295" s="255" t="s">
        <v>50</v>
      </c>
      <c r="AW295" s="255" t="s">
        <v>2200</v>
      </c>
      <c r="AX295" s="255" t="s">
        <v>50</v>
      </c>
      <c r="AY295" s="255" t="s">
        <v>50</v>
      </c>
      <c r="AZ295" s="255" t="s">
        <v>50</v>
      </c>
    </row>
    <row r="296" spans="1:52" ht="30" customHeight="1">
      <c r="A296" s="258" t="s">
        <v>871</v>
      </c>
      <c r="B296" s="258" t="s">
        <v>909</v>
      </c>
      <c r="C296" s="258" t="s">
        <v>146</v>
      </c>
      <c r="D296" s="259">
        <v>1</v>
      </c>
      <c r="E296" s="303"/>
      <c r="F296" s="297"/>
      <c r="G296" s="303"/>
      <c r="H296" s="297"/>
      <c r="I296" s="303"/>
      <c r="J296" s="297"/>
      <c r="K296" s="303"/>
      <c r="L296" s="297"/>
      <c r="M296" s="258" t="s">
        <v>50</v>
      </c>
      <c r="N296" s="255" t="s">
        <v>1955</v>
      </c>
      <c r="O296" s="255" t="s">
        <v>1900</v>
      </c>
      <c r="P296" s="255" t="s">
        <v>599</v>
      </c>
      <c r="Q296" s="255" t="s">
        <v>599</v>
      </c>
      <c r="R296" s="255" t="s">
        <v>599</v>
      </c>
      <c r="S296" s="256">
        <v>0</v>
      </c>
      <c r="T296" s="256">
        <v>0</v>
      </c>
      <c r="U296" s="256">
        <v>0.22</v>
      </c>
      <c r="V296" s="256"/>
      <c r="W296" s="256"/>
      <c r="X296" s="256"/>
      <c r="Y296" s="256"/>
      <c r="Z296" s="256"/>
      <c r="AA296" s="256"/>
      <c r="AB296" s="256"/>
      <c r="AC296" s="256"/>
      <c r="AD296" s="256"/>
      <c r="AE296" s="256"/>
      <c r="AF296" s="256"/>
      <c r="AG296" s="256"/>
      <c r="AH296" s="256"/>
      <c r="AI296" s="256"/>
      <c r="AJ296" s="256"/>
      <c r="AK296" s="256"/>
      <c r="AL296" s="256"/>
      <c r="AM296" s="256"/>
      <c r="AN296" s="256"/>
      <c r="AO296" s="256"/>
      <c r="AP296" s="256"/>
      <c r="AQ296" s="256"/>
      <c r="AR296" s="256"/>
      <c r="AS296" s="256"/>
      <c r="AT296" s="256"/>
      <c r="AU296" s="256"/>
      <c r="AV296" s="255" t="s">
        <v>50</v>
      </c>
      <c r="AW296" s="255" t="s">
        <v>2201</v>
      </c>
      <c r="AX296" s="255" t="s">
        <v>50</v>
      </c>
      <c r="AY296" s="255" t="s">
        <v>50</v>
      </c>
      <c r="AZ296" s="255" t="s">
        <v>50</v>
      </c>
    </row>
    <row r="297" spans="1:52" ht="30" customHeight="1">
      <c r="A297" s="258" t="s">
        <v>907</v>
      </c>
      <c r="B297" s="258" t="s">
        <v>830</v>
      </c>
      <c r="C297" s="258" t="s">
        <v>831</v>
      </c>
      <c r="D297" s="259">
        <v>1</v>
      </c>
      <c r="E297" s="303"/>
      <c r="F297" s="297"/>
      <c r="G297" s="303"/>
      <c r="H297" s="297"/>
      <c r="I297" s="303"/>
      <c r="J297" s="297"/>
      <c r="K297" s="303"/>
      <c r="L297" s="297"/>
      <c r="M297" s="258" t="s">
        <v>50</v>
      </c>
      <c r="N297" s="255" t="s">
        <v>1955</v>
      </c>
      <c r="O297" s="255" t="s">
        <v>2151</v>
      </c>
      <c r="P297" s="255" t="s">
        <v>599</v>
      </c>
      <c r="Q297" s="255" t="s">
        <v>599</v>
      </c>
      <c r="R297" s="255" t="s">
        <v>598</v>
      </c>
      <c r="S297" s="256"/>
      <c r="T297" s="256"/>
      <c r="U297" s="256"/>
      <c r="V297" s="256"/>
      <c r="W297" s="256"/>
      <c r="X297" s="256"/>
      <c r="Y297" s="256"/>
      <c r="Z297" s="256"/>
      <c r="AA297" s="256"/>
      <c r="AB297" s="256"/>
      <c r="AC297" s="256"/>
      <c r="AD297" s="256"/>
      <c r="AE297" s="256"/>
      <c r="AF297" s="256"/>
      <c r="AG297" s="256"/>
      <c r="AH297" s="256"/>
      <c r="AI297" s="256"/>
      <c r="AJ297" s="256"/>
      <c r="AK297" s="256"/>
      <c r="AL297" s="256"/>
      <c r="AM297" s="256"/>
      <c r="AN297" s="256"/>
      <c r="AO297" s="256"/>
      <c r="AP297" s="256"/>
      <c r="AQ297" s="256"/>
      <c r="AR297" s="256"/>
      <c r="AS297" s="256"/>
      <c r="AT297" s="256"/>
      <c r="AU297" s="256"/>
      <c r="AV297" s="255" t="s">
        <v>50</v>
      </c>
      <c r="AW297" s="255" t="s">
        <v>2202</v>
      </c>
      <c r="AX297" s="255" t="s">
        <v>598</v>
      </c>
      <c r="AY297" s="255" t="s">
        <v>50</v>
      </c>
      <c r="AZ297" s="255" t="s">
        <v>50</v>
      </c>
    </row>
    <row r="298" spans="1:52" ht="30" customHeight="1">
      <c r="A298" s="258" t="s">
        <v>820</v>
      </c>
      <c r="B298" s="258" t="s">
        <v>50</v>
      </c>
      <c r="C298" s="258" t="s">
        <v>50</v>
      </c>
      <c r="D298" s="259"/>
      <c r="E298" s="303"/>
      <c r="F298" s="297"/>
      <c r="G298" s="303"/>
      <c r="H298" s="297"/>
      <c r="I298" s="303"/>
      <c r="J298" s="297"/>
      <c r="K298" s="303"/>
      <c r="L298" s="297"/>
      <c r="M298" s="258" t="s">
        <v>50</v>
      </c>
      <c r="N298" s="255" t="s">
        <v>617</v>
      </c>
      <c r="O298" s="255" t="s">
        <v>617</v>
      </c>
      <c r="P298" s="255" t="s">
        <v>50</v>
      </c>
      <c r="Q298" s="255" t="s">
        <v>50</v>
      </c>
      <c r="R298" s="255" t="s">
        <v>50</v>
      </c>
      <c r="S298" s="256"/>
      <c r="T298" s="256"/>
      <c r="U298" s="256"/>
      <c r="V298" s="256"/>
      <c r="W298" s="256"/>
      <c r="X298" s="256"/>
      <c r="Y298" s="256"/>
      <c r="Z298" s="256"/>
      <c r="AA298" s="256"/>
      <c r="AB298" s="256"/>
      <c r="AC298" s="256"/>
      <c r="AD298" s="256"/>
      <c r="AE298" s="256"/>
      <c r="AF298" s="256"/>
      <c r="AG298" s="256"/>
      <c r="AH298" s="256"/>
      <c r="AI298" s="256"/>
      <c r="AJ298" s="256"/>
      <c r="AK298" s="256"/>
      <c r="AL298" s="256"/>
      <c r="AM298" s="256"/>
      <c r="AN298" s="256"/>
      <c r="AO298" s="256"/>
      <c r="AP298" s="256"/>
      <c r="AQ298" s="256"/>
      <c r="AR298" s="256"/>
      <c r="AS298" s="256"/>
      <c r="AT298" s="256"/>
      <c r="AU298" s="256"/>
      <c r="AV298" s="255" t="s">
        <v>50</v>
      </c>
      <c r="AW298" s="255" t="s">
        <v>50</v>
      </c>
      <c r="AX298" s="255" t="s">
        <v>50</v>
      </c>
      <c r="AY298" s="255" t="s">
        <v>50</v>
      </c>
      <c r="AZ298" s="255" t="s">
        <v>50</v>
      </c>
    </row>
    <row r="299" spans="1:52" ht="30" customHeight="1">
      <c r="A299" s="259"/>
      <c r="B299" s="259"/>
      <c r="C299" s="259"/>
      <c r="D299" s="259"/>
      <c r="E299" s="303"/>
      <c r="F299" s="297"/>
      <c r="G299" s="303"/>
      <c r="H299" s="297"/>
      <c r="I299" s="303"/>
      <c r="J299" s="297"/>
      <c r="K299" s="303"/>
      <c r="L299" s="297"/>
      <c r="M299" s="259"/>
    </row>
    <row r="300" spans="1:52" ht="30" customHeight="1">
      <c r="A300" s="299" t="s">
        <v>1583</v>
      </c>
      <c r="B300" s="300"/>
      <c r="C300" s="300"/>
      <c r="D300" s="300"/>
      <c r="E300" s="301"/>
      <c r="F300" s="302"/>
      <c r="G300" s="301"/>
      <c r="H300" s="302"/>
      <c r="I300" s="301"/>
      <c r="J300" s="302"/>
      <c r="K300" s="301"/>
      <c r="L300" s="302"/>
      <c r="M300" s="300"/>
      <c r="N300" s="464" t="s">
        <v>1956</v>
      </c>
    </row>
    <row r="301" spans="1:52" ht="30" customHeight="1">
      <c r="A301" s="258" t="s">
        <v>771</v>
      </c>
      <c r="B301" s="258" t="s">
        <v>772</v>
      </c>
      <c r="C301" s="258" t="s">
        <v>610</v>
      </c>
      <c r="D301" s="259">
        <v>0.22789999999999999</v>
      </c>
      <c r="E301" s="303"/>
      <c r="F301" s="297"/>
      <c r="G301" s="303"/>
      <c r="H301" s="297"/>
      <c r="I301" s="303"/>
      <c r="J301" s="297"/>
      <c r="K301" s="303"/>
      <c r="L301" s="297"/>
      <c r="M301" s="258" t="s">
        <v>382</v>
      </c>
      <c r="N301" s="255" t="s">
        <v>1956</v>
      </c>
      <c r="O301" s="255" t="s">
        <v>2203</v>
      </c>
      <c r="P301" s="255" t="s">
        <v>599</v>
      </c>
      <c r="Q301" s="255" t="s">
        <v>599</v>
      </c>
      <c r="R301" s="255" t="s">
        <v>598</v>
      </c>
      <c r="S301" s="256"/>
      <c r="T301" s="256"/>
      <c r="U301" s="256"/>
      <c r="V301" s="256"/>
      <c r="W301" s="256"/>
      <c r="X301" s="256"/>
      <c r="Y301" s="256"/>
      <c r="Z301" s="256"/>
      <c r="AA301" s="256"/>
      <c r="AB301" s="256"/>
      <c r="AC301" s="256"/>
      <c r="AD301" s="256"/>
      <c r="AE301" s="256"/>
      <c r="AF301" s="256"/>
      <c r="AG301" s="256"/>
      <c r="AH301" s="256"/>
      <c r="AI301" s="256"/>
      <c r="AJ301" s="256"/>
      <c r="AK301" s="256"/>
      <c r="AL301" s="256"/>
      <c r="AM301" s="256"/>
      <c r="AN301" s="256"/>
      <c r="AO301" s="256"/>
      <c r="AP301" s="256"/>
      <c r="AQ301" s="256"/>
      <c r="AR301" s="256"/>
      <c r="AS301" s="256"/>
      <c r="AT301" s="256"/>
      <c r="AU301" s="256"/>
      <c r="AV301" s="255" t="s">
        <v>50</v>
      </c>
      <c r="AW301" s="255" t="s">
        <v>2204</v>
      </c>
      <c r="AX301" s="255" t="s">
        <v>50</v>
      </c>
      <c r="AY301" s="255" t="s">
        <v>50</v>
      </c>
      <c r="AZ301" s="255" t="s">
        <v>50</v>
      </c>
    </row>
    <row r="302" spans="1:52" ht="30" customHeight="1">
      <c r="A302" s="258" t="s">
        <v>904</v>
      </c>
      <c r="B302" s="258" t="s">
        <v>905</v>
      </c>
      <c r="C302" s="258" t="s">
        <v>869</v>
      </c>
      <c r="D302" s="259">
        <v>15.9</v>
      </c>
      <c r="E302" s="303"/>
      <c r="F302" s="297"/>
      <c r="G302" s="303"/>
      <c r="H302" s="297"/>
      <c r="I302" s="303"/>
      <c r="J302" s="297"/>
      <c r="K302" s="303"/>
      <c r="L302" s="297"/>
      <c r="M302" s="258" t="s">
        <v>50</v>
      </c>
      <c r="N302" s="255" t="s">
        <v>1956</v>
      </c>
      <c r="O302" s="255" t="s">
        <v>2148</v>
      </c>
      <c r="P302" s="255" t="s">
        <v>599</v>
      </c>
      <c r="Q302" s="255" t="s">
        <v>599</v>
      </c>
      <c r="R302" s="255" t="s">
        <v>598</v>
      </c>
      <c r="S302" s="256"/>
      <c r="T302" s="256"/>
      <c r="U302" s="256"/>
      <c r="V302" s="256">
        <v>1</v>
      </c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6"/>
      <c r="AG302" s="256"/>
      <c r="AH302" s="256"/>
      <c r="AI302" s="256"/>
      <c r="AJ302" s="256"/>
      <c r="AK302" s="256"/>
      <c r="AL302" s="256"/>
      <c r="AM302" s="256"/>
      <c r="AN302" s="256"/>
      <c r="AO302" s="256"/>
      <c r="AP302" s="256"/>
      <c r="AQ302" s="256"/>
      <c r="AR302" s="256"/>
      <c r="AS302" s="256"/>
      <c r="AT302" s="256"/>
      <c r="AU302" s="256"/>
      <c r="AV302" s="255" t="s">
        <v>50</v>
      </c>
      <c r="AW302" s="255" t="s">
        <v>2205</v>
      </c>
      <c r="AX302" s="255" t="s">
        <v>50</v>
      </c>
      <c r="AY302" s="255" t="s">
        <v>50</v>
      </c>
      <c r="AZ302" s="255" t="s">
        <v>50</v>
      </c>
    </row>
    <row r="303" spans="1:52" ht="30" customHeight="1">
      <c r="A303" s="258" t="s">
        <v>871</v>
      </c>
      <c r="B303" s="258" t="s">
        <v>910</v>
      </c>
      <c r="C303" s="258" t="s">
        <v>146</v>
      </c>
      <c r="D303" s="259">
        <v>1</v>
      </c>
      <c r="E303" s="303"/>
      <c r="F303" s="297"/>
      <c r="G303" s="303"/>
      <c r="H303" s="297"/>
      <c r="I303" s="303"/>
      <c r="J303" s="297"/>
      <c r="K303" s="303"/>
      <c r="L303" s="297"/>
      <c r="M303" s="258" t="s">
        <v>50</v>
      </c>
      <c r="N303" s="255" t="s">
        <v>1956</v>
      </c>
      <c r="O303" s="255" t="s">
        <v>1900</v>
      </c>
      <c r="P303" s="255" t="s">
        <v>599</v>
      </c>
      <c r="Q303" s="255" t="s">
        <v>599</v>
      </c>
      <c r="R303" s="255" t="s">
        <v>599</v>
      </c>
      <c r="S303" s="256">
        <v>0</v>
      </c>
      <c r="T303" s="256">
        <v>0</v>
      </c>
      <c r="U303" s="256">
        <v>0.38</v>
      </c>
      <c r="V303" s="256"/>
      <c r="W303" s="256"/>
      <c r="X303" s="256"/>
      <c r="Y303" s="256"/>
      <c r="Z303" s="256"/>
      <c r="AA303" s="256"/>
      <c r="AB303" s="256"/>
      <c r="AC303" s="256"/>
      <c r="AD303" s="256"/>
      <c r="AE303" s="256"/>
      <c r="AF303" s="256"/>
      <c r="AG303" s="256"/>
      <c r="AH303" s="256"/>
      <c r="AI303" s="256"/>
      <c r="AJ303" s="256"/>
      <c r="AK303" s="256"/>
      <c r="AL303" s="256"/>
      <c r="AM303" s="256"/>
      <c r="AN303" s="256"/>
      <c r="AO303" s="256"/>
      <c r="AP303" s="256"/>
      <c r="AQ303" s="256"/>
      <c r="AR303" s="256"/>
      <c r="AS303" s="256"/>
      <c r="AT303" s="256"/>
      <c r="AU303" s="256"/>
      <c r="AV303" s="255" t="s">
        <v>50</v>
      </c>
      <c r="AW303" s="255" t="s">
        <v>2206</v>
      </c>
      <c r="AX303" s="255" t="s">
        <v>50</v>
      </c>
      <c r="AY303" s="255" t="s">
        <v>50</v>
      </c>
      <c r="AZ303" s="255" t="s">
        <v>50</v>
      </c>
    </row>
    <row r="304" spans="1:52" ht="30" customHeight="1">
      <c r="A304" s="258" t="s">
        <v>907</v>
      </c>
      <c r="B304" s="258" t="s">
        <v>830</v>
      </c>
      <c r="C304" s="258" t="s">
        <v>831</v>
      </c>
      <c r="D304" s="259">
        <v>1</v>
      </c>
      <c r="E304" s="303"/>
      <c r="F304" s="297"/>
      <c r="G304" s="303"/>
      <c r="H304" s="297"/>
      <c r="I304" s="303"/>
      <c r="J304" s="297"/>
      <c r="K304" s="303"/>
      <c r="L304" s="297"/>
      <c r="M304" s="258" t="s">
        <v>50</v>
      </c>
      <c r="N304" s="255" t="s">
        <v>1956</v>
      </c>
      <c r="O304" s="255" t="s">
        <v>2151</v>
      </c>
      <c r="P304" s="255" t="s">
        <v>599</v>
      </c>
      <c r="Q304" s="255" t="s">
        <v>599</v>
      </c>
      <c r="R304" s="255" t="s">
        <v>598</v>
      </c>
      <c r="S304" s="256"/>
      <c r="T304" s="256"/>
      <c r="U304" s="256"/>
      <c r="V304" s="256"/>
      <c r="W304" s="256"/>
      <c r="X304" s="256"/>
      <c r="Y304" s="256"/>
      <c r="Z304" s="256"/>
      <c r="AA304" s="256"/>
      <c r="AB304" s="256"/>
      <c r="AC304" s="256"/>
      <c r="AD304" s="256"/>
      <c r="AE304" s="256"/>
      <c r="AF304" s="256"/>
      <c r="AG304" s="256"/>
      <c r="AH304" s="256"/>
      <c r="AI304" s="256"/>
      <c r="AJ304" s="256"/>
      <c r="AK304" s="256"/>
      <c r="AL304" s="256"/>
      <c r="AM304" s="256"/>
      <c r="AN304" s="256"/>
      <c r="AO304" s="256"/>
      <c r="AP304" s="256"/>
      <c r="AQ304" s="256"/>
      <c r="AR304" s="256"/>
      <c r="AS304" s="256"/>
      <c r="AT304" s="256"/>
      <c r="AU304" s="256"/>
      <c r="AV304" s="255" t="s">
        <v>50</v>
      </c>
      <c r="AW304" s="255" t="s">
        <v>2207</v>
      </c>
      <c r="AX304" s="255" t="s">
        <v>598</v>
      </c>
      <c r="AY304" s="255" t="s">
        <v>50</v>
      </c>
      <c r="AZ304" s="255" t="s">
        <v>50</v>
      </c>
    </row>
    <row r="305" spans="1:52" ht="30" customHeight="1">
      <c r="A305" s="258" t="s">
        <v>820</v>
      </c>
      <c r="B305" s="258" t="s">
        <v>50</v>
      </c>
      <c r="C305" s="258" t="s">
        <v>50</v>
      </c>
      <c r="D305" s="259"/>
      <c r="E305" s="303"/>
      <c r="F305" s="297"/>
      <c r="G305" s="303"/>
      <c r="H305" s="297"/>
      <c r="I305" s="303"/>
      <c r="J305" s="297"/>
      <c r="K305" s="303"/>
      <c r="L305" s="297"/>
      <c r="M305" s="258" t="s">
        <v>50</v>
      </c>
      <c r="N305" s="255" t="s">
        <v>617</v>
      </c>
      <c r="O305" s="255" t="s">
        <v>617</v>
      </c>
      <c r="P305" s="255" t="s">
        <v>50</v>
      </c>
      <c r="Q305" s="255" t="s">
        <v>50</v>
      </c>
      <c r="R305" s="255" t="s">
        <v>50</v>
      </c>
      <c r="S305" s="256"/>
      <c r="T305" s="256"/>
      <c r="U305" s="256"/>
      <c r="V305" s="256"/>
      <c r="W305" s="256"/>
      <c r="X305" s="256"/>
      <c r="Y305" s="256"/>
      <c r="Z305" s="256"/>
      <c r="AA305" s="256"/>
      <c r="AB305" s="256"/>
      <c r="AC305" s="256"/>
      <c r="AD305" s="256"/>
      <c r="AE305" s="256"/>
      <c r="AF305" s="256"/>
      <c r="AG305" s="256"/>
      <c r="AH305" s="256"/>
      <c r="AI305" s="256"/>
      <c r="AJ305" s="256"/>
      <c r="AK305" s="256"/>
      <c r="AL305" s="256"/>
      <c r="AM305" s="256"/>
      <c r="AN305" s="256"/>
      <c r="AO305" s="256"/>
      <c r="AP305" s="256"/>
      <c r="AQ305" s="256"/>
      <c r="AR305" s="256"/>
      <c r="AS305" s="256"/>
      <c r="AT305" s="256"/>
      <c r="AU305" s="256"/>
      <c r="AV305" s="255" t="s">
        <v>50</v>
      </c>
      <c r="AW305" s="255" t="s">
        <v>50</v>
      </c>
      <c r="AX305" s="255" t="s">
        <v>50</v>
      </c>
      <c r="AY305" s="255" t="s">
        <v>50</v>
      </c>
      <c r="AZ305" s="255" t="s">
        <v>50</v>
      </c>
    </row>
    <row r="306" spans="1:52" ht="30" customHeight="1">
      <c r="A306" s="259"/>
      <c r="B306" s="259"/>
      <c r="C306" s="259"/>
      <c r="D306" s="259"/>
      <c r="E306" s="303"/>
      <c r="F306" s="297"/>
      <c r="G306" s="303"/>
      <c r="H306" s="297"/>
      <c r="I306" s="303"/>
      <c r="J306" s="297"/>
      <c r="K306" s="303"/>
      <c r="L306" s="297"/>
      <c r="M306" s="259"/>
    </row>
    <row r="307" spans="1:52" ht="30" customHeight="1">
      <c r="A307" s="299" t="s">
        <v>1584</v>
      </c>
      <c r="B307" s="300"/>
      <c r="C307" s="300"/>
      <c r="D307" s="300"/>
      <c r="E307" s="301"/>
      <c r="F307" s="302"/>
      <c r="G307" s="301"/>
      <c r="H307" s="302"/>
      <c r="I307" s="301"/>
      <c r="J307" s="302"/>
      <c r="K307" s="301"/>
      <c r="L307" s="302"/>
      <c r="M307" s="300"/>
      <c r="N307" s="464" t="s">
        <v>1957</v>
      </c>
    </row>
    <row r="308" spans="1:52" ht="30" customHeight="1">
      <c r="A308" s="258" t="s">
        <v>773</v>
      </c>
      <c r="B308" s="258" t="s">
        <v>772</v>
      </c>
      <c r="C308" s="258" t="s">
        <v>610</v>
      </c>
      <c r="D308" s="259">
        <v>0.26840000000000003</v>
      </c>
      <c r="E308" s="303"/>
      <c r="F308" s="297"/>
      <c r="G308" s="303"/>
      <c r="H308" s="297"/>
      <c r="I308" s="303"/>
      <c r="J308" s="297"/>
      <c r="K308" s="303"/>
      <c r="L308" s="297"/>
      <c r="M308" s="258" t="s">
        <v>382</v>
      </c>
      <c r="N308" s="255" t="s">
        <v>1957</v>
      </c>
      <c r="O308" s="255" t="s">
        <v>2208</v>
      </c>
      <c r="P308" s="255" t="s">
        <v>599</v>
      </c>
      <c r="Q308" s="255" t="s">
        <v>599</v>
      </c>
      <c r="R308" s="255" t="s">
        <v>598</v>
      </c>
      <c r="S308" s="256"/>
      <c r="T308" s="256"/>
      <c r="U308" s="256"/>
      <c r="V308" s="256"/>
      <c r="W308" s="256"/>
      <c r="X308" s="256"/>
      <c r="Y308" s="256"/>
      <c r="Z308" s="256"/>
      <c r="AA308" s="256"/>
      <c r="AB308" s="256"/>
      <c r="AC308" s="256"/>
      <c r="AD308" s="256"/>
      <c r="AE308" s="256"/>
      <c r="AF308" s="256"/>
      <c r="AG308" s="256"/>
      <c r="AH308" s="256"/>
      <c r="AI308" s="256"/>
      <c r="AJ308" s="256"/>
      <c r="AK308" s="256"/>
      <c r="AL308" s="256"/>
      <c r="AM308" s="256"/>
      <c r="AN308" s="256"/>
      <c r="AO308" s="256"/>
      <c r="AP308" s="256"/>
      <c r="AQ308" s="256"/>
      <c r="AR308" s="256"/>
      <c r="AS308" s="256"/>
      <c r="AT308" s="256"/>
      <c r="AU308" s="256"/>
      <c r="AV308" s="255" t="s">
        <v>50</v>
      </c>
      <c r="AW308" s="255" t="s">
        <v>2209</v>
      </c>
      <c r="AX308" s="255" t="s">
        <v>50</v>
      </c>
      <c r="AY308" s="255" t="s">
        <v>50</v>
      </c>
      <c r="AZ308" s="255" t="s">
        <v>50</v>
      </c>
    </row>
    <row r="309" spans="1:52" ht="30" customHeight="1">
      <c r="A309" s="258" t="s">
        <v>820</v>
      </c>
      <c r="B309" s="258" t="s">
        <v>50</v>
      </c>
      <c r="C309" s="258" t="s">
        <v>50</v>
      </c>
      <c r="D309" s="259"/>
      <c r="E309" s="303"/>
      <c r="F309" s="297"/>
      <c r="G309" s="303"/>
      <c r="H309" s="297"/>
      <c r="I309" s="303"/>
      <c r="J309" s="297"/>
      <c r="K309" s="303"/>
      <c r="L309" s="297"/>
      <c r="M309" s="258" t="s">
        <v>50</v>
      </c>
      <c r="N309" s="255" t="s">
        <v>617</v>
      </c>
      <c r="O309" s="255" t="s">
        <v>617</v>
      </c>
      <c r="P309" s="255" t="s">
        <v>50</v>
      </c>
      <c r="Q309" s="255" t="s">
        <v>50</v>
      </c>
      <c r="R309" s="255" t="s">
        <v>50</v>
      </c>
      <c r="S309" s="256"/>
      <c r="T309" s="256"/>
      <c r="U309" s="256"/>
      <c r="V309" s="256"/>
      <c r="W309" s="256"/>
      <c r="X309" s="256"/>
      <c r="Y309" s="256"/>
      <c r="Z309" s="256"/>
      <c r="AA309" s="256"/>
      <c r="AB309" s="256"/>
      <c r="AC309" s="256"/>
      <c r="AD309" s="256"/>
      <c r="AE309" s="256"/>
      <c r="AF309" s="256"/>
      <c r="AG309" s="256"/>
      <c r="AH309" s="256"/>
      <c r="AI309" s="256"/>
      <c r="AJ309" s="256"/>
      <c r="AK309" s="256"/>
      <c r="AL309" s="256"/>
      <c r="AM309" s="256"/>
      <c r="AN309" s="256"/>
      <c r="AO309" s="256"/>
      <c r="AP309" s="256"/>
      <c r="AQ309" s="256"/>
      <c r="AR309" s="256"/>
      <c r="AS309" s="256"/>
      <c r="AT309" s="256"/>
      <c r="AU309" s="256"/>
      <c r="AV309" s="255" t="s">
        <v>50</v>
      </c>
      <c r="AW309" s="255" t="s">
        <v>50</v>
      </c>
      <c r="AX309" s="255" t="s">
        <v>50</v>
      </c>
      <c r="AY309" s="255" t="s">
        <v>50</v>
      </c>
      <c r="AZ309" s="255" t="s">
        <v>50</v>
      </c>
    </row>
    <row r="310" spans="1:52" ht="30" customHeight="1">
      <c r="A310" s="259"/>
      <c r="B310" s="259"/>
      <c r="C310" s="259"/>
      <c r="D310" s="259"/>
      <c r="E310" s="303"/>
      <c r="F310" s="297"/>
      <c r="G310" s="303"/>
      <c r="H310" s="297"/>
      <c r="I310" s="303"/>
      <c r="J310" s="297"/>
      <c r="K310" s="303"/>
      <c r="L310" s="297"/>
      <c r="M310" s="259"/>
    </row>
    <row r="311" spans="1:52" ht="30" customHeight="1">
      <c r="A311" s="299" t="s">
        <v>1585</v>
      </c>
      <c r="B311" s="300"/>
      <c r="C311" s="300"/>
      <c r="D311" s="300"/>
      <c r="E311" s="301"/>
      <c r="F311" s="302"/>
      <c r="G311" s="301"/>
      <c r="H311" s="302"/>
      <c r="I311" s="301"/>
      <c r="J311" s="302"/>
      <c r="K311" s="301"/>
      <c r="L311" s="302"/>
      <c r="M311" s="300"/>
      <c r="N311" s="464" t="s">
        <v>1958</v>
      </c>
    </row>
    <row r="312" spans="1:52" ht="30" customHeight="1">
      <c r="A312" s="258" t="s">
        <v>897</v>
      </c>
      <c r="B312" s="258" t="s">
        <v>830</v>
      </c>
      <c r="C312" s="258" t="s">
        <v>831</v>
      </c>
      <c r="D312" s="259">
        <v>0.3</v>
      </c>
      <c r="E312" s="303"/>
      <c r="F312" s="297"/>
      <c r="G312" s="303"/>
      <c r="H312" s="297"/>
      <c r="I312" s="303"/>
      <c r="J312" s="297"/>
      <c r="K312" s="303"/>
      <c r="L312" s="297"/>
      <c r="M312" s="258" t="s">
        <v>50</v>
      </c>
      <c r="N312" s="255" t="s">
        <v>1958</v>
      </c>
      <c r="O312" s="255" t="s">
        <v>2153</v>
      </c>
      <c r="P312" s="255" t="s">
        <v>599</v>
      </c>
      <c r="Q312" s="255" t="s">
        <v>599</v>
      </c>
      <c r="R312" s="255" t="s">
        <v>598</v>
      </c>
      <c r="S312" s="256"/>
      <c r="T312" s="256"/>
      <c r="U312" s="256"/>
      <c r="V312" s="256">
        <v>1</v>
      </c>
      <c r="W312" s="256"/>
      <c r="X312" s="256"/>
      <c r="Y312" s="256"/>
      <c r="Z312" s="256"/>
      <c r="AA312" s="256"/>
      <c r="AB312" s="256"/>
      <c r="AC312" s="256"/>
      <c r="AD312" s="256"/>
      <c r="AE312" s="256"/>
      <c r="AF312" s="256"/>
      <c r="AG312" s="256"/>
      <c r="AH312" s="256"/>
      <c r="AI312" s="256"/>
      <c r="AJ312" s="256"/>
      <c r="AK312" s="256"/>
      <c r="AL312" s="256"/>
      <c r="AM312" s="256"/>
      <c r="AN312" s="256"/>
      <c r="AO312" s="256"/>
      <c r="AP312" s="256"/>
      <c r="AQ312" s="256"/>
      <c r="AR312" s="256"/>
      <c r="AS312" s="256"/>
      <c r="AT312" s="256"/>
      <c r="AU312" s="256"/>
      <c r="AV312" s="255" t="s">
        <v>50</v>
      </c>
      <c r="AW312" s="255" t="s">
        <v>2210</v>
      </c>
      <c r="AX312" s="255" t="s">
        <v>50</v>
      </c>
      <c r="AY312" s="255" t="s">
        <v>50</v>
      </c>
      <c r="AZ312" s="255" t="s">
        <v>50</v>
      </c>
    </row>
    <row r="313" spans="1:52" ht="30" customHeight="1">
      <c r="A313" s="258" t="s">
        <v>829</v>
      </c>
      <c r="B313" s="258" t="s">
        <v>830</v>
      </c>
      <c r="C313" s="258" t="s">
        <v>831</v>
      </c>
      <c r="D313" s="259">
        <v>0.3</v>
      </c>
      <c r="E313" s="303"/>
      <c r="F313" s="297"/>
      <c r="G313" s="303"/>
      <c r="H313" s="297"/>
      <c r="I313" s="303"/>
      <c r="J313" s="297"/>
      <c r="K313" s="303"/>
      <c r="L313" s="297"/>
      <c r="M313" s="258" t="s">
        <v>50</v>
      </c>
      <c r="N313" s="255" t="s">
        <v>1958</v>
      </c>
      <c r="O313" s="255" t="s">
        <v>2027</v>
      </c>
      <c r="P313" s="255" t="s">
        <v>599</v>
      </c>
      <c r="Q313" s="255" t="s">
        <v>599</v>
      </c>
      <c r="R313" s="255" t="s">
        <v>598</v>
      </c>
      <c r="S313" s="256"/>
      <c r="T313" s="256"/>
      <c r="U313" s="256"/>
      <c r="V313" s="256">
        <v>1</v>
      </c>
      <c r="W313" s="256"/>
      <c r="X313" s="256"/>
      <c r="Y313" s="256"/>
      <c r="Z313" s="256"/>
      <c r="AA313" s="256"/>
      <c r="AB313" s="256"/>
      <c r="AC313" s="256"/>
      <c r="AD313" s="256"/>
      <c r="AE313" s="256"/>
      <c r="AF313" s="256"/>
      <c r="AG313" s="256"/>
      <c r="AH313" s="256"/>
      <c r="AI313" s="256"/>
      <c r="AJ313" s="256"/>
      <c r="AK313" s="256"/>
      <c r="AL313" s="256"/>
      <c r="AM313" s="256"/>
      <c r="AN313" s="256"/>
      <c r="AO313" s="256"/>
      <c r="AP313" s="256"/>
      <c r="AQ313" s="256"/>
      <c r="AR313" s="256"/>
      <c r="AS313" s="256"/>
      <c r="AT313" s="256"/>
      <c r="AU313" s="256"/>
      <c r="AV313" s="255" t="s">
        <v>50</v>
      </c>
      <c r="AW313" s="255" t="s">
        <v>2211</v>
      </c>
      <c r="AX313" s="255" t="s">
        <v>50</v>
      </c>
      <c r="AY313" s="255" t="s">
        <v>50</v>
      </c>
      <c r="AZ313" s="255" t="s">
        <v>50</v>
      </c>
    </row>
    <row r="314" spans="1:52" ht="30" customHeight="1">
      <c r="A314" s="258" t="s">
        <v>857</v>
      </c>
      <c r="B314" s="258" t="s">
        <v>874</v>
      </c>
      <c r="C314" s="258" t="s">
        <v>146</v>
      </c>
      <c r="D314" s="259">
        <v>1</v>
      </c>
      <c r="E314" s="303"/>
      <c r="F314" s="297"/>
      <c r="G314" s="303"/>
      <c r="H314" s="297"/>
      <c r="I314" s="303"/>
      <c r="J314" s="297"/>
      <c r="K314" s="303"/>
      <c r="L314" s="297"/>
      <c r="M314" s="258" t="s">
        <v>50</v>
      </c>
      <c r="N314" s="255" t="s">
        <v>1958</v>
      </c>
      <c r="O314" s="255" t="s">
        <v>1900</v>
      </c>
      <c r="P314" s="255" t="s">
        <v>599</v>
      </c>
      <c r="Q314" s="255" t="s">
        <v>599</v>
      </c>
      <c r="R314" s="255" t="s">
        <v>599</v>
      </c>
      <c r="S314" s="256">
        <v>1</v>
      </c>
      <c r="T314" s="256">
        <v>2</v>
      </c>
      <c r="U314" s="256">
        <v>0.02</v>
      </c>
      <c r="V314" s="256"/>
      <c r="W314" s="256"/>
      <c r="X314" s="256"/>
      <c r="Y314" s="256"/>
      <c r="Z314" s="256"/>
      <c r="AA314" s="256"/>
      <c r="AB314" s="256"/>
      <c r="AC314" s="256"/>
      <c r="AD314" s="256"/>
      <c r="AE314" s="256"/>
      <c r="AF314" s="256"/>
      <c r="AG314" s="256"/>
      <c r="AH314" s="256"/>
      <c r="AI314" s="256"/>
      <c r="AJ314" s="256"/>
      <c r="AK314" s="256"/>
      <c r="AL314" s="256"/>
      <c r="AM314" s="256"/>
      <c r="AN314" s="256"/>
      <c r="AO314" s="256"/>
      <c r="AP314" s="256"/>
      <c r="AQ314" s="256"/>
      <c r="AR314" s="256"/>
      <c r="AS314" s="256"/>
      <c r="AT314" s="256"/>
      <c r="AU314" s="256"/>
      <c r="AV314" s="255" t="s">
        <v>50</v>
      </c>
      <c r="AW314" s="255" t="s">
        <v>2212</v>
      </c>
      <c r="AX314" s="255" t="s">
        <v>50</v>
      </c>
      <c r="AY314" s="255" t="s">
        <v>50</v>
      </c>
      <c r="AZ314" s="255" t="s">
        <v>50</v>
      </c>
    </row>
    <row r="315" spans="1:52" ht="30" customHeight="1">
      <c r="A315" s="258" t="s">
        <v>820</v>
      </c>
      <c r="B315" s="258" t="s">
        <v>50</v>
      </c>
      <c r="C315" s="258" t="s">
        <v>50</v>
      </c>
      <c r="D315" s="259"/>
      <c r="E315" s="303"/>
      <c r="F315" s="297"/>
      <c r="G315" s="303"/>
      <c r="H315" s="297"/>
      <c r="I315" s="303"/>
      <c r="J315" s="297"/>
      <c r="K315" s="303"/>
      <c r="L315" s="297"/>
      <c r="M315" s="258" t="s">
        <v>50</v>
      </c>
      <c r="N315" s="255" t="s">
        <v>617</v>
      </c>
      <c r="O315" s="255" t="s">
        <v>617</v>
      </c>
      <c r="P315" s="255" t="s">
        <v>50</v>
      </c>
      <c r="Q315" s="255" t="s">
        <v>50</v>
      </c>
      <c r="R315" s="255" t="s">
        <v>50</v>
      </c>
      <c r="S315" s="256"/>
      <c r="T315" s="256"/>
      <c r="U315" s="256"/>
      <c r="V315" s="256"/>
      <c r="W315" s="256"/>
      <c r="X315" s="256"/>
      <c r="Y315" s="256"/>
      <c r="Z315" s="256"/>
      <c r="AA315" s="256"/>
      <c r="AB315" s="256"/>
      <c r="AC315" s="256"/>
      <c r="AD315" s="256"/>
      <c r="AE315" s="256"/>
      <c r="AF315" s="256"/>
      <c r="AG315" s="256"/>
      <c r="AH315" s="256"/>
      <c r="AI315" s="256"/>
      <c r="AJ315" s="256"/>
      <c r="AK315" s="256"/>
      <c r="AL315" s="256"/>
      <c r="AM315" s="256"/>
      <c r="AN315" s="256"/>
      <c r="AO315" s="256"/>
      <c r="AP315" s="256"/>
      <c r="AQ315" s="256"/>
      <c r="AR315" s="256"/>
      <c r="AS315" s="256"/>
      <c r="AT315" s="256"/>
      <c r="AU315" s="256"/>
      <c r="AV315" s="255" t="s">
        <v>50</v>
      </c>
      <c r="AW315" s="255" t="s">
        <v>50</v>
      </c>
      <c r="AX315" s="255" t="s">
        <v>50</v>
      </c>
      <c r="AY315" s="255" t="s">
        <v>50</v>
      </c>
      <c r="AZ315" s="255" t="s">
        <v>50</v>
      </c>
    </row>
    <row r="316" spans="1:52" ht="30" customHeight="1">
      <c r="A316" s="259"/>
      <c r="B316" s="259"/>
      <c r="C316" s="259"/>
      <c r="D316" s="259"/>
      <c r="E316" s="303"/>
      <c r="F316" s="297"/>
      <c r="G316" s="303"/>
      <c r="H316" s="297"/>
      <c r="I316" s="303"/>
      <c r="J316" s="297"/>
      <c r="K316" s="303"/>
      <c r="L316" s="297"/>
      <c r="M316" s="259"/>
    </row>
    <row r="317" spans="1:52" ht="30" customHeight="1">
      <c r="A317" s="299" t="s">
        <v>1781</v>
      </c>
      <c r="B317" s="300"/>
      <c r="C317" s="300"/>
      <c r="D317" s="300"/>
      <c r="E317" s="301"/>
      <c r="F317" s="302"/>
      <c r="G317" s="301"/>
      <c r="H317" s="302"/>
      <c r="I317" s="301"/>
      <c r="J317" s="302"/>
      <c r="K317" s="301"/>
      <c r="L317" s="302"/>
      <c r="M317" s="300"/>
      <c r="N317" s="464" t="s">
        <v>1959</v>
      </c>
    </row>
    <row r="318" spans="1:52" ht="30" customHeight="1">
      <c r="A318" s="258" t="s">
        <v>665</v>
      </c>
      <c r="B318" s="258" t="s">
        <v>776</v>
      </c>
      <c r="C318" s="258" t="s">
        <v>644</v>
      </c>
      <c r="D318" s="259">
        <v>1</v>
      </c>
      <c r="E318" s="303"/>
      <c r="F318" s="297"/>
      <c r="G318" s="303"/>
      <c r="H318" s="297"/>
      <c r="I318" s="303"/>
      <c r="J318" s="297"/>
      <c r="K318" s="303"/>
      <c r="L318" s="297"/>
      <c r="M318" s="258" t="s">
        <v>720</v>
      </c>
      <c r="N318" s="255" t="s">
        <v>1959</v>
      </c>
      <c r="O318" s="255" t="s">
        <v>2213</v>
      </c>
      <c r="P318" s="255" t="s">
        <v>599</v>
      </c>
      <c r="Q318" s="255" t="s">
        <v>598</v>
      </c>
      <c r="R318" s="255" t="s">
        <v>599</v>
      </c>
      <c r="S318" s="256"/>
      <c r="T318" s="256"/>
      <c r="U318" s="256"/>
      <c r="V318" s="256"/>
      <c r="W318" s="256"/>
      <c r="X318" s="256"/>
      <c r="Y318" s="256"/>
      <c r="Z318" s="256"/>
      <c r="AA318" s="256"/>
      <c r="AB318" s="256"/>
      <c r="AC318" s="256"/>
      <c r="AD318" s="256"/>
      <c r="AE318" s="256"/>
      <c r="AF318" s="256"/>
      <c r="AG318" s="256"/>
      <c r="AH318" s="256"/>
      <c r="AI318" s="256"/>
      <c r="AJ318" s="256"/>
      <c r="AK318" s="256"/>
      <c r="AL318" s="256"/>
      <c r="AM318" s="256"/>
      <c r="AN318" s="256"/>
      <c r="AO318" s="256"/>
      <c r="AP318" s="256"/>
      <c r="AQ318" s="256"/>
      <c r="AR318" s="256"/>
      <c r="AS318" s="256"/>
      <c r="AT318" s="256"/>
      <c r="AU318" s="256"/>
      <c r="AV318" s="255" t="s">
        <v>50</v>
      </c>
      <c r="AW318" s="255" t="s">
        <v>2214</v>
      </c>
      <c r="AX318" s="255" t="s">
        <v>50</v>
      </c>
      <c r="AY318" s="255" t="s">
        <v>50</v>
      </c>
      <c r="AZ318" s="255" t="s">
        <v>50</v>
      </c>
    </row>
    <row r="319" spans="1:52" ht="30" customHeight="1">
      <c r="A319" s="258" t="s">
        <v>820</v>
      </c>
      <c r="B319" s="258" t="s">
        <v>50</v>
      </c>
      <c r="C319" s="258" t="s">
        <v>50</v>
      </c>
      <c r="D319" s="259"/>
      <c r="E319" s="303"/>
      <c r="F319" s="297"/>
      <c r="G319" s="303"/>
      <c r="H319" s="297"/>
      <c r="I319" s="303"/>
      <c r="J319" s="297"/>
      <c r="K319" s="303"/>
      <c r="L319" s="297"/>
      <c r="M319" s="258" t="s">
        <v>50</v>
      </c>
      <c r="N319" s="255" t="s">
        <v>617</v>
      </c>
      <c r="O319" s="255" t="s">
        <v>617</v>
      </c>
      <c r="P319" s="255" t="s">
        <v>50</v>
      </c>
      <c r="Q319" s="255" t="s">
        <v>50</v>
      </c>
      <c r="R319" s="255" t="s">
        <v>50</v>
      </c>
      <c r="S319" s="256"/>
      <c r="T319" s="256"/>
      <c r="U319" s="256"/>
      <c r="V319" s="256"/>
      <c r="W319" s="256"/>
      <c r="X319" s="256"/>
      <c r="Y319" s="256"/>
      <c r="Z319" s="256"/>
      <c r="AA319" s="256"/>
      <c r="AB319" s="256"/>
      <c r="AC319" s="256"/>
      <c r="AD319" s="256"/>
      <c r="AE319" s="256"/>
      <c r="AF319" s="256"/>
      <c r="AG319" s="256"/>
      <c r="AH319" s="256"/>
      <c r="AI319" s="256"/>
      <c r="AJ319" s="256"/>
      <c r="AK319" s="256"/>
      <c r="AL319" s="256"/>
      <c r="AM319" s="256"/>
      <c r="AN319" s="256"/>
      <c r="AO319" s="256"/>
      <c r="AP319" s="256"/>
      <c r="AQ319" s="256"/>
      <c r="AR319" s="256"/>
      <c r="AS319" s="256"/>
      <c r="AT319" s="256"/>
      <c r="AU319" s="256"/>
      <c r="AV319" s="255" t="s">
        <v>50</v>
      </c>
      <c r="AW319" s="255" t="s">
        <v>50</v>
      </c>
      <c r="AX319" s="255" t="s">
        <v>50</v>
      </c>
      <c r="AY319" s="255" t="s">
        <v>50</v>
      </c>
      <c r="AZ319" s="255" t="s">
        <v>50</v>
      </c>
    </row>
    <row r="320" spans="1:52" ht="30" customHeight="1">
      <c r="A320" s="259"/>
      <c r="B320" s="259"/>
      <c r="C320" s="259"/>
      <c r="D320" s="259"/>
      <c r="E320" s="303"/>
      <c r="F320" s="297"/>
      <c r="G320" s="303"/>
      <c r="H320" s="297"/>
      <c r="I320" s="303"/>
      <c r="J320" s="297"/>
      <c r="K320" s="303"/>
      <c r="L320" s="297"/>
      <c r="M320" s="259"/>
    </row>
    <row r="321" spans="1:52" ht="30" customHeight="1">
      <c r="A321" s="299" t="s">
        <v>1586</v>
      </c>
      <c r="B321" s="300"/>
      <c r="C321" s="300"/>
      <c r="D321" s="300"/>
      <c r="E321" s="301"/>
      <c r="F321" s="302"/>
      <c r="G321" s="301"/>
      <c r="H321" s="302"/>
      <c r="I321" s="301"/>
      <c r="J321" s="302"/>
      <c r="K321" s="301"/>
      <c r="L321" s="302"/>
      <c r="M321" s="300"/>
      <c r="N321" s="464" t="s">
        <v>1960</v>
      </c>
    </row>
    <row r="322" spans="1:52" ht="30" customHeight="1">
      <c r="A322" s="258" t="s">
        <v>779</v>
      </c>
      <c r="B322" s="258" t="s">
        <v>780</v>
      </c>
      <c r="C322" s="258" t="s">
        <v>610</v>
      </c>
      <c r="D322" s="259">
        <v>0.1615</v>
      </c>
      <c r="E322" s="303"/>
      <c r="F322" s="297"/>
      <c r="G322" s="303"/>
      <c r="H322" s="297"/>
      <c r="I322" s="303"/>
      <c r="J322" s="297"/>
      <c r="K322" s="303"/>
      <c r="L322" s="297"/>
      <c r="M322" s="258" t="s">
        <v>382</v>
      </c>
      <c r="N322" s="255" t="s">
        <v>1960</v>
      </c>
      <c r="O322" s="255" t="s">
        <v>2215</v>
      </c>
      <c r="P322" s="255" t="s">
        <v>599</v>
      </c>
      <c r="Q322" s="255" t="s">
        <v>599</v>
      </c>
      <c r="R322" s="255" t="s">
        <v>598</v>
      </c>
      <c r="S322" s="256"/>
      <c r="T322" s="256"/>
      <c r="U322" s="256"/>
      <c r="V322" s="256"/>
      <c r="W322" s="256"/>
      <c r="X322" s="256"/>
      <c r="Y322" s="256"/>
      <c r="Z322" s="256"/>
      <c r="AA322" s="256"/>
      <c r="AB322" s="256"/>
      <c r="AC322" s="256"/>
      <c r="AD322" s="256"/>
      <c r="AE322" s="256"/>
      <c r="AF322" s="256"/>
      <c r="AG322" s="256"/>
      <c r="AH322" s="256"/>
      <c r="AI322" s="256"/>
      <c r="AJ322" s="256"/>
      <c r="AK322" s="256"/>
      <c r="AL322" s="256"/>
      <c r="AM322" s="256"/>
      <c r="AN322" s="256"/>
      <c r="AO322" s="256"/>
      <c r="AP322" s="256"/>
      <c r="AQ322" s="256"/>
      <c r="AR322" s="256"/>
      <c r="AS322" s="256"/>
      <c r="AT322" s="256"/>
      <c r="AU322" s="256"/>
      <c r="AV322" s="255" t="s">
        <v>50</v>
      </c>
      <c r="AW322" s="255" t="s">
        <v>2216</v>
      </c>
      <c r="AX322" s="255" t="s">
        <v>50</v>
      </c>
      <c r="AY322" s="255" t="s">
        <v>50</v>
      </c>
      <c r="AZ322" s="255" t="s">
        <v>50</v>
      </c>
    </row>
    <row r="323" spans="1:52" ht="30" customHeight="1">
      <c r="A323" s="258" t="s">
        <v>904</v>
      </c>
      <c r="B323" s="258" t="s">
        <v>905</v>
      </c>
      <c r="C323" s="258" t="s">
        <v>869</v>
      </c>
      <c r="D323" s="259">
        <v>18.690000000000001</v>
      </c>
      <c r="E323" s="303"/>
      <c r="F323" s="297"/>
      <c r="G323" s="303"/>
      <c r="H323" s="297"/>
      <c r="I323" s="303"/>
      <c r="J323" s="297"/>
      <c r="K323" s="303"/>
      <c r="L323" s="297"/>
      <c r="M323" s="258" t="s">
        <v>50</v>
      </c>
      <c r="N323" s="255" t="s">
        <v>1960</v>
      </c>
      <c r="O323" s="255" t="s">
        <v>2148</v>
      </c>
      <c r="P323" s="255" t="s">
        <v>599</v>
      </c>
      <c r="Q323" s="255" t="s">
        <v>599</v>
      </c>
      <c r="R323" s="255" t="s">
        <v>598</v>
      </c>
      <c r="S323" s="256"/>
      <c r="T323" s="256"/>
      <c r="U323" s="256"/>
      <c r="V323" s="256">
        <v>1</v>
      </c>
      <c r="W323" s="256"/>
      <c r="X323" s="256"/>
      <c r="Y323" s="256"/>
      <c r="Z323" s="256"/>
      <c r="AA323" s="256"/>
      <c r="AB323" s="256"/>
      <c r="AC323" s="256"/>
      <c r="AD323" s="256"/>
      <c r="AE323" s="256"/>
      <c r="AF323" s="256"/>
      <c r="AG323" s="256"/>
      <c r="AH323" s="256"/>
      <c r="AI323" s="256"/>
      <c r="AJ323" s="256"/>
      <c r="AK323" s="256"/>
      <c r="AL323" s="256"/>
      <c r="AM323" s="256"/>
      <c r="AN323" s="256"/>
      <c r="AO323" s="256"/>
      <c r="AP323" s="256"/>
      <c r="AQ323" s="256"/>
      <c r="AR323" s="256"/>
      <c r="AS323" s="256"/>
      <c r="AT323" s="256"/>
      <c r="AU323" s="256"/>
      <c r="AV323" s="255" t="s">
        <v>50</v>
      </c>
      <c r="AW323" s="255" t="s">
        <v>2217</v>
      </c>
      <c r="AX323" s="255" t="s">
        <v>50</v>
      </c>
      <c r="AY323" s="255" t="s">
        <v>50</v>
      </c>
      <c r="AZ323" s="255" t="s">
        <v>50</v>
      </c>
    </row>
    <row r="324" spans="1:52" ht="30" customHeight="1">
      <c r="A324" s="258" t="s">
        <v>871</v>
      </c>
      <c r="B324" s="258" t="s">
        <v>911</v>
      </c>
      <c r="C324" s="258" t="s">
        <v>146</v>
      </c>
      <c r="D324" s="259">
        <v>1</v>
      </c>
      <c r="E324" s="303"/>
      <c r="F324" s="297"/>
      <c r="G324" s="303"/>
      <c r="H324" s="297"/>
      <c r="I324" s="303"/>
      <c r="J324" s="297"/>
      <c r="K324" s="303"/>
      <c r="L324" s="297"/>
      <c r="M324" s="258" t="s">
        <v>50</v>
      </c>
      <c r="N324" s="255" t="s">
        <v>1960</v>
      </c>
      <c r="O324" s="255" t="s">
        <v>1900</v>
      </c>
      <c r="P324" s="255" t="s">
        <v>599</v>
      </c>
      <c r="Q324" s="255" t="s">
        <v>599</v>
      </c>
      <c r="R324" s="255" t="s">
        <v>599</v>
      </c>
      <c r="S324" s="256">
        <v>0</v>
      </c>
      <c r="T324" s="256">
        <v>0</v>
      </c>
      <c r="U324" s="256">
        <v>0.2</v>
      </c>
      <c r="V324" s="256"/>
      <c r="W324" s="256"/>
      <c r="X324" s="256"/>
      <c r="Y324" s="256"/>
      <c r="Z324" s="256"/>
      <c r="AA324" s="256"/>
      <c r="AB324" s="256"/>
      <c r="AC324" s="256"/>
      <c r="AD324" s="256"/>
      <c r="AE324" s="256"/>
      <c r="AF324" s="256"/>
      <c r="AG324" s="256"/>
      <c r="AH324" s="256"/>
      <c r="AI324" s="256"/>
      <c r="AJ324" s="256"/>
      <c r="AK324" s="256"/>
      <c r="AL324" s="256"/>
      <c r="AM324" s="256"/>
      <c r="AN324" s="256"/>
      <c r="AO324" s="256"/>
      <c r="AP324" s="256"/>
      <c r="AQ324" s="256"/>
      <c r="AR324" s="256"/>
      <c r="AS324" s="256"/>
      <c r="AT324" s="256"/>
      <c r="AU324" s="256"/>
      <c r="AV324" s="255" t="s">
        <v>50</v>
      </c>
      <c r="AW324" s="255" t="s">
        <v>2218</v>
      </c>
      <c r="AX324" s="255" t="s">
        <v>50</v>
      </c>
      <c r="AY324" s="255" t="s">
        <v>50</v>
      </c>
      <c r="AZ324" s="255" t="s">
        <v>50</v>
      </c>
    </row>
    <row r="325" spans="1:52" ht="30" customHeight="1">
      <c r="A325" s="258" t="s">
        <v>907</v>
      </c>
      <c r="B325" s="258" t="s">
        <v>830</v>
      </c>
      <c r="C325" s="258" t="s">
        <v>831</v>
      </c>
      <c r="D325" s="259">
        <v>1</v>
      </c>
      <c r="E325" s="303"/>
      <c r="F325" s="297"/>
      <c r="G325" s="303"/>
      <c r="H325" s="297"/>
      <c r="I325" s="303"/>
      <c r="J325" s="297"/>
      <c r="K325" s="303"/>
      <c r="L325" s="297"/>
      <c r="M325" s="258" t="s">
        <v>50</v>
      </c>
      <c r="N325" s="255" t="s">
        <v>1960</v>
      </c>
      <c r="O325" s="255" t="s">
        <v>2151</v>
      </c>
      <c r="P325" s="255" t="s">
        <v>599</v>
      </c>
      <c r="Q325" s="255" t="s">
        <v>599</v>
      </c>
      <c r="R325" s="255" t="s">
        <v>598</v>
      </c>
      <c r="S325" s="256"/>
      <c r="T325" s="256"/>
      <c r="U325" s="256"/>
      <c r="V325" s="256"/>
      <c r="W325" s="256"/>
      <c r="X325" s="256"/>
      <c r="Y325" s="256"/>
      <c r="Z325" s="256"/>
      <c r="AA325" s="256"/>
      <c r="AB325" s="256"/>
      <c r="AC325" s="256"/>
      <c r="AD325" s="256"/>
      <c r="AE325" s="256"/>
      <c r="AF325" s="256"/>
      <c r="AG325" s="256"/>
      <c r="AH325" s="256"/>
      <c r="AI325" s="256"/>
      <c r="AJ325" s="256"/>
      <c r="AK325" s="256"/>
      <c r="AL325" s="256"/>
      <c r="AM325" s="256"/>
      <c r="AN325" s="256"/>
      <c r="AO325" s="256"/>
      <c r="AP325" s="256"/>
      <c r="AQ325" s="256"/>
      <c r="AR325" s="256"/>
      <c r="AS325" s="256"/>
      <c r="AT325" s="256"/>
      <c r="AU325" s="256"/>
      <c r="AV325" s="255" t="s">
        <v>50</v>
      </c>
      <c r="AW325" s="255" t="s">
        <v>2219</v>
      </c>
      <c r="AX325" s="255" t="s">
        <v>598</v>
      </c>
      <c r="AY325" s="255" t="s">
        <v>50</v>
      </c>
      <c r="AZ325" s="255" t="s">
        <v>50</v>
      </c>
    </row>
    <row r="326" spans="1:52" ht="30" customHeight="1">
      <c r="A326" s="258" t="s">
        <v>820</v>
      </c>
      <c r="B326" s="258" t="s">
        <v>50</v>
      </c>
      <c r="C326" s="258" t="s">
        <v>50</v>
      </c>
      <c r="D326" s="259"/>
      <c r="E326" s="303"/>
      <c r="F326" s="297"/>
      <c r="G326" s="303"/>
      <c r="H326" s="297"/>
      <c r="I326" s="303"/>
      <c r="J326" s="297"/>
      <c r="K326" s="303"/>
      <c r="L326" s="297"/>
      <c r="M326" s="258" t="s">
        <v>50</v>
      </c>
      <c r="N326" s="255" t="s">
        <v>617</v>
      </c>
      <c r="O326" s="255" t="s">
        <v>617</v>
      </c>
      <c r="P326" s="255" t="s">
        <v>50</v>
      </c>
      <c r="Q326" s="255" t="s">
        <v>50</v>
      </c>
      <c r="R326" s="255" t="s">
        <v>50</v>
      </c>
      <c r="S326" s="256"/>
      <c r="T326" s="256"/>
      <c r="U326" s="256"/>
      <c r="V326" s="256"/>
      <c r="W326" s="256"/>
      <c r="X326" s="256"/>
      <c r="Y326" s="256"/>
      <c r="Z326" s="256"/>
      <c r="AA326" s="256"/>
      <c r="AB326" s="256"/>
      <c r="AC326" s="256"/>
      <c r="AD326" s="256"/>
      <c r="AE326" s="256"/>
      <c r="AF326" s="256"/>
      <c r="AG326" s="256"/>
      <c r="AH326" s="256"/>
      <c r="AI326" s="256"/>
      <c r="AJ326" s="256"/>
      <c r="AK326" s="256"/>
      <c r="AL326" s="256"/>
      <c r="AM326" s="256"/>
      <c r="AN326" s="256"/>
      <c r="AO326" s="256"/>
      <c r="AP326" s="256"/>
      <c r="AQ326" s="256"/>
      <c r="AR326" s="256"/>
      <c r="AS326" s="256"/>
      <c r="AT326" s="256"/>
      <c r="AU326" s="256"/>
      <c r="AV326" s="255" t="s">
        <v>50</v>
      </c>
      <c r="AW326" s="255" t="s">
        <v>50</v>
      </c>
      <c r="AX326" s="255" t="s">
        <v>50</v>
      </c>
      <c r="AY326" s="255" t="s">
        <v>50</v>
      </c>
      <c r="AZ326" s="255" t="s">
        <v>50</v>
      </c>
    </row>
    <row r="327" spans="1:52" ht="30" customHeight="1">
      <c r="A327" s="259"/>
      <c r="B327" s="259"/>
      <c r="C327" s="259"/>
      <c r="D327" s="259"/>
      <c r="E327" s="303"/>
      <c r="F327" s="297"/>
      <c r="G327" s="303"/>
      <c r="H327" s="297"/>
      <c r="I327" s="303"/>
      <c r="J327" s="297"/>
      <c r="K327" s="303"/>
      <c r="L327" s="297"/>
      <c r="M327" s="259"/>
    </row>
    <row r="328" spans="1:52" ht="30" customHeight="1">
      <c r="A328" s="299" t="s">
        <v>1587</v>
      </c>
      <c r="B328" s="300"/>
      <c r="C328" s="300"/>
      <c r="D328" s="300"/>
      <c r="E328" s="301"/>
      <c r="F328" s="302"/>
      <c r="G328" s="301"/>
      <c r="H328" s="302"/>
      <c r="I328" s="301"/>
      <c r="J328" s="302"/>
      <c r="K328" s="301"/>
      <c r="L328" s="302"/>
      <c r="M328" s="300"/>
      <c r="N328" s="464" t="s">
        <v>1961</v>
      </c>
    </row>
    <row r="329" spans="1:52" ht="30" customHeight="1">
      <c r="A329" s="258" t="s">
        <v>781</v>
      </c>
      <c r="B329" s="258" t="s">
        <v>782</v>
      </c>
      <c r="C329" s="258" t="s">
        <v>610</v>
      </c>
      <c r="D329" s="259">
        <v>0.32990000000000003</v>
      </c>
      <c r="E329" s="303"/>
      <c r="F329" s="297"/>
      <c r="G329" s="303"/>
      <c r="H329" s="297"/>
      <c r="I329" s="303"/>
      <c r="J329" s="297"/>
      <c r="K329" s="303"/>
      <c r="L329" s="297"/>
      <c r="M329" s="258" t="s">
        <v>382</v>
      </c>
      <c r="N329" s="255" t="s">
        <v>1961</v>
      </c>
      <c r="O329" s="255" t="s">
        <v>2220</v>
      </c>
      <c r="P329" s="255" t="s">
        <v>599</v>
      </c>
      <c r="Q329" s="255" t="s">
        <v>599</v>
      </c>
      <c r="R329" s="255" t="s">
        <v>598</v>
      </c>
      <c r="S329" s="256"/>
      <c r="T329" s="256"/>
      <c r="U329" s="256"/>
      <c r="V329" s="256"/>
      <c r="W329" s="256"/>
      <c r="X329" s="256"/>
      <c r="Y329" s="256"/>
      <c r="Z329" s="256"/>
      <c r="AA329" s="256"/>
      <c r="AB329" s="256"/>
      <c r="AC329" s="256"/>
      <c r="AD329" s="256"/>
      <c r="AE329" s="256"/>
      <c r="AF329" s="256"/>
      <c r="AG329" s="256"/>
      <c r="AH329" s="256"/>
      <c r="AI329" s="256"/>
      <c r="AJ329" s="256"/>
      <c r="AK329" s="256"/>
      <c r="AL329" s="256"/>
      <c r="AM329" s="256"/>
      <c r="AN329" s="256"/>
      <c r="AO329" s="256"/>
      <c r="AP329" s="256"/>
      <c r="AQ329" s="256"/>
      <c r="AR329" s="256"/>
      <c r="AS329" s="256"/>
      <c r="AT329" s="256"/>
      <c r="AU329" s="256"/>
      <c r="AV329" s="255" t="s">
        <v>50</v>
      </c>
      <c r="AW329" s="255" t="s">
        <v>2221</v>
      </c>
      <c r="AX329" s="255" t="s">
        <v>50</v>
      </c>
      <c r="AY329" s="255" t="s">
        <v>50</v>
      </c>
      <c r="AZ329" s="255" t="s">
        <v>50</v>
      </c>
    </row>
    <row r="330" spans="1:52" ht="30" customHeight="1">
      <c r="A330" s="258" t="s">
        <v>820</v>
      </c>
      <c r="B330" s="258" t="s">
        <v>50</v>
      </c>
      <c r="C330" s="258" t="s">
        <v>50</v>
      </c>
      <c r="D330" s="259"/>
      <c r="E330" s="303"/>
      <c r="F330" s="297"/>
      <c r="G330" s="303"/>
      <c r="H330" s="297"/>
      <c r="I330" s="303"/>
      <c r="J330" s="297"/>
      <c r="K330" s="303"/>
      <c r="L330" s="297"/>
      <c r="M330" s="258" t="s">
        <v>50</v>
      </c>
      <c r="N330" s="255" t="s">
        <v>617</v>
      </c>
      <c r="O330" s="255" t="s">
        <v>617</v>
      </c>
      <c r="P330" s="255" t="s">
        <v>50</v>
      </c>
      <c r="Q330" s="255" t="s">
        <v>50</v>
      </c>
      <c r="R330" s="255" t="s">
        <v>50</v>
      </c>
      <c r="S330" s="256"/>
      <c r="T330" s="256"/>
      <c r="U330" s="256"/>
      <c r="V330" s="256"/>
      <c r="W330" s="256"/>
      <c r="X330" s="256"/>
      <c r="Y330" s="256"/>
      <c r="Z330" s="256"/>
      <c r="AA330" s="256"/>
      <c r="AB330" s="256"/>
      <c r="AC330" s="256"/>
      <c r="AD330" s="256"/>
      <c r="AE330" s="256"/>
      <c r="AF330" s="256"/>
      <c r="AG330" s="256"/>
      <c r="AH330" s="256"/>
      <c r="AI330" s="256"/>
      <c r="AJ330" s="256"/>
      <c r="AK330" s="256"/>
      <c r="AL330" s="256"/>
      <c r="AM330" s="256"/>
      <c r="AN330" s="256"/>
      <c r="AO330" s="256"/>
      <c r="AP330" s="256"/>
      <c r="AQ330" s="256"/>
      <c r="AR330" s="256"/>
      <c r="AS330" s="256"/>
      <c r="AT330" s="256"/>
      <c r="AU330" s="256"/>
      <c r="AV330" s="255" t="s">
        <v>50</v>
      </c>
      <c r="AW330" s="255" t="s">
        <v>50</v>
      </c>
      <c r="AX330" s="255" t="s">
        <v>50</v>
      </c>
      <c r="AY330" s="255" t="s">
        <v>50</v>
      </c>
      <c r="AZ330" s="255" t="s">
        <v>50</v>
      </c>
    </row>
    <row r="331" spans="1:52" ht="30" customHeight="1">
      <c r="A331" s="259"/>
      <c r="B331" s="259"/>
      <c r="C331" s="259"/>
      <c r="D331" s="259"/>
      <c r="E331" s="303"/>
      <c r="F331" s="297"/>
      <c r="G331" s="303"/>
      <c r="H331" s="297"/>
      <c r="I331" s="303"/>
      <c r="J331" s="297"/>
      <c r="K331" s="303"/>
      <c r="L331" s="297"/>
      <c r="M331" s="259"/>
    </row>
    <row r="332" spans="1:52" ht="30" customHeight="1">
      <c r="A332" s="299" t="s">
        <v>1588</v>
      </c>
      <c r="B332" s="300"/>
      <c r="C332" s="300"/>
      <c r="D332" s="300"/>
      <c r="E332" s="301"/>
      <c r="F332" s="302"/>
      <c r="G332" s="301"/>
      <c r="H332" s="302"/>
      <c r="I332" s="301"/>
      <c r="J332" s="302"/>
      <c r="K332" s="301"/>
      <c r="L332" s="302"/>
      <c r="M332" s="300"/>
      <c r="N332" s="464" t="s">
        <v>1962</v>
      </c>
    </row>
    <row r="333" spans="1:52" ht="30" customHeight="1">
      <c r="A333" s="258" t="s">
        <v>783</v>
      </c>
      <c r="B333" s="258" t="s">
        <v>784</v>
      </c>
      <c r="C333" s="258" t="s">
        <v>610</v>
      </c>
      <c r="D333" s="259">
        <v>0.23619999999999999</v>
      </c>
      <c r="E333" s="303"/>
      <c r="F333" s="297"/>
      <c r="G333" s="303"/>
      <c r="H333" s="297"/>
      <c r="I333" s="303"/>
      <c r="J333" s="297"/>
      <c r="K333" s="303"/>
      <c r="L333" s="297"/>
      <c r="M333" s="258" t="s">
        <v>382</v>
      </c>
      <c r="N333" s="255" t="s">
        <v>1962</v>
      </c>
      <c r="O333" s="255" t="s">
        <v>2222</v>
      </c>
      <c r="P333" s="255" t="s">
        <v>599</v>
      </c>
      <c r="Q333" s="255" t="s">
        <v>599</v>
      </c>
      <c r="R333" s="255" t="s">
        <v>598</v>
      </c>
      <c r="S333" s="256"/>
      <c r="T333" s="256"/>
      <c r="U333" s="256"/>
      <c r="V333" s="256"/>
      <c r="W333" s="256"/>
      <c r="X333" s="256"/>
      <c r="Y333" s="256"/>
      <c r="Z333" s="256"/>
      <c r="AA333" s="256"/>
      <c r="AB333" s="256"/>
      <c r="AC333" s="256"/>
      <c r="AD333" s="256"/>
      <c r="AE333" s="256"/>
      <c r="AF333" s="256"/>
      <c r="AG333" s="256"/>
      <c r="AH333" s="256"/>
      <c r="AI333" s="256"/>
      <c r="AJ333" s="256"/>
      <c r="AK333" s="256"/>
      <c r="AL333" s="256"/>
      <c r="AM333" s="256"/>
      <c r="AN333" s="256"/>
      <c r="AO333" s="256"/>
      <c r="AP333" s="256"/>
      <c r="AQ333" s="256"/>
      <c r="AR333" s="256"/>
      <c r="AS333" s="256"/>
      <c r="AT333" s="256"/>
      <c r="AU333" s="256"/>
      <c r="AV333" s="255" t="s">
        <v>50</v>
      </c>
      <c r="AW333" s="255" t="s">
        <v>2223</v>
      </c>
      <c r="AX333" s="255" t="s">
        <v>50</v>
      </c>
      <c r="AY333" s="255" t="s">
        <v>50</v>
      </c>
      <c r="AZ333" s="255" t="s">
        <v>50</v>
      </c>
    </row>
    <row r="334" spans="1:52" ht="30" customHeight="1">
      <c r="A334" s="258" t="s">
        <v>904</v>
      </c>
      <c r="B334" s="258" t="s">
        <v>905</v>
      </c>
      <c r="C334" s="258" t="s">
        <v>869</v>
      </c>
      <c r="D334" s="259">
        <v>68.900000000000006</v>
      </c>
      <c r="E334" s="303"/>
      <c r="F334" s="297"/>
      <c r="G334" s="303"/>
      <c r="H334" s="297"/>
      <c r="I334" s="303"/>
      <c r="J334" s="297"/>
      <c r="K334" s="303"/>
      <c r="L334" s="297"/>
      <c r="M334" s="258" t="s">
        <v>50</v>
      </c>
      <c r="N334" s="255" t="s">
        <v>1962</v>
      </c>
      <c r="O334" s="255" t="s">
        <v>2148</v>
      </c>
      <c r="P334" s="255" t="s">
        <v>599</v>
      </c>
      <c r="Q334" s="255" t="s">
        <v>599</v>
      </c>
      <c r="R334" s="255" t="s">
        <v>598</v>
      </c>
      <c r="S334" s="256"/>
      <c r="T334" s="256"/>
      <c r="U334" s="256"/>
      <c r="V334" s="256">
        <v>1</v>
      </c>
      <c r="W334" s="256"/>
      <c r="X334" s="256"/>
      <c r="Y334" s="256"/>
      <c r="Z334" s="256"/>
      <c r="AA334" s="256"/>
      <c r="AB334" s="256"/>
      <c r="AC334" s="256"/>
      <c r="AD334" s="256"/>
      <c r="AE334" s="256"/>
      <c r="AF334" s="256"/>
      <c r="AG334" s="256"/>
      <c r="AH334" s="256"/>
      <c r="AI334" s="256"/>
      <c r="AJ334" s="256"/>
      <c r="AK334" s="256"/>
      <c r="AL334" s="256"/>
      <c r="AM334" s="256"/>
      <c r="AN334" s="256"/>
      <c r="AO334" s="256"/>
      <c r="AP334" s="256"/>
      <c r="AQ334" s="256"/>
      <c r="AR334" s="256"/>
      <c r="AS334" s="256"/>
      <c r="AT334" s="256"/>
      <c r="AU334" s="256"/>
      <c r="AV334" s="255" t="s">
        <v>50</v>
      </c>
      <c r="AW334" s="255" t="s">
        <v>2224</v>
      </c>
      <c r="AX334" s="255" t="s">
        <v>50</v>
      </c>
      <c r="AY334" s="255" t="s">
        <v>50</v>
      </c>
      <c r="AZ334" s="255" t="s">
        <v>50</v>
      </c>
    </row>
    <row r="335" spans="1:52" ht="30" customHeight="1">
      <c r="A335" s="258" t="s">
        <v>871</v>
      </c>
      <c r="B335" s="258" t="s">
        <v>912</v>
      </c>
      <c r="C335" s="258" t="s">
        <v>146</v>
      </c>
      <c r="D335" s="259">
        <v>1</v>
      </c>
      <c r="E335" s="303"/>
      <c r="F335" s="297"/>
      <c r="G335" s="303"/>
      <c r="H335" s="297"/>
      <c r="I335" s="303"/>
      <c r="J335" s="297"/>
      <c r="K335" s="303"/>
      <c r="L335" s="297"/>
      <c r="M335" s="258" t="s">
        <v>50</v>
      </c>
      <c r="N335" s="255" t="s">
        <v>1962</v>
      </c>
      <c r="O335" s="255" t="s">
        <v>1900</v>
      </c>
      <c r="P335" s="255" t="s">
        <v>599</v>
      </c>
      <c r="Q335" s="255" t="s">
        <v>599</v>
      </c>
      <c r="R335" s="255" t="s">
        <v>599</v>
      </c>
      <c r="S335" s="256">
        <v>0</v>
      </c>
      <c r="T335" s="256">
        <v>0</v>
      </c>
      <c r="U335" s="256">
        <v>0.24</v>
      </c>
      <c r="V335" s="256"/>
      <c r="W335" s="256"/>
      <c r="X335" s="256"/>
      <c r="Y335" s="256"/>
      <c r="Z335" s="256"/>
      <c r="AA335" s="256"/>
      <c r="AB335" s="256"/>
      <c r="AC335" s="256"/>
      <c r="AD335" s="256"/>
      <c r="AE335" s="256"/>
      <c r="AF335" s="256"/>
      <c r="AG335" s="256"/>
      <c r="AH335" s="256"/>
      <c r="AI335" s="256"/>
      <c r="AJ335" s="256"/>
      <c r="AK335" s="256"/>
      <c r="AL335" s="256"/>
      <c r="AM335" s="256"/>
      <c r="AN335" s="256"/>
      <c r="AO335" s="256"/>
      <c r="AP335" s="256"/>
      <c r="AQ335" s="256"/>
      <c r="AR335" s="256"/>
      <c r="AS335" s="256"/>
      <c r="AT335" s="256"/>
      <c r="AU335" s="256"/>
      <c r="AV335" s="255" t="s">
        <v>50</v>
      </c>
      <c r="AW335" s="255" t="s">
        <v>2225</v>
      </c>
      <c r="AX335" s="255" t="s">
        <v>50</v>
      </c>
      <c r="AY335" s="255" t="s">
        <v>50</v>
      </c>
      <c r="AZ335" s="255" t="s">
        <v>50</v>
      </c>
    </row>
    <row r="336" spans="1:52" ht="30" customHeight="1">
      <c r="A336" s="258" t="s">
        <v>913</v>
      </c>
      <c r="B336" s="258" t="s">
        <v>830</v>
      </c>
      <c r="C336" s="258" t="s">
        <v>831</v>
      </c>
      <c r="D336" s="259">
        <v>1</v>
      </c>
      <c r="E336" s="303"/>
      <c r="F336" s="297"/>
      <c r="G336" s="303"/>
      <c r="H336" s="297"/>
      <c r="I336" s="303"/>
      <c r="J336" s="297"/>
      <c r="K336" s="303"/>
      <c r="L336" s="297"/>
      <c r="M336" s="258" t="s">
        <v>50</v>
      </c>
      <c r="N336" s="255" t="s">
        <v>1962</v>
      </c>
      <c r="O336" s="255" t="s">
        <v>2226</v>
      </c>
      <c r="P336" s="255" t="s">
        <v>599</v>
      </c>
      <c r="Q336" s="255" t="s">
        <v>599</v>
      </c>
      <c r="R336" s="255" t="s">
        <v>598</v>
      </c>
      <c r="S336" s="256"/>
      <c r="T336" s="256"/>
      <c r="U336" s="256"/>
      <c r="V336" s="256"/>
      <c r="W336" s="256"/>
      <c r="X336" s="256"/>
      <c r="Y336" s="256"/>
      <c r="Z336" s="256"/>
      <c r="AA336" s="256"/>
      <c r="AB336" s="256"/>
      <c r="AC336" s="256"/>
      <c r="AD336" s="256"/>
      <c r="AE336" s="256"/>
      <c r="AF336" s="256"/>
      <c r="AG336" s="256"/>
      <c r="AH336" s="256"/>
      <c r="AI336" s="256"/>
      <c r="AJ336" s="256"/>
      <c r="AK336" s="256"/>
      <c r="AL336" s="256"/>
      <c r="AM336" s="256"/>
      <c r="AN336" s="256"/>
      <c r="AO336" s="256"/>
      <c r="AP336" s="256"/>
      <c r="AQ336" s="256"/>
      <c r="AR336" s="256"/>
      <c r="AS336" s="256"/>
      <c r="AT336" s="256"/>
      <c r="AU336" s="256"/>
      <c r="AV336" s="255" t="s">
        <v>50</v>
      </c>
      <c r="AW336" s="255" t="s">
        <v>2227</v>
      </c>
      <c r="AX336" s="255" t="s">
        <v>598</v>
      </c>
      <c r="AY336" s="255" t="s">
        <v>50</v>
      </c>
      <c r="AZ336" s="255" t="s">
        <v>50</v>
      </c>
    </row>
    <row r="337" spans="1:52" ht="30" customHeight="1">
      <c r="A337" s="258" t="s">
        <v>820</v>
      </c>
      <c r="B337" s="258" t="s">
        <v>50</v>
      </c>
      <c r="C337" s="258" t="s">
        <v>50</v>
      </c>
      <c r="D337" s="259"/>
      <c r="E337" s="303"/>
      <c r="F337" s="297"/>
      <c r="G337" s="303"/>
      <c r="H337" s="297"/>
      <c r="I337" s="303"/>
      <c r="J337" s="297"/>
      <c r="K337" s="303"/>
      <c r="L337" s="297"/>
      <c r="M337" s="258" t="s">
        <v>50</v>
      </c>
      <c r="N337" s="255" t="s">
        <v>617</v>
      </c>
      <c r="O337" s="255" t="s">
        <v>617</v>
      </c>
      <c r="P337" s="255" t="s">
        <v>50</v>
      </c>
      <c r="Q337" s="255" t="s">
        <v>50</v>
      </c>
      <c r="R337" s="255" t="s">
        <v>50</v>
      </c>
      <c r="S337" s="256"/>
      <c r="T337" s="256"/>
      <c r="U337" s="256"/>
      <c r="V337" s="256"/>
      <c r="W337" s="256"/>
      <c r="X337" s="256"/>
      <c r="Y337" s="256"/>
      <c r="Z337" s="256"/>
      <c r="AA337" s="256"/>
      <c r="AB337" s="256"/>
      <c r="AC337" s="256"/>
      <c r="AD337" s="256"/>
      <c r="AE337" s="256"/>
      <c r="AF337" s="256"/>
      <c r="AG337" s="256"/>
      <c r="AH337" s="256"/>
      <c r="AI337" s="256"/>
      <c r="AJ337" s="256"/>
      <c r="AK337" s="256"/>
      <c r="AL337" s="256"/>
      <c r="AM337" s="256"/>
      <c r="AN337" s="256"/>
      <c r="AO337" s="256"/>
      <c r="AP337" s="256"/>
      <c r="AQ337" s="256"/>
      <c r="AR337" s="256"/>
      <c r="AS337" s="256"/>
      <c r="AT337" s="256"/>
      <c r="AU337" s="256"/>
      <c r="AV337" s="255" t="s">
        <v>50</v>
      </c>
      <c r="AW337" s="255" t="s">
        <v>50</v>
      </c>
      <c r="AX337" s="255" t="s">
        <v>598</v>
      </c>
      <c r="AY337" s="255" t="s">
        <v>50</v>
      </c>
      <c r="AZ337" s="255" t="s">
        <v>50</v>
      </c>
    </row>
    <row r="338" spans="1:52" ht="30" customHeight="1">
      <c r="A338" s="259"/>
      <c r="B338" s="259"/>
      <c r="C338" s="259"/>
      <c r="D338" s="259"/>
      <c r="E338" s="303"/>
      <c r="F338" s="297"/>
      <c r="G338" s="303"/>
      <c r="H338" s="297"/>
      <c r="I338" s="303"/>
      <c r="J338" s="297"/>
      <c r="K338" s="303"/>
      <c r="L338" s="297"/>
      <c r="M338" s="259"/>
    </row>
    <row r="339" spans="1:52" ht="30" customHeight="1">
      <c r="A339" s="299" t="s">
        <v>1589</v>
      </c>
      <c r="B339" s="300"/>
      <c r="C339" s="300"/>
      <c r="D339" s="300"/>
      <c r="E339" s="301"/>
      <c r="F339" s="302"/>
      <c r="G339" s="301"/>
      <c r="H339" s="302"/>
      <c r="I339" s="301"/>
      <c r="J339" s="302"/>
      <c r="K339" s="301"/>
      <c r="L339" s="302"/>
      <c r="M339" s="300"/>
      <c r="N339" s="464" t="s">
        <v>1963</v>
      </c>
    </row>
    <row r="340" spans="1:52" ht="30" customHeight="1">
      <c r="A340" s="258" t="s">
        <v>783</v>
      </c>
      <c r="B340" s="258" t="s">
        <v>785</v>
      </c>
      <c r="C340" s="258" t="s">
        <v>610</v>
      </c>
      <c r="D340" s="259">
        <v>0.23619999999999999</v>
      </c>
      <c r="E340" s="303"/>
      <c r="F340" s="297"/>
      <c r="G340" s="303"/>
      <c r="H340" s="297"/>
      <c r="I340" s="303"/>
      <c r="J340" s="297"/>
      <c r="K340" s="303"/>
      <c r="L340" s="297"/>
      <c r="M340" s="258" t="s">
        <v>382</v>
      </c>
      <c r="N340" s="255" t="s">
        <v>1963</v>
      </c>
      <c r="O340" s="255" t="s">
        <v>2228</v>
      </c>
      <c r="P340" s="255" t="s">
        <v>599</v>
      </c>
      <c r="Q340" s="255" t="s">
        <v>599</v>
      </c>
      <c r="R340" s="255" t="s">
        <v>598</v>
      </c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256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  <c r="AO340" s="256"/>
      <c r="AP340" s="256"/>
      <c r="AQ340" s="256"/>
      <c r="AR340" s="256"/>
      <c r="AS340" s="256"/>
      <c r="AT340" s="256"/>
      <c r="AU340" s="256"/>
      <c r="AV340" s="255" t="s">
        <v>50</v>
      </c>
      <c r="AW340" s="255" t="s">
        <v>2229</v>
      </c>
      <c r="AX340" s="255" t="s">
        <v>50</v>
      </c>
      <c r="AY340" s="255" t="s">
        <v>50</v>
      </c>
      <c r="AZ340" s="255" t="s">
        <v>50</v>
      </c>
    </row>
    <row r="341" spans="1:52" ht="30" customHeight="1">
      <c r="A341" s="258" t="s">
        <v>904</v>
      </c>
      <c r="B341" s="258" t="s">
        <v>905</v>
      </c>
      <c r="C341" s="258" t="s">
        <v>869</v>
      </c>
      <c r="D341" s="259">
        <v>17.399999999999999</v>
      </c>
      <c r="E341" s="303"/>
      <c r="F341" s="297"/>
      <c r="G341" s="303"/>
      <c r="H341" s="297"/>
      <c r="I341" s="303"/>
      <c r="J341" s="297"/>
      <c r="K341" s="303"/>
      <c r="L341" s="297"/>
      <c r="M341" s="258" t="s">
        <v>50</v>
      </c>
      <c r="N341" s="255" t="s">
        <v>1963</v>
      </c>
      <c r="O341" s="255" t="s">
        <v>2148</v>
      </c>
      <c r="P341" s="255" t="s">
        <v>599</v>
      </c>
      <c r="Q341" s="255" t="s">
        <v>599</v>
      </c>
      <c r="R341" s="255" t="s">
        <v>598</v>
      </c>
      <c r="S341" s="256"/>
      <c r="T341" s="256"/>
      <c r="U341" s="256"/>
      <c r="V341" s="256">
        <v>1</v>
      </c>
      <c r="W341" s="256"/>
      <c r="X341" s="256"/>
      <c r="Y341" s="256"/>
      <c r="Z341" s="256"/>
      <c r="AA341" s="256"/>
      <c r="AB341" s="256"/>
      <c r="AC341" s="256"/>
      <c r="AD341" s="256"/>
      <c r="AE341" s="256"/>
      <c r="AF341" s="256"/>
      <c r="AG341" s="256"/>
      <c r="AH341" s="256"/>
      <c r="AI341" s="256"/>
      <c r="AJ341" s="256"/>
      <c r="AK341" s="256"/>
      <c r="AL341" s="256"/>
      <c r="AM341" s="256"/>
      <c r="AN341" s="256"/>
      <c r="AO341" s="256"/>
      <c r="AP341" s="256"/>
      <c r="AQ341" s="256"/>
      <c r="AR341" s="256"/>
      <c r="AS341" s="256"/>
      <c r="AT341" s="256"/>
      <c r="AU341" s="256"/>
      <c r="AV341" s="255" t="s">
        <v>50</v>
      </c>
      <c r="AW341" s="255" t="s">
        <v>2230</v>
      </c>
      <c r="AX341" s="255" t="s">
        <v>50</v>
      </c>
      <c r="AY341" s="255" t="s">
        <v>50</v>
      </c>
      <c r="AZ341" s="255" t="s">
        <v>50</v>
      </c>
    </row>
    <row r="342" spans="1:52" ht="30" customHeight="1">
      <c r="A342" s="258" t="s">
        <v>871</v>
      </c>
      <c r="B342" s="258" t="s">
        <v>912</v>
      </c>
      <c r="C342" s="258" t="s">
        <v>146</v>
      </c>
      <c r="D342" s="259">
        <v>1</v>
      </c>
      <c r="E342" s="303"/>
      <c r="F342" s="297"/>
      <c r="G342" s="303"/>
      <c r="H342" s="297"/>
      <c r="I342" s="303"/>
      <c r="J342" s="297"/>
      <c r="K342" s="303"/>
      <c r="L342" s="297"/>
      <c r="M342" s="258" t="s">
        <v>50</v>
      </c>
      <c r="N342" s="255" t="s">
        <v>1963</v>
      </c>
      <c r="O342" s="255" t="s">
        <v>1900</v>
      </c>
      <c r="P342" s="255" t="s">
        <v>599</v>
      </c>
      <c r="Q342" s="255" t="s">
        <v>599</v>
      </c>
      <c r="R342" s="255" t="s">
        <v>599</v>
      </c>
      <c r="S342" s="256">
        <v>0</v>
      </c>
      <c r="T342" s="256">
        <v>0</v>
      </c>
      <c r="U342" s="256">
        <v>0.24</v>
      </c>
      <c r="V342" s="256"/>
      <c r="W342" s="256"/>
      <c r="X342" s="256"/>
      <c r="Y342" s="256"/>
      <c r="Z342" s="256"/>
      <c r="AA342" s="256"/>
      <c r="AB342" s="256"/>
      <c r="AC342" s="256"/>
      <c r="AD342" s="256"/>
      <c r="AE342" s="256"/>
      <c r="AF342" s="256"/>
      <c r="AG342" s="256"/>
      <c r="AH342" s="256"/>
      <c r="AI342" s="256"/>
      <c r="AJ342" s="256"/>
      <c r="AK342" s="256"/>
      <c r="AL342" s="256"/>
      <c r="AM342" s="256"/>
      <c r="AN342" s="256"/>
      <c r="AO342" s="256"/>
      <c r="AP342" s="256"/>
      <c r="AQ342" s="256"/>
      <c r="AR342" s="256"/>
      <c r="AS342" s="256"/>
      <c r="AT342" s="256"/>
      <c r="AU342" s="256"/>
      <c r="AV342" s="255" t="s">
        <v>50</v>
      </c>
      <c r="AW342" s="255" t="s">
        <v>2231</v>
      </c>
      <c r="AX342" s="255" t="s">
        <v>50</v>
      </c>
      <c r="AY342" s="255" t="s">
        <v>50</v>
      </c>
      <c r="AZ342" s="255" t="s">
        <v>50</v>
      </c>
    </row>
    <row r="343" spans="1:52" ht="30" customHeight="1">
      <c r="A343" s="258" t="s">
        <v>913</v>
      </c>
      <c r="B343" s="258" t="s">
        <v>830</v>
      </c>
      <c r="C343" s="258" t="s">
        <v>831</v>
      </c>
      <c r="D343" s="259">
        <v>1</v>
      </c>
      <c r="E343" s="303"/>
      <c r="F343" s="297"/>
      <c r="G343" s="303"/>
      <c r="H343" s="297"/>
      <c r="I343" s="303"/>
      <c r="J343" s="297"/>
      <c r="K343" s="303"/>
      <c r="L343" s="297"/>
      <c r="M343" s="258" t="s">
        <v>50</v>
      </c>
      <c r="N343" s="255" t="s">
        <v>1963</v>
      </c>
      <c r="O343" s="255" t="s">
        <v>2226</v>
      </c>
      <c r="P343" s="255" t="s">
        <v>599</v>
      </c>
      <c r="Q343" s="255" t="s">
        <v>599</v>
      </c>
      <c r="R343" s="255" t="s">
        <v>598</v>
      </c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256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  <c r="AO343" s="256"/>
      <c r="AP343" s="256"/>
      <c r="AQ343" s="256"/>
      <c r="AR343" s="256"/>
      <c r="AS343" s="256"/>
      <c r="AT343" s="256"/>
      <c r="AU343" s="256"/>
      <c r="AV343" s="255" t="s">
        <v>50</v>
      </c>
      <c r="AW343" s="255" t="s">
        <v>2232</v>
      </c>
      <c r="AX343" s="255" t="s">
        <v>598</v>
      </c>
      <c r="AY343" s="255" t="s">
        <v>50</v>
      </c>
      <c r="AZ343" s="255" t="s">
        <v>50</v>
      </c>
    </row>
    <row r="344" spans="1:52" ht="30" customHeight="1">
      <c r="A344" s="258" t="s">
        <v>820</v>
      </c>
      <c r="B344" s="258" t="s">
        <v>50</v>
      </c>
      <c r="C344" s="258" t="s">
        <v>50</v>
      </c>
      <c r="D344" s="259"/>
      <c r="E344" s="303"/>
      <c r="F344" s="297"/>
      <c r="G344" s="303"/>
      <c r="H344" s="297"/>
      <c r="I344" s="303"/>
      <c r="J344" s="297"/>
      <c r="K344" s="303"/>
      <c r="L344" s="297"/>
      <c r="M344" s="258" t="s">
        <v>50</v>
      </c>
      <c r="N344" s="255" t="s">
        <v>617</v>
      </c>
      <c r="O344" s="255" t="s">
        <v>617</v>
      </c>
      <c r="P344" s="255" t="s">
        <v>50</v>
      </c>
      <c r="Q344" s="255" t="s">
        <v>50</v>
      </c>
      <c r="R344" s="255" t="s">
        <v>50</v>
      </c>
      <c r="S344" s="256"/>
      <c r="T344" s="256"/>
      <c r="U344" s="256"/>
      <c r="V344" s="256"/>
      <c r="W344" s="256"/>
      <c r="X344" s="256"/>
      <c r="Y344" s="256"/>
      <c r="Z344" s="256"/>
      <c r="AA344" s="256"/>
      <c r="AB344" s="256"/>
      <c r="AC344" s="256"/>
      <c r="AD344" s="256"/>
      <c r="AE344" s="256"/>
      <c r="AF344" s="256"/>
      <c r="AG344" s="256"/>
      <c r="AH344" s="256"/>
      <c r="AI344" s="256"/>
      <c r="AJ344" s="256"/>
      <c r="AK344" s="256"/>
      <c r="AL344" s="256"/>
      <c r="AM344" s="256"/>
      <c r="AN344" s="256"/>
      <c r="AO344" s="256"/>
      <c r="AP344" s="256"/>
      <c r="AQ344" s="256"/>
      <c r="AR344" s="256"/>
      <c r="AS344" s="256"/>
      <c r="AT344" s="256"/>
      <c r="AU344" s="256"/>
      <c r="AV344" s="255" t="s">
        <v>50</v>
      </c>
      <c r="AW344" s="255" t="s">
        <v>50</v>
      </c>
      <c r="AX344" s="255" t="s">
        <v>50</v>
      </c>
      <c r="AY344" s="255" t="s">
        <v>50</v>
      </c>
      <c r="AZ344" s="255" t="s">
        <v>50</v>
      </c>
    </row>
    <row r="345" spans="1:52" ht="30" customHeight="1">
      <c r="A345" s="259"/>
      <c r="B345" s="259"/>
      <c r="C345" s="259"/>
      <c r="D345" s="259"/>
      <c r="E345" s="303"/>
      <c r="F345" s="297"/>
      <c r="G345" s="303"/>
      <c r="H345" s="297"/>
      <c r="I345" s="303"/>
      <c r="J345" s="297"/>
      <c r="K345" s="303"/>
      <c r="L345" s="297"/>
      <c r="M345" s="259"/>
    </row>
    <row r="346" spans="1:52" ht="30" customHeight="1">
      <c r="A346" s="299" t="s">
        <v>1590</v>
      </c>
      <c r="B346" s="300"/>
      <c r="C346" s="300"/>
      <c r="D346" s="300"/>
      <c r="E346" s="301"/>
      <c r="F346" s="302"/>
      <c r="G346" s="301"/>
      <c r="H346" s="302"/>
      <c r="I346" s="301"/>
      <c r="J346" s="302"/>
      <c r="K346" s="301"/>
      <c r="L346" s="302"/>
      <c r="M346" s="300"/>
      <c r="N346" s="464" t="s">
        <v>1964</v>
      </c>
    </row>
    <row r="347" spans="1:52" ht="30" customHeight="1">
      <c r="A347" s="258" t="s">
        <v>786</v>
      </c>
      <c r="B347" s="258" t="s">
        <v>787</v>
      </c>
      <c r="C347" s="258" t="s">
        <v>610</v>
      </c>
      <c r="D347" s="259">
        <v>0.1719</v>
      </c>
      <c r="E347" s="303"/>
      <c r="F347" s="297"/>
      <c r="G347" s="303"/>
      <c r="H347" s="297"/>
      <c r="I347" s="303"/>
      <c r="J347" s="297"/>
      <c r="K347" s="303"/>
      <c r="L347" s="297"/>
      <c r="M347" s="258" t="s">
        <v>382</v>
      </c>
      <c r="N347" s="255" t="s">
        <v>1964</v>
      </c>
      <c r="O347" s="255" t="s">
        <v>2233</v>
      </c>
      <c r="P347" s="255" t="s">
        <v>599</v>
      </c>
      <c r="Q347" s="255" t="s">
        <v>599</v>
      </c>
      <c r="R347" s="255" t="s">
        <v>598</v>
      </c>
      <c r="S347" s="256"/>
      <c r="T347" s="256"/>
      <c r="U347" s="256"/>
      <c r="V347" s="256"/>
      <c r="W347" s="256"/>
      <c r="X347" s="256"/>
      <c r="Y347" s="256"/>
      <c r="Z347" s="256"/>
      <c r="AA347" s="256"/>
      <c r="AB347" s="256"/>
      <c r="AC347" s="256"/>
      <c r="AD347" s="256"/>
      <c r="AE347" s="256"/>
      <c r="AF347" s="256"/>
      <c r="AG347" s="256"/>
      <c r="AH347" s="256"/>
      <c r="AI347" s="256"/>
      <c r="AJ347" s="256"/>
      <c r="AK347" s="256"/>
      <c r="AL347" s="256"/>
      <c r="AM347" s="256"/>
      <c r="AN347" s="256"/>
      <c r="AO347" s="256"/>
      <c r="AP347" s="256"/>
      <c r="AQ347" s="256"/>
      <c r="AR347" s="256"/>
      <c r="AS347" s="256"/>
      <c r="AT347" s="256"/>
      <c r="AU347" s="256"/>
      <c r="AV347" s="255" t="s">
        <v>50</v>
      </c>
      <c r="AW347" s="255" t="s">
        <v>2234</v>
      </c>
      <c r="AX347" s="255" t="s">
        <v>50</v>
      </c>
      <c r="AY347" s="255" t="s">
        <v>50</v>
      </c>
      <c r="AZ347" s="255" t="s">
        <v>50</v>
      </c>
    </row>
    <row r="348" spans="1:52" ht="30" customHeight="1">
      <c r="A348" s="258" t="s">
        <v>904</v>
      </c>
      <c r="B348" s="258" t="s">
        <v>905</v>
      </c>
      <c r="C348" s="258" t="s">
        <v>869</v>
      </c>
      <c r="D348" s="259">
        <v>32.299999999999997</v>
      </c>
      <c r="E348" s="303"/>
      <c r="F348" s="297"/>
      <c r="G348" s="303"/>
      <c r="H348" s="297"/>
      <c r="I348" s="303"/>
      <c r="J348" s="297"/>
      <c r="K348" s="303"/>
      <c r="L348" s="297"/>
      <c r="M348" s="258" t="s">
        <v>50</v>
      </c>
      <c r="N348" s="255" t="s">
        <v>1964</v>
      </c>
      <c r="O348" s="255" t="s">
        <v>2148</v>
      </c>
      <c r="P348" s="255" t="s">
        <v>599</v>
      </c>
      <c r="Q348" s="255" t="s">
        <v>599</v>
      </c>
      <c r="R348" s="255" t="s">
        <v>598</v>
      </c>
      <c r="S348" s="256"/>
      <c r="T348" s="256"/>
      <c r="U348" s="256"/>
      <c r="V348" s="256">
        <v>1</v>
      </c>
      <c r="W348" s="256"/>
      <c r="X348" s="256"/>
      <c r="Y348" s="256"/>
      <c r="Z348" s="256"/>
      <c r="AA348" s="256"/>
      <c r="AB348" s="256"/>
      <c r="AC348" s="256"/>
      <c r="AD348" s="256"/>
      <c r="AE348" s="256"/>
      <c r="AF348" s="256"/>
      <c r="AG348" s="256"/>
      <c r="AH348" s="256"/>
      <c r="AI348" s="256"/>
      <c r="AJ348" s="256"/>
      <c r="AK348" s="256"/>
      <c r="AL348" s="256"/>
      <c r="AM348" s="256"/>
      <c r="AN348" s="256"/>
      <c r="AO348" s="256"/>
      <c r="AP348" s="256"/>
      <c r="AQ348" s="256"/>
      <c r="AR348" s="256"/>
      <c r="AS348" s="256"/>
      <c r="AT348" s="256"/>
      <c r="AU348" s="256"/>
      <c r="AV348" s="255" t="s">
        <v>50</v>
      </c>
      <c r="AW348" s="255" t="s">
        <v>2235</v>
      </c>
      <c r="AX348" s="255" t="s">
        <v>50</v>
      </c>
      <c r="AY348" s="255" t="s">
        <v>50</v>
      </c>
      <c r="AZ348" s="255" t="s">
        <v>50</v>
      </c>
    </row>
    <row r="349" spans="1:52" ht="30" customHeight="1">
      <c r="A349" s="258" t="s">
        <v>871</v>
      </c>
      <c r="B349" s="258" t="s">
        <v>914</v>
      </c>
      <c r="C349" s="258" t="s">
        <v>146</v>
      </c>
      <c r="D349" s="259">
        <v>1</v>
      </c>
      <c r="E349" s="303"/>
      <c r="F349" s="297"/>
      <c r="G349" s="303"/>
      <c r="H349" s="297"/>
      <c r="I349" s="303"/>
      <c r="J349" s="297"/>
      <c r="K349" s="303"/>
      <c r="L349" s="297"/>
      <c r="M349" s="258" t="s">
        <v>50</v>
      </c>
      <c r="N349" s="255" t="s">
        <v>1964</v>
      </c>
      <c r="O349" s="255" t="s">
        <v>1900</v>
      </c>
      <c r="P349" s="255" t="s">
        <v>599</v>
      </c>
      <c r="Q349" s="255" t="s">
        <v>599</v>
      </c>
      <c r="R349" s="255" t="s">
        <v>599</v>
      </c>
      <c r="S349" s="256">
        <v>0</v>
      </c>
      <c r="T349" s="256">
        <v>0</v>
      </c>
      <c r="U349" s="256">
        <v>0.16</v>
      </c>
      <c r="V349" s="256"/>
      <c r="W349" s="256"/>
      <c r="X349" s="256"/>
      <c r="Y349" s="256"/>
      <c r="Z349" s="256"/>
      <c r="AA349" s="256"/>
      <c r="AB349" s="256"/>
      <c r="AC349" s="256"/>
      <c r="AD349" s="256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  <c r="AO349" s="256"/>
      <c r="AP349" s="256"/>
      <c r="AQ349" s="256"/>
      <c r="AR349" s="256"/>
      <c r="AS349" s="256"/>
      <c r="AT349" s="256"/>
      <c r="AU349" s="256"/>
      <c r="AV349" s="255" t="s">
        <v>50</v>
      </c>
      <c r="AW349" s="255" t="s">
        <v>2236</v>
      </c>
      <c r="AX349" s="255" t="s">
        <v>50</v>
      </c>
      <c r="AY349" s="255" t="s">
        <v>50</v>
      </c>
      <c r="AZ349" s="255" t="s">
        <v>50</v>
      </c>
    </row>
    <row r="350" spans="1:52" ht="30" customHeight="1">
      <c r="A350" s="258" t="s">
        <v>907</v>
      </c>
      <c r="B350" s="258" t="s">
        <v>830</v>
      </c>
      <c r="C350" s="258" t="s">
        <v>831</v>
      </c>
      <c r="D350" s="259">
        <v>1</v>
      </c>
      <c r="E350" s="303"/>
      <c r="F350" s="297"/>
      <c r="G350" s="303"/>
      <c r="H350" s="297"/>
      <c r="I350" s="303"/>
      <c r="J350" s="297"/>
      <c r="K350" s="303"/>
      <c r="L350" s="297"/>
      <c r="M350" s="258" t="s">
        <v>50</v>
      </c>
      <c r="N350" s="255" t="s">
        <v>1964</v>
      </c>
      <c r="O350" s="255" t="s">
        <v>2151</v>
      </c>
      <c r="P350" s="255" t="s">
        <v>599</v>
      </c>
      <c r="Q350" s="255" t="s">
        <v>599</v>
      </c>
      <c r="R350" s="255" t="s">
        <v>598</v>
      </c>
      <c r="S350" s="256"/>
      <c r="T350" s="256"/>
      <c r="U350" s="256"/>
      <c r="V350" s="256"/>
      <c r="W350" s="256"/>
      <c r="X350" s="256"/>
      <c r="Y350" s="256"/>
      <c r="Z350" s="256"/>
      <c r="AA350" s="256"/>
      <c r="AB350" s="256"/>
      <c r="AC350" s="256"/>
      <c r="AD350" s="256"/>
      <c r="AE350" s="256"/>
      <c r="AF350" s="256"/>
      <c r="AG350" s="256"/>
      <c r="AH350" s="256"/>
      <c r="AI350" s="256"/>
      <c r="AJ350" s="256"/>
      <c r="AK350" s="256"/>
      <c r="AL350" s="256"/>
      <c r="AM350" s="256"/>
      <c r="AN350" s="256"/>
      <c r="AO350" s="256"/>
      <c r="AP350" s="256"/>
      <c r="AQ350" s="256"/>
      <c r="AR350" s="256"/>
      <c r="AS350" s="256"/>
      <c r="AT350" s="256"/>
      <c r="AU350" s="256"/>
      <c r="AV350" s="255" t="s">
        <v>50</v>
      </c>
      <c r="AW350" s="255" t="s">
        <v>2237</v>
      </c>
      <c r="AX350" s="255" t="s">
        <v>598</v>
      </c>
      <c r="AY350" s="255" t="s">
        <v>50</v>
      </c>
      <c r="AZ350" s="255" t="s">
        <v>50</v>
      </c>
    </row>
    <row r="351" spans="1:52" ht="30" customHeight="1">
      <c r="A351" s="258" t="s">
        <v>820</v>
      </c>
      <c r="B351" s="258" t="s">
        <v>50</v>
      </c>
      <c r="C351" s="258" t="s">
        <v>50</v>
      </c>
      <c r="D351" s="259"/>
      <c r="E351" s="303"/>
      <c r="F351" s="297"/>
      <c r="G351" s="303"/>
      <c r="H351" s="297"/>
      <c r="I351" s="303"/>
      <c r="J351" s="297"/>
      <c r="K351" s="303"/>
      <c r="L351" s="297"/>
      <c r="M351" s="258" t="s">
        <v>50</v>
      </c>
      <c r="N351" s="255" t="s">
        <v>617</v>
      </c>
      <c r="O351" s="255" t="s">
        <v>617</v>
      </c>
      <c r="P351" s="255" t="s">
        <v>50</v>
      </c>
      <c r="Q351" s="255" t="s">
        <v>50</v>
      </c>
      <c r="R351" s="255" t="s">
        <v>50</v>
      </c>
      <c r="S351" s="256"/>
      <c r="T351" s="256"/>
      <c r="U351" s="256"/>
      <c r="V351" s="256"/>
      <c r="W351" s="256"/>
      <c r="X351" s="256"/>
      <c r="Y351" s="256"/>
      <c r="Z351" s="256"/>
      <c r="AA351" s="256"/>
      <c r="AB351" s="256"/>
      <c r="AC351" s="256"/>
      <c r="AD351" s="256"/>
      <c r="AE351" s="256"/>
      <c r="AF351" s="256"/>
      <c r="AG351" s="256"/>
      <c r="AH351" s="256"/>
      <c r="AI351" s="256"/>
      <c r="AJ351" s="256"/>
      <c r="AK351" s="256"/>
      <c r="AL351" s="256"/>
      <c r="AM351" s="256"/>
      <c r="AN351" s="256"/>
      <c r="AO351" s="256"/>
      <c r="AP351" s="256"/>
      <c r="AQ351" s="256"/>
      <c r="AR351" s="256"/>
      <c r="AS351" s="256"/>
      <c r="AT351" s="256"/>
      <c r="AU351" s="256"/>
      <c r="AV351" s="255" t="s">
        <v>50</v>
      </c>
      <c r="AW351" s="255" t="s">
        <v>50</v>
      </c>
      <c r="AX351" s="255" t="s">
        <v>50</v>
      </c>
      <c r="AY351" s="255" t="s">
        <v>50</v>
      </c>
      <c r="AZ351" s="255" t="s">
        <v>50</v>
      </c>
    </row>
    <row r="352" spans="1:52" ht="30" customHeight="1">
      <c r="A352" s="259"/>
      <c r="B352" s="259"/>
      <c r="C352" s="259"/>
      <c r="D352" s="259"/>
      <c r="E352" s="303"/>
      <c r="F352" s="297"/>
      <c r="G352" s="303"/>
      <c r="H352" s="297"/>
      <c r="I352" s="303"/>
      <c r="J352" s="297"/>
      <c r="K352" s="303"/>
      <c r="L352" s="297"/>
      <c r="M352" s="259"/>
    </row>
    <row r="353" spans="1:52" ht="30" customHeight="1">
      <c r="A353" s="299" t="s">
        <v>1591</v>
      </c>
      <c r="B353" s="300"/>
      <c r="C353" s="300"/>
      <c r="D353" s="300"/>
      <c r="E353" s="301"/>
      <c r="F353" s="302"/>
      <c r="G353" s="301"/>
      <c r="H353" s="302"/>
      <c r="I353" s="301"/>
      <c r="J353" s="302"/>
      <c r="K353" s="301"/>
      <c r="L353" s="302"/>
      <c r="M353" s="300"/>
      <c r="N353" s="464" t="s">
        <v>1965</v>
      </c>
    </row>
    <row r="354" spans="1:52" ht="30" customHeight="1">
      <c r="A354" s="258" t="s">
        <v>788</v>
      </c>
      <c r="B354" s="258" t="s">
        <v>789</v>
      </c>
      <c r="C354" s="258" t="s">
        <v>610</v>
      </c>
      <c r="D354" s="259">
        <v>0.15</v>
      </c>
      <c r="E354" s="303"/>
      <c r="F354" s="297"/>
      <c r="G354" s="303"/>
      <c r="H354" s="297"/>
      <c r="I354" s="303"/>
      <c r="J354" s="297"/>
      <c r="K354" s="303"/>
      <c r="L354" s="297"/>
      <c r="M354" s="258" t="s">
        <v>382</v>
      </c>
      <c r="N354" s="255" t="s">
        <v>1965</v>
      </c>
      <c r="O354" s="255" t="s">
        <v>2238</v>
      </c>
      <c r="P354" s="255" t="s">
        <v>599</v>
      </c>
      <c r="Q354" s="255" t="s">
        <v>599</v>
      </c>
      <c r="R354" s="255" t="s">
        <v>598</v>
      </c>
      <c r="S354" s="256"/>
      <c r="T354" s="256"/>
      <c r="U354" s="256"/>
      <c r="V354" s="256"/>
      <c r="W354" s="256"/>
      <c r="X354" s="256"/>
      <c r="Y354" s="256"/>
      <c r="Z354" s="256"/>
      <c r="AA354" s="256"/>
      <c r="AB354" s="256"/>
      <c r="AC354" s="256"/>
      <c r="AD354" s="256"/>
      <c r="AE354" s="256"/>
      <c r="AF354" s="256"/>
      <c r="AG354" s="256"/>
      <c r="AH354" s="256"/>
      <c r="AI354" s="256"/>
      <c r="AJ354" s="256"/>
      <c r="AK354" s="256"/>
      <c r="AL354" s="256"/>
      <c r="AM354" s="256"/>
      <c r="AN354" s="256"/>
      <c r="AO354" s="256"/>
      <c r="AP354" s="256"/>
      <c r="AQ354" s="256"/>
      <c r="AR354" s="256"/>
      <c r="AS354" s="256"/>
      <c r="AT354" s="256"/>
      <c r="AU354" s="256"/>
      <c r="AV354" s="255" t="s">
        <v>50</v>
      </c>
      <c r="AW354" s="255" t="s">
        <v>2239</v>
      </c>
      <c r="AX354" s="255" t="s">
        <v>50</v>
      </c>
      <c r="AY354" s="255" t="s">
        <v>50</v>
      </c>
      <c r="AZ354" s="255" t="s">
        <v>50</v>
      </c>
    </row>
    <row r="355" spans="1:52" ht="30" customHeight="1">
      <c r="A355" s="258" t="s">
        <v>904</v>
      </c>
      <c r="B355" s="258" t="s">
        <v>905</v>
      </c>
      <c r="C355" s="258" t="s">
        <v>869</v>
      </c>
      <c r="D355" s="259">
        <v>5.7</v>
      </c>
      <c r="E355" s="303"/>
      <c r="F355" s="297"/>
      <c r="G355" s="303"/>
      <c r="H355" s="297"/>
      <c r="I355" s="303"/>
      <c r="J355" s="297"/>
      <c r="K355" s="303"/>
      <c r="L355" s="297"/>
      <c r="M355" s="258" t="s">
        <v>50</v>
      </c>
      <c r="N355" s="255" t="s">
        <v>1965</v>
      </c>
      <c r="O355" s="255" t="s">
        <v>2148</v>
      </c>
      <c r="P355" s="255" t="s">
        <v>599</v>
      </c>
      <c r="Q355" s="255" t="s">
        <v>599</v>
      </c>
      <c r="R355" s="255" t="s">
        <v>598</v>
      </c>
      <c r="S355" s="256"/>
      <c r="T355" s="256"/>
      <c r="U355" s="256"/>
      <c r="V355" s="256">
        <v>1</v>
      </c>
      <c r="W355" s="256"/>
      <c r="X355" s="256"/>
      <c r="Y355" s="256"/>
      <c r="Z355" s="256"/>
      <c r="AA355" s="256"/>
      <c r="AB355" s="256"/>
      <c r="AC355" s="256"/>
      <c r="AD355" s="256"/>
      <c r="AE355" s="256"/>
      <c r="AF355" s="256"/>
      <c r="AG355" s="256"/>
      <c r="AH355" s="256"/>
      <c r="AI355" s="256"/>
      <c r="AJ355" s="256"/>
      <c r="AK355" s="256"/>
      <c r="AL355" s="256"/>
      <c r="AM355" s="256"/>
      <c r="AN355" s="256"/>
      <c r="AO355" s="256"/>
      <c r="AP355" s="256"/>
      <c r="AQ355" s="256"/>
      <c r="AR355" s="256"/>
      <c r="AS355" s="256"/>
      <c r="AT355" s="256"/>
      <c r="AU355" s="256"/>
      <c r="AV355" s="255" t="s">
        <v>50</v>
      </c>
      <c r="AW355" s="255" t="s">
        <v>2240</v>
      </c>
      <c r="AX355" s="255" t="s">
        <v>50</v>
      </c>
      <c r="AY355" s="255" t="s">
        <v>50</v>
      </c>
      <c r="AZ355" s="255" t="s">
        <v>50</v>
      </c>
    </row>
    <row r="356" spans="1:52" ht="30" customHeight="1">
      <c r="A356" s="258" t="s">
        <v>871</v>
      </c>
      <c r="B356" s="258" t="s">
        <v>915</v>
      </c>
      <c r="C356" s="258" t="s">
        <v>146</v>
      </c>
      <c r="D356" s="259">
        <v>1</v>
      </c>
      <c r="E356" s="303"/>
      <c r="F356" s="297"/>
      <c r="G356" s="303"/>
      <c r="H356" s="297"/>
      <c r="I356" s="303"/>
      <c r="J356" s="297"/>
      <c r="K356" s="303"/>
      <c r="L356" s="297"/>
      <c r="M356" s="258" t="s">
        <v>50</v>
      </c>
      <c r="N356" s="255" t="s">
        <v>1965</v>
      </c>
      <c r="O356" s="255" t="s">
        <v>1900</v>
      </c>
      <c r="P356" s="255" t="s">
        <v>599</v>
      </c>
      <c r="Q356" s="255" t="s">
        <v>599</v>
      </c>
      <c r="R356" s="255" t="s">
        <v>599</v>
      </c>
      <c r="S356" s="256">
        <v>0</v>
      </c>
      <c r="T356" s="256">
        <v>0</v>
      </c>
      <c r="U356" s="256">
        <v>0.37</v>
      </c>
      <c r="V356" s="256"/>
      <c r="W356" s="256"/>
      <c r="X356" s="256"/>
      <c r="Y356" s="256"/>
      <c r="Z356" s="256"/>
      <c r="AA356" s="256"/>
      <c r="AB356" s="256"/>
      <c r="AC356" s="256"/>
      <c r="AD356" s="256"/>
      <c r="AE356" s="256"/>
      <c r="AF356" s="256"/>
      <c r="AG356" s="256"/>
      <c r="AH356" s="256"/>
      <c r="AI356" s="256"/>
      <c r="AJ356" s="256"/>
      <c r="AK356" s="256"/>
      <c r="AL356" s="256"/>
      <c r="AM356" s="256"/>
      <c r="AN356" s="256"/>
      <c r="AO356" s="256"/>
      <c r="AP356" s="256"/>
      <c r="AQ356" s="256"/>
      <c r="AR356" s="256"/>
      <c r="AS356" s="256"/>
      <c r="AT356" s="256"/>
      <c r="AU356" s="256"/>
      <c r="AV356" s="255" t="s">
        <v>50</v>
      </c>
      <c r="AW356" s="255" t="s">
        <v>2241</v>
      </c>
      <c r="AX356" s="255" t="s">
        <v>50</v>
      </c>
      <c r="AY356" s="255" t="s">
        <v>50</v>
      </c>
      <c r="AZ356" s="255" t="s">
        <v>50</v>
      </c>
    </row>
    <row r="357" spans="1:52" ht="30" customHeight="1">
      <c r="A357" s="258" t="s">
        <v>907</v>
      </c>
      <c r="B357" s="258" t="s">
        <v>830</v>
      </c>
      <c r="C357" s="258" t="s">
        <v>831</v>
      </c>
      <c r="D357" s="259">
        <v>1</v>
      </c>
      <c r="E357" s="303"/>
      <c r="F357" s="297"/>
      <c r="G357" s="303"/>
      <c r="H357" s="297"/>
      <c r="I357" s="303"/>
      <c r="J357" s="297"/>
      <c r="K357" s="303"/>
      <c r="L357" s="297"/>
      <c r="M357" s="258" t="s">
        <v>50</v>
      </c>
      <c r="N357" s="255" t="s">
        <v>1965</v>
      </c>
      <c r="O357" s="255" t="s">
        <v>2151</v>
      </c>
      <c r="P357" s="255" t="s">
        <v>599</v>
      </c>
      <c r="Q357" s="255" t="s">
        <v>599</v>
      </c>
      <c r="R357" s="255" t="s">
        <v>598</v>
      </c>
      <c r="S357" s="256"/>
      <c r="T357" s="256"/>
      <c r="U357" s="256"/>
      <c r="V357" s="256"/>
      <c r="W357" s="256"/>
      <c r="X357" s="256"/>
      <c r="Y357" s="256"/>
      <c r="Z357" s="256"/>
      <c r="AA357" s="256"/>
      <c r="AB357" s="256"/>
      <c r="AC357" s="256"/>
      <c r="AD357" s="256"/>
      <c r="AE357" s="256"/>
      <c r="AF357" s="256"/>
      <c r="AG357" s="256"/>
      <c r="AH357" s="256"/>
      <c r="AI357" s="256"/>
      <c r="AJ357" s="256"/>
      <c r="AK357" s="256"/>
      <c r="AL357" s="256"/>
      <c r="AM357" s="256"/>
      <c r="AN357" s="256"/>
      <c r="AO357" s="256"/>
      <c r="AP357" s="256"/>
      <c r="AQ357" s="256"/>
      <c r="AR357" s="256"/>
      <c r="AS357" s="256"/>
      <c r="AT357" s="256"/>
      <c r="AU357" s="256"/>
      <c r="AV357" s="255" t="s">
        <v>50</v>
      </c>
      <c r="AW357" s="255" t="s">
        <v>2242</v>
      </c>
      <c r="AX357" s="255" t="s">
        <v>598</v>
      </c>
      <c r="AY357" s="255" t="s">
        <v>50</v>
      </c>
      <c r="AZ357" s="255" t="s">
        <v>50</v>
      </c>
    </row>
    <row r="358" spans="1:52" ht="30" customHeight="1">
      <c r="A358" s="258" t="s">
        <v>820</v>
      </c>
      <c r="B358" s="258" t="s">
        <v>50</v>
      </c>
      <c r="C358" s="258" t="s">
        <v>50</v>
      </c>
      <c r="D358" s="259"/>
      <c r="E358" s="303"/>
      <c r="F358" s="297"/>
      <c r="G358" s="303"/>
      <c r="H358" s="297"/>
      <c r="I358" s="303"/>
      <c r="J358" s="297"/>
      <c r="K358" s="303"/>
      <c r="L358" s="297"/>
      <c r="M358" s="258" t="s">
        <v>50</v>
      </c>
      <c r="N358" s="255" t="s">
        <v>617</v>
      </c>
      <c r="O358" s="255" t="s">
        <v>617</v>
      </c>
      <c r="P358" s="255" t="s">
        <v>50</v>
      </c>
      <c r="Q358" s="255" t="s">
        <v>50</v>
      </c>
      <c r="R358" s="255" t="s">
        <v>50</v>
      </c>
      <c r="S358" s="256"/>
      <c r="T358" s="256"/>
      <c r="U358" s="256"/>
      <c r="V358" s="256"/>
      <c r="W358" s="256"/>
      <c r="X358" s="256"/>
      <c r="Y358" s="256"/>
      <c r="Z358" s="256"/>
      <c r="AA358" s="256"/>
      <c r="AB358" s="256"/>
      <c r="AC358" s="256"/>
      <c r="AD358" s="256"/>
      <c r="AE358" s="256"/>
      <c r="AF358" s="256"/>
      <c r="AG358" s="256"/>
      <c r="AH358" s="256"/>
      <c r="AI358" s="256"/>
      <c r="AJ358" s="256"/>
      <c r="AK358" s="256"/>
      <c r="AL358" s="256"/>
      <c r="AM358" s="256"/>
      <c r="AN358" s="256"/>
      <c r="AO358" s="256"/>
      <c r="AP358" s="256"/>
      <c r="AQ358" s="256"/>
      <c r="AR358" s="256"/>
      <c r="AS358" s="256"/>
      <c r="AT358" s="256"/>
      <c r="AU358" s="256"/>
      <c r="AV358" s="255" t="s">
        <v>50</v>
      </c>
      <c r="AW358" s="255" t="s">
        <v>50</v>
      </c>
      <c r="AX358" s="255" t="s">
        <v>50</v>
      </c>
      <c r="AY358" s="255" t="s">
        <v>50</v>
      </c>
      <c r="AZ358" s="255" t="s">
        <v>50</v>
      </c>
    </row>
    <row r="359" spans="1:52" ht="30" customHeight="1">
      <c r="A359" s="259"/>
      <c r="B359" s="259"/>
      <c r="C359" s="259"/>
      <c r="D359" s="259"/>
      <c r="E359" s="303"/>
      <c r="F359" s="297"/>
      <c r="G359" s="303"/>
      <c r="H359" s="297"/>
      <c r="I359" s="303"/>
      <c r="J359" s="297"/>
      <c r="K359" s="303"/>
      <c r="L359" s="297"/>
      <c r="M359" s="259"/>
    </row>
    <row r="360" spans="1:52" ht="30" customHeight="1">
      <c r="A360" s="299" t="s">
        <v>1592</v>
      </c>
      <c r="B360" s="300"/>
      <c r="C360" s="300"/>
      <c r="D360" s="300"/>
      <c r="E360" s="301"/>
      <c r="F360" s="302"/>
      <c r="G360" s="301"/>
      <c r="H360" s="302"/>
      <c r="I360" s="301"/>
      <c r="J360" s="302"/>
      <c r="K360" s="301"/>
      <c r="L360" s="302"/>
      <c r="M360" s="300"/>
      <c r="N360" s="464" t="s">
        <v>1966</v>
      </c>
    </row>
    <row r="361" spans="1:52" ht="30" customHeight="1">
      <c r="A361" s="258" t="s">
        <v>790</v>
      </c>
      <c r="B361" s="258" t="s">
        <v>791</v>
      </c>
      <c r="C361" s="258" t="s">
        <v>610</v>
      </c>
      <c r="D361" s="259">
        <v>0.1651</v>
      </c>
      <c r="E361" s="303"/>
      <c r="F361" s="297"/>
      <c r="G361" s="303"/>
      <c r="H361" s="297"/>
      <c r="I361" s="303"/>
      <c r="J361" s="297"/>
      <c r="K361" s="303"/>
      <c r="L361" s="297"/>
      <c r="M361" s="258" t="s">
        <v>382</v>
      </c>
      <c r="N361" s="255" t="s">
        <v>1966</v>
      </c>
      <c r="O361" s="255" t="s">
        <v>2243</v>
      </c>
      <c r="P361" s="255" t="s">
        <v>599</v>
      </c>
      <c r="Q361" s="255" t="s">
        <v>599</v>
      </c>
      <c r="R361" s="255" t="s">
        <v>598</v>
      </c>
      <c r="S361" s="256"/>
      <c r="T361" s="256"/>
      <c r="U361" s="256"/>
      <c r="V361" s="256"/>
      <c r="W361" s="256"/>
      <c r="X361" s="256"/>
      <c r="Y361" s="256"/>
      <c r="Z361" s="256"/>
      <c r="AA361" s="256"/>
      <c r="AB361" s="256"/>
      <c r="AC361" s="256"/>
      <c r="AD361" s="256"/>
      <c r="AE361" s="256"/>
      <c r="AF361" s="256"/>
      <c r="AG361" s="256"/>
      <c r="AH361" s="256"/>
      <c r="AI361" s="256"/>
      <c r="AJ361" s="256"/>
      <c r="AK361" s="256"/>
      <c r="AL361" s="256"/>
      <c r="AM361" s="256"/>
      <c r="AN361" s="256"/>
      <c r="AO361" s="256"/>
      <c r="AP361" s="256"/>
      <c r="AQ361" s="256"/>
      <c r="AR361" s="256"/>
      <c r="AS361" s="256"/>
      <c r="AT361" s="256"/>
      <c r="AU361" s="256"/>
      <c r="AV361" s="255" t="s">
        <v>50</v>
      </c>
      <c r="AW361" s="255" t="s">
        <v>2244</v>
      </c>
      <c r="AX361" s="255" t="s">
        <v>50</v>
      </c>
      <c r="AY361" s="255" t="s">
        <v>50</v>
      </c>
      <c r="AZ361" s="255" t="s">
        <v>50</v>
      </c>
    </row>
    <row r="362" spans="1:52" ht="30" customHeight="1">
      <c r="A362" s="258" t="s">
        <v>904</v>
      </c>
      <c r="B362" s="258" t="s">
        <v>905</v>
      </c>
      <c r="C362" s="258" t="s">
        <v>869</v>
      </c>
      <c r="D362" s="259">
        <v>12</v>
      </c>
      <c r="E362" s="303"/>
      <c r="F362" s="297"/>
      <c r="G362" s="303"/>
      <c r="H362" s="297"/>
      <c r="I362" s="303"/>
      <c r="J362" s="297"/>
      <c r="K362" s="303"/>
      <c r="L362" s="297"/>
      <c r="M362" s="258" t="s">
        <v>50</v>
      </c>
      <c r="N362" s="255" t="s">
        <v>1966</v>
      </c>
      <c r="O362" s="255" t="s">
        <v>2148</v>
      </c>
      <c r="P362" s="255" t="s">
        <v>599</v>
      </c>
      <c r="Q362" s="255" t="s">
        <v>599</v>
      </c>
      <c r="R362" s="255" t="s">
        <v>598</v>
      </c>
      <c r="S362" s="256"/>
      <c r="T362" s="256"/>
      <c r="U362" s="256"/>
      <c r="V362" s="256">
        <v>1</v>
      </c>
      <c r="W362" s="256"/>
      <c r="X362" s="256"/>
      <c r="Y362" s="256"/>
      <c r="Z362" s="256"/>
      <c r="AA362" s="256"/>
      <c r="AB362" s="256"/>
      <c r="AC362" s="256"/>
      <c r="AD362" s="256"/>
      <c r="AE362" s="256"/>
      <c r="AF362" s="256"/>
      <c r="AG362" s="256"/>
      <c r="AH362" s="256"/>
      <c r="AI362" s="256"/>
      <c r="AJ362" s="256"/>
      <c r="AK362" s="256"/>
      <c r="AL362" s="256"/>
      <c r="AM362" s="256"/>
      <c r="AN362" s="256"/>
      <c r="AO362" s="256"/>
      <c r="AP362" s="256"/>
      <c r="AQ362" s="256"/>
      <c r="AR362" s="256"/>
      <c r="AS362" s="256"/>
      <c r="AT362" s="256"/>
      <c r="AU362" s="256"/>
      <c r="AV362" s="255" t="s">
        <v>50</v>
      </c>
      <c r="AW362" s="255" t="s">
        <v>2245</v>
      </c>
      <c r="AX362" s="255" t="s">
        <v>50</v>
      </c>
      <c r="AY362" s="255" t="s">
        <v>50</v>
      </c>
      <c r="AZ362" s="255" t="s">
        <v>50</v>
      </c>
    </row>
    <row r="363" spans="1:52" ht="30" customHeight="1">
      <c r="A363" s="258" t="s">
        <v>871</v>
      </c>
      <c r="B363" s="258" t="s">
        <v>916</v>
      </c>
      <c r="C363" s="258" t="s">
        <v>146</v>
      </c>
      <c r="D363" s="259">
        <v>1</v>
      </c>
      <c r="E363" s="303"/>
      <c r="F363" s="297"/>
      <c r="G363" s="303"/>
      <c r="H363" s="297"/>
      <c r="I363" s="303"/>
      <c r="J363" s="297"/>
      <c r="K363" s="303"/>
      <c r="L363" s="297"/>
      <c r="M363" s="258" t="s">
        <v>50</v>
      </c>
      <c r="N363" s="255" t="s">
        <v>1966</v>
      </c>
      <c r="O363" s="255" t="s">
        <v>1900</v>
      </c>
      <c r="P363" s="255" t="s">
        <v>599</v>
      </c>
      <c r="Q363" s="255" t="s">
        <v>599</v>
      </c>
      <c r="R363" s="255" t="s">
        <v>599</v>
      </c>
      <c r="S363" s="256">
        <v>0</v>
      </c>
      <c r="T363" s="256">
        <v>0</v>
      </c>
      <c r="U363" s="256">
        <v>0.2</v>
      </c>
      <c r="V363" s="256"/>
      <c r="W363" s="256"/>
      <c r="X363" s="256"/>
      <c r="Y363" s="256"/>
      <c r="Z363" s="256"/>
      <c r="AA363" s="256"/>
      <c r="AB363" s="256"/>
      <c r="AC363" s="256"/>
      <c r="AD363" s="256"/>
      <c r="AE363" s="256"/>
      <c r="AF363" s="256"/>
      <c r="AG363" s="256"/>
      <c r="AH363" s="256"/>
      <c r="AI363" s="256"/>
      <c r="AJ363" s="256"/>
      <c r="AK363" s="256"/>
      <c r="AL363" s="256"/>
      <c r="AM363" s="256"/>
      <c r="AN363" s="256"/>
      <c r="AO363" s="256"/>
      <c r="AP363" s="256"/>
      <c r="AQ363" s="256"/>
      <c r="AR363" s="256"/>
      <c r="AS363" s="256"/>
      <c r="AT363" s="256"/>
      <c r="AU363" s="256"/>
      <c r="AV363" s="255" t="s">
        <v>50</v>
      </c>
      <c r="AW363" s="255" t="s">
        <v>2246</v>
      </c>
      <c r="AX363" s="255" t="s">
        <v>50</v>
      </c>
      <c r="AY363" s="255" t="s">
        <v>50</v>
      </c>
      <c r="AZ363" s="255" t="s">
        <v>50</v>
      </c>
    </row>
    <row r="364" spans="1:52" ht="30" customHeight="1">
      <c r="A364" s="258" t="s">
        <v>907</v>
      </c>
      <c r="B364" s="258" t="s">
        <v>830</v>
      </c>
      <c r="C364" s="258" t="s">
        <v>831</v>
      </c>
      <c r="D364" s="259">
        <v>1</v>
      </c>
      <c r="E364" s="303"/>
      <c r="F364" s="297"/>
      <c r="G364" s="303"/>
      <c r="H364" s="297"/>
      <c r="I364" s="303"/>
      <c r="J364" s="297"/>
      <c r="K364" s="303"/>
      <c r="L364" s="297"/>
      <c r="M364" s="258" t="s">
        <v>50</v>
      </c>
      <c r="N364" s="255" t="s">
        <v>1966</v>
      </c>
      <c r="O364" s="255" t="s">
        <v>2151</v>
      </c>
      <c r="P364" s="255" t="s">
        <v>599</v>
      </c>
      <c r="Q364" s="255" t="s">
        <v>599</v>
      </c>
      <c r="R364" s="255" t="s">
        <v>598</v>
      </c>
      <c r="S364" s="256"/>
      <c r="T364" s="256"/>
      <c r="U364" s="256"/>
      <c r="V364" s="256"/>
      <c r="W364" s="256"/>
      <c r="X364" s="256"/>
      <c r="Y364" s="256"/>
      <c r="Z364" s="256"/>
      <c r="AA364" s="256"/>
      <c r="AB364" s="256"/>
      <c r="AC364" s="256"/>
      <c r="AD364" s="256"/>
      <c r="AE364" s="256"/>
      <c r="AF364" s="256"/>
      <c r="AG364" s="256"/>
      <c r="AH364" s="256"/>
      <c r="AI364" s="256"/>
      <c r="AJ364" s="256"/>
      <c r="AK364" s="256"/>
      <c r="AL364" s="256"/>
      <c r="AM364" s="256"/>
      <c r="AN364" s="256"/>
      <c r="AO364" s="256"/>
      <c r="AP364" s="256"/>
      <c r="AQ364" s="256"/>
      <c r="AR364" s="256"/>
      <c r="AS364" s="256"/>
      <c r="AT364" s="256"/>
      <c r="AU364" s="256"/>
      <c r="AV364" s="255" t="s">
        <v>50</v>
      </c>
      <c r="AW364" s="255" t="s">
        <v>2247</v>
      </c>
      <c r="AX364" s="255" t="s">
        <v>598</v>
      </c>
      <c r="AY364" s="255" t="s">
        <v>50</v>
      </c>
      <c r="AZ364" s="255" t="s">
        <v>50</v>
      </c>
    </row>
    <row r="365" spans="1:52" ht="30" customHeight="1">
      <c r="A365" s="258" t="s">
        <v>820</v>
      </c>
      <c r="B365" s="258" t="s">
        <v>50</v>
      </c>
      <c r="C365" s="258" t="s">
        <v>50</v>
      </c>
      <c r="D365" s="259"/>
      <c r="E365" s="303"/>
      <c r="F365" s="297"/>
      <c r="G365" s="303"/>
      <c r="H365" s="297"/>
      <c r="I365" s="303"/>
      <c r="J365" s="297"/>
      <c r="K365" s="303"/>
      <c r="L365" s="297"/>
      <c r="M365" s="258" t="s">
        <v>50</v>
      </c>
      <c r="N365" s="255" t="s">
        <v>617</v>
      </c>
      <c r="O365" s="255" t="s">
        <v>617</v>
      </c>
      <c r="P365" s="255" t="s">
        <v>50</v>
      </c>
      <c r="Q365" s="255" t="s">
        <v>50</v>
      </c>
      <c r="R365" s="255" t="s">
        <v>50</v>
      </c>
      <c r="S365" s="256"/>
      <c r="T365" s="256"/>
      <c r="U365" s="256"/>
      <c r="V365" s="256"/>
      <c r="W365" s="256"/>
      <c r="X365" s="256"/>
      <c r="Y365" s="256"/>
      <c r="Z365" s="256"/>
      <c r="AA365" s="256"/>
      <c r="AB365" s="256"/>
      <c r="AC365" s="256"/>
      <c r="AD365" s="256"/>
      <c r="AE365" s="256"/>
      <c r="AF365" s="256"/>
      <c r="AG365" s="256"/>
      <c r="AH365" s="256"/>
      <c r="AI365" s="256"/>
      <c r="AJ365" s="256"/>
      <c r="AK365" s="256"/>
      <c r="AL365" s="256"/>
      <c r="AM365" s="256"/>
      <c r="AN365" s="256"/>
      <c r="AO365" s="256"/>
      <c r="AP365" s="256"/>
      <c r="AQ365" s="256"/>
      <c r="AR365" s="256"/>
      <c r="AS365" s="256"/>
      <c r="AT365" s="256"/>
      <c r="AU365" s="256"/>
      <c r="AV365" s="255" t="s">
        <v>50</v>
      </c>
      <c r="AW365" s="255" t="s">
        <v>50</v>
      </c>
      <c r="AX365" s="255" t="s">
        <v>50</v>
      </c>
      <c r="AY365" s="255" t="s">
        <v>50</v>
      </c>
      <c r="AZ365" s="255" t="s">
        <v>50</v>
      </c>
    </row>
    <row r="366" spans="1:52" ht="30" customHeight="1">
      <c r="A366" s="259"/>
      <c r="B366" s="259"/>
      <c r="C366" s="259"/>
      <c r="D366" s="259"/>
      <c r="E366" s="303"/>
      <c r="F366" s="297"/>
      <c r="G366" s="303"/>
      <c r="H366" s="297"/>
      <c r="I366" s="303"/>
      <c r="J366" s="297"/>
      <c r="K366" s="303"/>
      <c r="L366" s="297"/>
      <c r="M366" s="259"/>
    </row>
    <row r="367" spans="1:52" ht="30" customHeight="1">
      <c r="A367" s="299" t="s">
        <v>1782</v>
      </c>
      <c r="B367" s="300"/>
      <c r="C367" s="300"/>
      <c r="D367" s="300"/>
      <c r="E367" s="301"/>
      <c r="F367" s="302"/>
      <c r="G367" s="301"/>
      <c r="H367" s="302"/>
      <c r="I367" s="301"/>
      <c r="J367" s="302"/>
      <c r="K367" s="301"/>
      <c r="L367" s="302"/>
      <c r="M367" s="300"/>
      <c r="N367" s="464" t="s">
        <v>1967</v>
      </c>
    </row>
    <row r="368" spans="1:52" ht="30" customHeight="1">
      <c r="A368" s="258" t="s">
        <v>665</v>
      </c>
      <c r="B368" s="258" t="s">
        <v>792</v>
      </c>
      <c r="C368" s="258" t="s">
        <v>644</v>
      </c>
      <c r="D368" s="259">
        <v>1</v>
      </c>
      <c r="E368" s="303"/>
      <c r="F368" s="297"/>
      <c r="G368" s="303"/>
      <c r="H368" s="297"/>
      <c r="I368" s="303"/>
      <c r="J368" s="297"/>
      <c r="K368" s="303"/>
      <c r="L368" s="297"/>
      <c r="M368" s="258" t="s">
        <v>724</v>
      </c>
      <c r="N368" s="255" t="s">
        <v>1967</v>
      </c>
      <c r="O368" s="255" t="s">
        <v>2248</v>
      </c>
      <c r="P368" s="255" t="s">
        <v>599</v>
      </c>
      <c r="Q368" s="255" t="s">
        <v>598</v>
      </c>
      <c r="R368" s="255" t="s">
        <v>599</v>
      </c>
      <c r="S368" s="256"/>
      <c r="T368" s="256"/>
      <c r="U368" s="256"/>
      <c r="V368" s="256"/>
      <c r="W368" s="256"/>
      <c r="X368" s="256"/>
      <c r="Y368" s="256"/>
      <c r="Z368" s="256"/>
      <c r="AA368" s="256"/>
      <c r="AB368" s="256"/>
      <c r="AC368" s="256"/>
      <c r="AD368" s="256"/>
      <c r="AE368" s="256"/>
      <c r="AF368" s="256"/>
      <c r="AG368" s="256"/>
      <c r="AH368" s="256"/>
      <c r="AI368" s="256"/>
      <c r="AJ368" s="256"/>
      <c r="AK368" s="256"/>
      <c r="AL368" s="256"/>
      <c r="AM368" s="256"/>
      <c r="AN368" s="256"/>
      <c r="AO368" s="256"/>
      <c r="AP368" s="256"/>
      <c r="AQ368" s="256"/>
      <c r="AR368" s="256"/>
      <c r="AS368" s="256"/>
      <c r="AT368" s="256"/>
      <c r="AU368" s="256"/>
      <c r="AV368" s="255" t="s">
        <v>50</v>
      </c>
      <c r="AW368" s="255" t="s">
        <v>2249</v>
      </c>
      <c r="AX368" s="255" t="s">
        <v>50</v>
      </c>
      <c r="AY368" s="255" t="s">
        <v>50</v>
      </c>
      <c r="AZ368" s="255" t="s">
        <v>50</v>
      </c>
    </row>
    <row r="369" spans="1:52" ht="30" customHeight="1">
      <c r="A369" s="258" t="s">
        <v>820</v>
      </c>
      <c r="B369" s="258" t="s">
        <v>50</v>
      </c>
      <c r="C369" s="258" t="s">
        <v>50</v>
      </c>
      <c r="D369" s="259"/>
      <c r="E369" s="303"/>
      <c r="F369" s="297"/>
      <c r="G369" s="303"/>
      <c r="H369" s="297"/>
      <c r="I369" s="303"/>
      <c r="J369" s="297"/>
      <c r="K369" s="303"/>
      <c r="L369" s="297"/>
      <c r="M369" s="258" t="s">
        <v>50</v>
      </c>
      <c r="N369" s="255" t="s">
        <v>617</v>
      </c>
      <c r="O369" s="255" t="s">
        <v>617</v>
      </c>
      <c r="P369" s="255" t="s">
        <v>50</v>
      </c>
      <c r="Q369" s="255" t="s">
        <v>50</v>
      </c>
      <c r="R369" s="255" t="s">
        <v>50</v>
      </c>
      <c r="S369" s="256"/>
      <c r="T369" s="256"/>
      <c r="U369" s="256"/>
      <c r="V369" s="256"/>
      <c r="W369" s="256"/>
      <c r="X369" s="256"/>
      <c r="Y369" s="256"/>
      <c r="Z369" s="256"/>
      <c r="AA369" s="256"/>
      <c r="AB369" s="256"/>
      <c r="AC369" s="256"/>
      <c r="AD369" s="256"/>
      <c r="AE369" s="256"/>
      <c r="AF369" s="256"/>
      <c r="AG369" s="256"/>
      <c r="AH369" s="256"/>
      <c r="AI369" s="256"/>
      <c r="AJ369" s="256"/>
      <c r="AK369" s="256"/>
      <c r="AL369" s="256"/>
      <c r="AM369" s="256"/>
      <c r="AN369" s="256"/>
      <c r="AO369" s="256"/>
      <c r="AP369" s="256"/>
      <c r="AQ369" s="256"/>
      <c r="AR369" s="256"/>
      <c r="AS369" s="256"/>
      <c r="AT369" s="256"/>
      <c r="AU369" s="256"/>
      <c r="AV369" s="255" t="s">
        <v>50</v>
      </c>
      <c r="AW369" s="255" t="s">
        <v>50</v>
      </c>
      <c r="AX369" s="255" t="s">
        <v>50</v>
      </c>
      <c r="AY369" s="255" t="s">
        <v>50</v>
      </c>
      <c r="AZ369" s="255" t="s">
        <v>50</v>
      </c>
    </row>
    <row r="370" spans="1:52" ht="30" customHeight="1">
      <c r="A370" s="259"/>
      <c r="B370" s="259"/>
      <c r="C370" s="259"/>
      <c r="D370" s="259"/>
      <c r="E370" s="303"/>
      <c r="F370" s="297"/>
      <c r="G370" s="303"/>
      <c r="H370" s="297"/>
      <c r="I370" s="303"/>
      <c r="J370" s="297"/>
      <c r="K370" s="303"/>
      <c r="L370" s="297"/>
      <c r="M370" s="259"/>
    </row>
    <row r="371" spans="1:52" ht="30" customHeight="1">
      <c r="A371" s="299" t="s">
        <v>1593</v>
      </c>
      <c r="B371" s="300"/>
      <c r="C371" s="300"/>
      <c r="D371" s="300"/>
      <c r="E371" s="301"/>
      <c r="F371" s="302"/>
      <c r="G371" s="301"/>
      <c r="H371" s="302"/>
      <c r="I371" s="301"/>
      <c r="J371" s="302"/>
      <c r="K371" s="301"/>
      <c r="L371" s="302"/>
      <c r="M371" s="300"/>
      <c r="N371" s="464" t="s">
        <v>1968</v>
      </c>
    </row>
    <row r="372" spans="1:52" ht="30" customHeight="1">
      <c r="A372" s="258" t="s">
        <v>783</v>
      </c>
      <c r="B372" s="258" t="s">
        <v>794</v>
      </c>
      <c r="C372" s="258" t="s">
        <v>610</v>
      </c>
      <c r="D372" s="259">
        <v>0.23619999999999999</v>
      </c>
      <c r="E372" s="303"/>
      <c r="F372" s="297"/>
      <c r="G372" s="303"/>
      <c r="H372" s="297"/>
      <c r="I372" s="303"/>
      <c r="J372" s="297"/>
      <c r="K372" s="303"/>
      <c r="L372" s="297"/>
      <c r="M372" s="258" t="s">
        <v>382</v>
      </c>
      <c r="N372" s="255" t="s">
        <v>1968</v>
      </c>
      <c r="O372" s="255" t="s">
        <v>2250</v>
      </c>
      <c r="P372" s="255" t="s">
        <v>599</v>
      </c>
      <c r="Q372" s="255" t="s">
        <v>599</v>
      </c>
      <c r="R372" s="255" t="s">
        <v>598</v>
      </c>
      <c r="S372" s="256"/>
      <c r="T372" s="256"/>
      <c r="U372" s="256"/>
      <c r="V372" s="256"/>
      <c r="W372" s="256"/>
      <c r="X372" s="256"/>
      <c r="Y372" s="256"/>
      <c r="Z372" s="256"/>
      <c r="AA372" s="256"/>
      <c r="AB372" s="256"/>
      <c r="AC372" s="256"/>
      <c r="AD372" s="256"/>
      <c r="AE372" s="256"/>
      <c r="AF372" s="256"/>
      <c r="AG372" s="256"/>
      <c r="AH372" s="256"/>
      <c r="AI372" s="256"/>
      <c r="AJ372" s="256"/>
      <c r="AK372" s="256"/>
      <c r="AL372" s="256"/>
      <c r="AM372" s="256"/>
      <c r="AN372" s="256"/>
      <c r="AO372" s="256"/>
      <c r="AP372" s="256"/>
      <c r="AQ372" s="256"/>
      <c r="AR372" s="256"/>
      <c r="AS372" s="256"/>
      <c r="AT372" s="256"/>
      <c r="AU372" s="256"/>
      <c r="AV372" s="255" t="s">
        <v>50</v>
      </c>
      <c r="AW372" s="255" t="s">
        <v>2251</v>
      </c>
      <c r="AX372" s="255" t="s">
        <v>50</v>
      </c>
      <c r="AY372" s="255" t="s">
        <v>50</v>
      </c>
      <c r="AZ372" s="255" t="s">
        <v>50</v>
      </c>
    </row>
    <row r="373" spans="1:52" ht="30" customHeight="1">
      <c r="A373" s="258" t="s">
        <v>904</v>
      </c>
      <c r="B373" s="258" t="s">
        <v>905</v>
      </c>
      <c r="C373" s="258" t="s">
        <v>869</v>
      </c>
      <c r="D373" s="259">
        <v>8.6999999999999993</v>
      </c>
      <c r="E373" s="303"/>
      <c r="F373" s="297"/>
      <c r="G373" s="303"/>
      <c r="H373" s="297"/>
      <c r="I373" s="303"/>
      <c r="J373" s="297"/>
      <c r="K373" s="303"/>
      <c r="L373" s="297"/>
      <c r="M373" s="258" t="s">
        <v>50</v>
      </c>
      <c r="N373" s="255" t="s">
        <v>1968</v>
      </c>
      <c r="O373" s="255" t="s">
        <v>2148</v>
      </c>
      <c r="P373" s="255" t="s">
        <v>599</v>
      </c>
      <c r="Q373" s="255" t="s">
        <v>599</v>
      </c>
      <c r="R373" s="255" t="s">
        <v>598</v>
      </c>
      <c r="S373" s="256"/>
      <c r="T373" s="256"/>
      <c r="U373" s="256"/>
      <c r="V373" s="256">
        <v>1</v>
      </c>
      <c r="W373" s="256"/>
      <c r="X373" s="256"/>
      <c r="Y373" s="256"/>
      <c r="Z373" s="256"/>
      <c r="AA373" s="256"/>
      <c r="AB373" s="256"/>
      <c r="AC373" s="256"/>
      <c r="AD373" s="256"/>
      <c r="AE373" s="256"/>
      <c r="AF373" s="256"/>
      <c r="AG373" s="256"/>
      <c r="AH373" s="256"/>
      <c r="AI373" s="256"/>
      <c r="AJ373" s="256"/>
      <c r="AK373" s="256"/>
      <c r="AL373" s="256"/>
      <c r="AM373" s="256"/>
      <c r="AN373" s="256"/>
      <c r="AO373" s="256"/>
      <c r="AP373" s="256"/>
      <c r="AQ373" s="256"/>
      <c r="AR373" s="256"/>
      <c r="AS373" s="256"/>
      <c r="AT373" s="256"/>
      <c r="AU373" s="256"/>
      <c r="AV373" s="255" t="s">
        <v>50</v>
      </c>
      <c r="AW373" s="255" t="s">
        <v>2252</v>
      </c>
      <c r="AX373" s="255" t="s">
        <v>50</v>
      </c>
      <c r="AY373" s="255" t="s">
        <v>50</v>
      </c>
      <c r="AZ373" s="255" t="s">
        <v>50</v>
      </c>
    </row>
    <row r="374" spans="1:52" ht="30" customHeight="1">
      <c r="A374" s="258" t="s">
        <v>871</v>
      </c>
      <c r="B374" s="258" t="s">
        <v>912</v>
      </c>
      <c r="C374" s="258" t="s">
        <v>146</v>
      </c>
      <c r="D374" s="259">
        <v>1</v>
      </c>
      <c r="E374" s="303"/>
      <c r="F374" s="297"/>
      <c r="G374" s="303"/>
      <c r="H374" s="297"/>
      <c r="I374" s="303"/>
      <c r="J374" s="297"/>
      <c r="K374" s="303"/>
      <c r="L374" s="297"/>
      <c r="M374" s="258" t="s">
        <v>50</v>
      </c>
      <c r="N374" s="255" t="s">
        <v>1968</v>
      </c>
      <c r="O374" s="255" t="s">
        <v>1900</v>
      </c>
      <c r="P374" s="255" t="s">
        <v>599</v>
      </c>
      <c r="Q374" s="255" t="s">
        <v>599</v>
      </c>
      <c r="R374" s="255" t="s">
        <v>599</v>
      </c>
      <c r="S374" s="256">
        <v>0</v>
      </c>
      <c r="T374" s="256">
        <v>0</v>
      </c>
      <c r="U374" s="256">
        <v>0.24</v>
      </c>
      <c r="V374" s="256"/>
      <c r="W374" s="256"/>
      <c r="X374" s="256"/>
      <c r="Y374" s="256"/>
      <c r="Z374" s="256"/>
      <c r="AA374" s="256"/>
      <c r="AB374" s="256"/>
      <c r="AC374" s="256"/>
      <c r="AD374" s="256"/>
      <c r="AE374" s="256"/>
      <c r="AF374" s="256"/>
      <c r="AG374" s="256"/>
      <c r="AH374" s="256"/>
      <c r="AI374" s="256"/>
      <c r="AJ374" s="256"/>
      <c r="AK374" s="256"/>
      <c r="AL374" s="256"/>
      <c r="AM374" s="256"/>
      <c r="AN374" s="256"/>
      <c r="AO374" s="256"/>
      <c r="AP374" s="256"/>
      <c r="AQ374" s="256"/>
      <c r="AR374" s="256"/>
      <c r="AS374" s="256"/>
      <c r="AT374" s="256"/>
      <c r="AU374" s="256"/>
      <c r="AV374" s="255" t="s">
        <v>50</v>
      </c>
      <c r="AW374" s="255" t="s">
        <v>2253</v>
      </c>
      <c r="AX374" s="255" t="s">
        <v>50</v>
      </c>
      <c r="AY374" s="255" t="s">
        <v>50</v>
      </c>
      <c r="AZ374" s="255" t="s">
        <v>50</v>
      </c>
    </row>
    <row r="375" spans="1:52" ht="30" customHeight="1">
      <c r="A375" s="258" t="s">
        <v>913</v>
      </c>
      <c r="B375" s="258" t="s">
        <v>830</v>
      </c>
      <c r="C375" s="258" t="s">
        <v>831</v>
      </c>
      <c r="D375" s="259">
        <v>1</v>
      </c>
      <c r="E375" s="303"/>
      <c r="F375" s="297"/>
      <c r="G375" s="303"/>
      <c r="H375" s="297"/>
      <c r="I375" s="303"/>
      <c r="J375" s="297"/>
      <c r="K375" s="303"/>
      <c r="L375" s="297"/>
      <c r="M375" s="258" t="s">
        <v>50</v>
      </c>
      <c r="N375" s="255" t="s">
        <v>1968</v>
      </c>
      <c r="O375" s="255" t="s">
        <v>2226</v>
      </c>
      <c r="P375" s="255" t="s">
        <v>599</v>
      </c>
      <c r="Q375" s="255" t="s">
        <v>599</v>
      </c>
      <c r="R375" s="255" t="s">
        <v>598</v>
      </c>
      <c r="S375" s="256"/>
      <c r="T375" s="256"/>
      <c r="U375" s="256"/>
      <c r="V375" s="256"/>
      <c r="W375" s="256"/>
      <c r="X375" s="256"/>
      <c r="Y375" s="256"/>
      <c r="Z375" s="256"/>
      <c r="AA375" s="256"/>
      <c r="AB375" s="256"/>
      <c r="AC375" s="256"/>
      <c r="AD375" s="256"/>
      <c r="AE375" s="256"/>
      <c r="AF375" s="256"/>
      <c r="AG375" s="256"/>
      <c r="AH375" s="256"/>
      <c r="AI375" s="256"/>
      <c r="AJ375" s="256"/>
      <c r="AK375" s="256"/>
      <c r="AL375" s="256"/>
      <c r="AM375" s="256"/>
      <c r="AN375" s="256"/>
      <c r="AO375" s="256"/>
      <c r="AP375" s="256"/>
      <c r="AQ375" s="256"/>
      <c r="AR375" s="256"/>
      <c r="AS375" s="256"/>
      <c r="AT375" s="256"/>
      <c r="AU375" s="256"/>
      <c r="AV375" s="255" t="s">
        <v>50</v>
      </c>
      <c r="AW375" s="255" t="s">
        <v>2254</v>
      </c>
      <c r="AX375" s="255" t="s">
        <v>598</v>
      </c>
      <c r="AY375" s="255" t="s">
        <v>50</v>
      </c>
      <c r="AZ375" s="255" t="s">
        <v>50</v>
      </c>
    </row>
    <row r="376" spans="1:52" ht="30" customHeight="1">
      <c r="A376" s="258" t="s">
        <v>820</v>
      </c>
      <c r="B376" s="258" t="s">
        <v>50</v>
      </c>
      <c r="C376" s="258" t="s">
        <v>50</v>
      </c>
      <c r="D376" s="259"/>
      <c r="E376" s="303"/>
      <c r="F376" s="297"/>
      <c r="G376" s="303"/>
      <c r="H376" s="297"/>
      <c r="I376" s="303"/>
      <c r="J376" s="297"/>
      <c r="K376" s="303"/>
      <c r="L376" s="297"/>
      <c r="M376" s="258" t="s">
        <v>50</v>
      </c>
      <c r="N376" s="255" t="s">
        <v>617</v>
      </c>
      <c r="O376" s="255" t="s">
        <v>617</v>
      </c>
      <c r="P376" s="255" t="s">
        <v>50</v>
      </c>
      <c r="Q376" s="255" t="s">
        <v>50</v>
      </c>
      <c r="R376" s="255" t="s">
        <v>50</v>
      </c>
      <c r="S376" s="256"/>
      <c r="T376" s="256"/>
      <c r="U376" s="256"/>
      <c r="V376" s="256"/>
      <c r="W376" s="256"/>
      <c r="X376" s="256"/>
      <c r="Y376" s="256"/>
      <c r="Z376" s="256"/>
      <c r="AA376" s="256"/>
      <c r="AB376" s="256"/>
      <c r="AC376" s="256"/>
      <c r="AD376" s="256"/>
      <c r="AE376" s="256"/>
      <c r="AF376" s="256"/>
      <c r="AG376" s="256"/>
      <c r="AH376" s="256"/>
      <c r="AI376" s="256"/>
      <c r="AJ376" s="256"/>
      <c r="AK376" s="256"/>
      <c r="AL376" s="256"/>
      <c r="AM376" s="256"/>
      <c r="AN376" s="256"/>
      <c r="AO376" s="256"/>
      <c r="AP376" s="256"/>
      <c r="AQ376" s="256"/>
      <c r="AR376" s="256"/>
      <c r="AS376" s="256"/>
      <c r="AT376" s="256"/>
      <c r="AU376" s="256"/>
      <c r="AV376" s="255" t="s">
        <v>50</v>
      </c>
      <c r="AW376" s="255" t="s">
        <v>50</v>
      </c>
      <c r="AX376" s="255" t="s">
        <v>50</v>
      </c>
      <c r="AY376" s="255" t="s">
        <v>50</v>
      </c>
      <c r="AZ376" s="255" t="s">
        <v>50</v>
      </c>
    </row>
    <row r="377" spans="1:52" ht="30" customHeight="1">
      <c r="A377" s="259"/>
      <c r="B377" s="259"/>
      <c r="C377" s="259"/>
      <c r="D377" s="259"/>
      <c r="E377" s="303"/>
      <c r="F377" s="297"/>
      <c r="G377" s="303"/>
      <c r="H377" s="297"/>
      <c r="I377" s="303"/>
      <c r="J377" s="297"/>
      <c r="K377" s="303"/>
      <c r="L377" s="297"/>
      <c r="M377" s="259"/>
    </row>
    <row r="378" spans="1:52" ht="30" customHeight="1">
      <c r="A378" s="299" t="s">
        <v>1594</v>
      </c>
      <c r="B378" s="300"/>
      <c r="C378" s="300"/>
      <c r="D378" s="300"/>
      <c r="E378" s="301"/>
      <c r="F378" s="302"/>
      <c r="G378" s="301"/>
      <c r="H378" s="302"/>
      <c r="I378" s="301"/>
      <c r="J378" s="302"/>
      <c r="K378" s="301"/>
      <c r="L378" s="302"/>
      <c r="M378" s="300"/>
      <c r="N378" s="464" t="s">
        <v>1969</v>
      </c>
    </row>
    <row r="379" spans="1:52" ht="30" customHeight="1">
      <c r="A379" s="258" t="s">
        <v>795</v>
      </c>
      <c r="B379" s="258" t="s">
        <v>796</v>
      </c>
      <c r="C379" s="258" t="s">
        <v>610</v>
      </c>
      <c r="D379" s="259">
        <v>0.66010000000000002</v>
      </c>
      <c r="E379" s="303"/>
      <c r="F379" s="297"/>
      <c r="G379" s="303"/>
      <c r="H379" s="297"/>
      <c r="I379" s="303"/>
      <c r="J379" s="297"/>
      <c r="K379" s="303"/>
      <c r="L379" s="297"/>
      <c r="M379" s="258" t="s">
        <v>382</v>
      </c>
      <c r="N379" s="255" t="s">
        <v>1969</v>
      </c>
      <c r="O379" s="255" t="s">
        <v>2255</v>
      </c>
      <c r="P379" s="255" t="s">
        <v>599</v>
      </c>
      <c r="Q379" s="255" t="s">
        <v>599</v>
      </c>
      <c r="R379" s="255" t="s">
        <v>598</v>
      </c>
      <c r="S379" s="256"/>
      <c r="T379" s="256"/>
      <c r="U379" s="256"/>
      <c r="V379" s="256"/>
      <c r="W379" s="256"/>
      <c r="X379" s="256"/>
      <c r="Y379" s="256"/>
      <c r="Z379" s="256"/>
      <c r="AA379" s="256"/>
      <c r="AB379" s="256"/>
      <c r="AC379" s="256"/>
      <c r="AD379" s="256"/>
      <c r="AE379" s="256"/>
      <c r="AF379" s="256"/>
      <c r="AG379" s="256"/>
      <c r="AH379" s="256"/>
      <c r="AI379" s="256"/>
      <c r="AJ379" s="256"/>
      <c r="AK379" s="256"/>
      <c r="AL379" s="256"/>
      <c r="AM379" s="256"/>
      <c r="AN379" s="256"/>
      <c r="AO379" s="256"/>
      <c r="AP379" s="256"/>
      <c r="AQ379" s="256"/>
      <c r="AR379" s="256"/>
      <c r="AS379" s="256"/>
      <c r="AT379" s="256"/>
      <c r="AU379" s="256"/>
      <c r="AV379" s="255" t="s">
        <v>50</v>
      </c>
      <c r="AW379" s="255" t="s">
        <v>2256</v>
      </c>
      <c r="AX379" s="255" t="s">
        <v>50</v>
      </c>
      <c r="AY379" s="255" t="s">
        <v>50</v>
      </c>
      <c r="AZ379" s="255" t="s">
        <v>50</v>
      </c>
    </row>
    <row r="380" spans="1:52" ht="30" customHeight="1">
      <c r="A380" s="258" t="s">
        <v>820</v>
      </c>
      <c r="B380" s="258" t="s">
        <v>50</v>
      </c>
      <c r="C380" s="258" t="s">
        <v>50</v>
      </c>
      <c r="D380" s="259"/>
      <c r="E380" s="303"/>
      <c r="F380" s="297"/>
      <c r="G380" s="303"/>
      <c r="H380" s="297"/>
      <c r="I380" s="303"/>
      <c r="J380" s="297"/>
      <c r="K380" s="303"/>
      <c r="L380" s="297"/>
      <c r="M380" s="258" t="s">
        <v>50</v>
      </c>
      <c r="N380" s="255" t="s">
        <v>617</v>
      </c>
      <c r="O380" s="255" t="s">
        <v>617</v>
      </c>
      <c r="P380" s="255" t="s">
        <v>50</v>
      </c>
      <c r="Q380" s="255" t="s">
        <v>50</v>
      </c>
      <c r="R380" s="255" t="s">
        <v>50</v>
      </c>
      <c r="S380" s="256"/>
      <c r="T380" s="256"/>
      <c r="U380" s="256"/>
      <c r="V380" s="256"/>
      <c r="W380" s="256"/>
      <c r="X380" s="256"/>
      <c r="Y380" s="256"/>
      <c r="Z380" s="256"/>
      <c r="AA380" s="256"/>
      <c r="AB380" s="256"/>
      <c r="AC380" s="256"/>
      <c r="AD380" s="256"/>
      <c r="AE380" s="256"/>
      <c r="AF380" s="256"/>
      <c r="AG380" s="256"/>
      <c r="AH380" s="256"/>
      <c r="AI380" s="256"/>
      <c r="AJ380" s="256"/>
      <c r="AK380" s="256"/>
      <c r="AL380" s="256"/>
      <c r="AM380" s="256"/>
      <c r="AN380" s="256"/>
      <c r="AO380" s="256"/>
      <c r="AP380" s="256"/>
      <c r="AQ380" s="256"/>
      <c r="AR380" s="256"/>
      <c r="AS380" s="256"/>
      <c r="AT380" s="256"/>
      <c r="AU380" s="256"/>
      <c r="AV380" s="255" t="s">
        <v>50</v>
      </c>
      <c r="AW380" s="255" t="s">
        <v>50</v>
      </c>
      <c r="AX380" s="255" t="s">
        <v>50</v>
      </c>
      <c r="AY380" s="255" t="s">
        <v>50</v>
      </c>
      <c r="AZ380" s="255" t="s">
        <v>50</v>
      </c>
    </row>
    <row r="381" spans="1:52" ht="30" customHeight="1">
      <c r="A381" s="259"/>
      <c r="B381" s="259"/>
      <c r="C381" s="259"/>
      <c r="D381" s="259"/>
      <c r="E381" s="303"/>
      <c r="F381" s="297"/>
      <c r="G381" s="303"/>
      <c r="H381" s="297"/>
      <c r="I381" s="303"/>
      <c r="J381" s="297"/>
      <c r="K381" s="303"/>
      <c r="L381" s="297"/>
      <c r="M381" s="259"/>
    </row>
    <row r="382" spans="1:52" ht="30" customHeight="1">
      <c r="A382" s="299" t="s">
        <v>1595</v>
      </c>
      <c r="B382" s="300"/>
      <c r="C382" s="300"/>
      <c r="D382" s="300"/>
      <c r="E382" s="301"/>
      <c r="F382" s="302"/>
      <c r="G382" s="301"/>
      <c r="H382" s="302"/>
      <c r="I382" s="301"/>
      <c r="J382" s="302"/>
      <c r="K382" s="301"/>
      <c r="L382" s="302"/>
      <c r="M382" s="300"/>
      <c r="N382" s="464" t="s">
        <v>1970</v>
      </c>
    </row>
    <row r="383" spans="1:52" ht="30" customHeight="1">
      <c r="A383" s="258" t="s">
        <v>760</v>
      </c>
      <c r="B383" s="258" t="s">
        <v>770</v>
      </c>
      <c r="C383" s="258" t="s">
        <v>610</v>
      </c>
      <c r="D383" s="259">
        <v>0.24049999999999999</v>
      </c>
      <c r="E383" s="303"/>
      <c r="F383" s="297"/>
      <c r="G383" s="303"/>
      <c r="H383" s="297"/>
      <c r="I383" s="303"/>
      <c r="J383" s="297"/>
      <c r="K383" s="303"/>
      <c r="L383" s="297"/>
      <c r="M383" s="258" t="s">
        <v>382</v>
      </c>
      <c r="N383" s="255" t="s">
        <v>1970</v>
      </c>
      <c r="O383" s="255" t="s">
        <v>2198</v>
      </c>
      <c r="P383" s="255" t="s">
        <v>599</v>
      </c>
      <c r="Q383" s="255" t="s">
        <v>599</v>
      </c>
      <c r="R383" s="255" t="s">
        <v>598</v>
      </c>
      <c r="S383" s="256"/>
      <c r="T383" s="256"/>
      <c r="U383" s="256"/>
      <c r="V383" s="256"/>
      <c r="W383" s="256"/>
      <c r="X383" s="256"/>
      <c r="Y383" s="256"/>
      <c r="Z383" s="256"/>
      <c r="AA383" s="256"/>
      <c r="AB383" s="256"/>
      <c r="AC383" s="256"/>
      <c r="AD383" s="256"/>
      <c r="AE383" s="256"/>
      <c r="AF383" s="256"/>
      <c r="AG383" s="256"/>
      <c r="AH383" s="256"/>
      <c r="AI383" s="256"/>
      <c r="AJ383" s="256"/>
      <c r="AK383" s="256"/>
      <c r="AL383" s="256"/>
      <c r="AM383" s="256"/>
      <c r="AN383" s="256"/>
      <c r="AO383" s="256"/>
      <c r="AP383" s="256"/>
      <c r="AQ383" s="256"/>
      <c r="AR383" s="256"/>
      <c r="AS383" s="256"/>
      <c r="AT383" s="256"/>
      <c r="AU383" s="256"/>
      <c r="AV383" s="255" t="s">
        <v>50</v>
      </c>
      <c r="AW383" s="255" t="s">
        <v>2257</v>
      </c>
      <c r="AX383" s="255" t="s">
        <v>50</v>
      </c>
      <c r="AY383" s="255" t="s">
        <v>50</v>
      </c>
      <c r="AZ383" s="255" t="s">
        <v>50</v>
      </c>
    </row>
    <row r="384" spans="1:52" ht="30" customHeight="1">
      <c r="A384" s="258" t="s">
        <v>904</v>
      </c>
      <c r="B384" s="258" t="s">
        <v>905</v>
      </c>
      <c r="C384" s="258" t="s">
        <v>869</v>
      </c>
      <c r="D384" s="259">
        <v>11.6</v>
      </c>
      <c r="E384" s="303"/>
      <c r="F384" s="297"/>
      <c r="G384" s="303"/>
      <c r="H384" s="297"/>
      <c r="I384" s="303"/>
      <c r="J384" s="297"/>
      <c r="K384" s="303"/>
      <c r="L384" s="297"/>
      <c r="M384" s="258" t="s">
        <v>50</v>
      </c>
      <c r="N384" s="255" t="s">
        <v>1970</v>
      </c>
      <c r="O384" s="255" t="s">
        <v>2148</v>
      </c>
      <c r="P384" s="255" t="s">
        <v>599</v>
      </c>
      <c r="Q384" s="255" t="s">
        <v>599</v>
      </c>
      <c r="R384" s="255" t="s">
        <v>598</v>
      </c>
      <c r="S384" s="256"/>
      <c r="T384" s="256"/>
      <c r="U384" s="256"/>
      <c r="V384" s="256">
        <v>1</v>
      </c>
      <c r="W384" s="256"/>
      <c r="X384" s="256"/>
      <c r="Y384" s="256"/>
      <c r="Z384" s="256"/>
      <c r="AA384" s="256"/>
      <c r="AB384" s="256"/>
      <c r="AC384" s="256"/>
      <c r="AD384" s="256"/>
      <c r="AE384" s="256"/>
      <c r="AF384" s="256"/>
      <c r="AG384" s="256"/>
      <c r="AH384" s="256"/>
      <c r="AI384" s="256"/>
      <c r="AJ384" s="256"/>
      <c r="AK384" s="256"/>
      <c r="AL384" s="256"/>
      <c r="AM384" s="256"/>
      <c r="AN384" s="256"/>
      <c r="AO384" s="256"/>
      <c r="AP384" s="256"/>
      <c r="AQ384" s="256"/>
      <c r="AR384" s="256"/>
      <c r="AS384" s="256"/>
      <c r="AT384" s="256"/>
      <c r="AU384" s="256"/>
      <c r="AV384" s="255" t="s">
        <v>50</v>
      </c>
      <c r="AW384" s="255" t="s">
        <v>2258</v>
      </c>
      <c r="AX384" s="255" t="s">
        <v>50</v>
      </c>
      <c r="AY384" s="255" t="s">
        <v>50</v>
      </c>
      <c r="AZ384" s="255" t="s">
        <v>50</v>
      </c>
    </row>
    <row r="385" spans="1:52" ht="30" customHeight="1">
      <c r="A385" s="258" t="s">
        <v>871</v>
      </c>
      <c r="B385" s="258" t="s">
        <v>909</v>
      </c>
      <c r="C385" s="258" t="s">
        <v>146</v>
      </c>
      <c r="D385" s="259">
        <v>1</v>
      </c>
      <c r="E385" s="303"/>
      <c r="F385" s="297"/>
      <c r="G385" s="303"/>
      <c r="H385" s="297"/>
      <c r="I385" s="303"/>
      <c r="J385" s="297"/>
      <c r="K385" s="303"/>
      <c r="L385" s="297"/>
      <c r="M385" s="258" t="s">
        <v>50</v>
      </c>
      <c r="N385" s="255" t="s">
        <v>1970</v>
      </c>
      <c r="O385" s="255" t="s">
        <v>1900</v>
      </c>
      <c r="P385" s="255" t="s">
        <v>599</v>
      </c>
      <c r="Q385" s="255" t="s">
        <v>599</v>
      </c>
      <c r="R385" s="255" t="s">
        <v>599</v>
      </c>
      <c r="S385" s="256">
        <v>0</v>
      </c>
      <c r="T385" s="256">
        <v>0</v>
      </c>
      <c r="U385" s="256">
        <v>0.22</v>
      </c>
      <c r="V385" s="256"/>
      <c r="W385" s="256"/>
      <c r="X385" s="256"/>
      <c r="Y385" s="256"/>
      <c r="Z385" s="256"/>
      <c r="AA385" s="256"/>
      <c r="AB385" s="256"/>
      <c r="AC385" s="256"/>
      <c r="AD385" s="256"/>
      <c r="AE385" s="256"/>
      <c r="AF385" s="256"/>
      <c r="AG385" s="256"/>
      <c r="AH385" s="256"/>
      <c r="AI385" s="256"/>
      <c r="AJ385" s="256"/>
      <c r="AK385" s="256"/>
      <c r="AL385" s="256"/>
      <c r="AM385" s="256"/>
      <c r="AN385" s="256"/>
      <c r="AO385" s="256"/>
      <c r="AP385" s="256"/>
      <c r="AQ385" s="256"/>
      <c r="AR385" s="256"/>
      <c r="AS385" s="256"/>
      <c r="AT385" s="256"/>
      <c r="AU385" s="256"/>
      <c r="AV385" s="255" t="s">
        <v>50</v>
      </c>
      <c r="AW385" s="255" t="s">
        <v>2259</v>
      </c>
      <c r="AX385" s="255" t="s">
        <v>50</v>
      </c>
      <c r="AY385" s="255" t="s">
        <v>50</v>
      </c>
      <c r="AZ385" s="255" t="s">
        <v>50</v>
      </c>
    </row>
    <row r="386" spans="1:52" ht="30" customHeight="1">
      <c r="A386" s="258" t="s">
        <v>907</v>
      </c>
      <c r="B386" s="258" t="s">
        <v>830</v>
      </c>
      <c r="C386" s="258" t="s">
        <v>831</v>
      </c>
      <c r="D386" s="259">
        <v>1</v>
      </c>
      <c r="E386" s="303"/>
      <c r="F386" s="297"/>
      <c r="G386" s="303"/>
      <c r="H386" s="297"/>
      <c r="I386" s="303"/>
      <c r="J386" s="297"/>
      <c r="K386" s="303"/>
      <c r="L386" s="297"/>
      <c r="M386" s="258" t="s">
        <v>50</v>
      </c>
      <c r="N386" s="255" t="s">
        <v>1970</v>
      </c>
      <c r="O386" s="255" t="s">
        <v>2151</v>
      </c>
      <c r="P386" s="255" t="s">
        <v>599</v>
      </c>
      <c r="Q386" s="255" t="s">
        <v>599</v>
      </c>
      <c r="R386" s="255" t="s">
        <v>598</v>
      </c>
      <c r="S386" s="256"/>
      <c r="T386" s="256"/>
      <c r="U386" s="256"/>
      <c r="V386" s="256"/>
      <c r="W386" s="256"/>
      <c r="X386" s="256"/>
      <c r="Y386" s="256"/>
      <c r="Z386" s="256"/>
      <c r="AA386" s="256"/>
      <c r="AB386" s="256"/>
      <c r="AC386" s="256"/>
      <c r="AD386" s="256"/>
      <c r="AE386" s="256"/>
      <c r="AF386" s="256"/>
      <c r="AG386" s="256"/>
      <c r="AH386" s="256"/>
      <c r="AI386" s="256"/>
      <c r="AJ386" s="256"/>
      <c r="AK386" s="256"/>
      <c r="AL386" s="256"/>
      <c r="AM386" s="256"/>
      <c r="AN386" s="256"/>
      <c r="AO386" s="256"/>
      <c r="AP386" s="256"/>
      <c r="AQ386" s="256"/>
      <c r="AR386" s="256"/>
      <c r="AS386" s="256"/>
      <c r="AT386" s="256"/>
      <c r="AU386" s="256"/>
      <c r="AV386" s="255" t="s">
        <v>50</v>
      </c>
      <c r="AW386" s="255" t="s">
        <v>2260</v>
      </c>
      <c r="AX386" s="255" t="s">
        <v>598</v>
      </c>
      <c r="AY386" s="255" t="s">
        <v>50</v>
      </c>
      <c r="AZ386" s="255" t="s">
        <v>50</v>
      </c>
    </row>
    <row r="387" spans="1:52" ht="30" customHeight="1">
      <c r="A387" s="258" t="s">
        <v>820</v>
      </c>
      <c r="B387" s="258" t="s">
        <v>50</v>
      </c>
      <c r="C387" s="258" t="s">
        <v>50</v>
      </c>
      <c r="D387" s="259"/>
      <c r="E387" s="303"/>
      <c r="F387" s="297"/>
      <c r="G387" s="303"/>
      <c r="H387" s="297"/>
      <c r="I387" s="303"/>
      <c r="J387" s="297"/>
      <c r="K387" s="303"/>
      <c r="L387" s="297"/>
      <c r="M387" s="258" t="s">
        <v>50</v>
      </c>
      <c r="N387" s="255" t="s">
        <v>617</v>
      </c>
      <c r="O387" s="255" t="s">
        <v>617</v>
      </c>
      <c r="P387" s="255" t="s">
        <v>50</v>
      </c>
      <c r="Q387" s="255" t="s">
        <v>50</v>
      </c>
      <c r="R387" s="255" t="s">
        <v>50</v>
      </c>
      <c r="S387" s="256"/>
      <c r="T387" s="256"/>
      <c r="U387" s="256"/>
      <c r="V387" s="256"/>
      <c r="W387" s="256"/>
      <c r="X387" s="256"/>
      <c r="Y387" s="256"/>
      <c r="Z387" s="256"/>
      <c r="AA387" s="256"/>
      <c r="AB387" s="256"/>
      <c r="AC387" s="256"/>
      <c r="AD387" s="256"/>
      <c r="AE387" s="256"/>
      <c r="AF387" s="256"/>
      <c r="AG387" s="256"/>
      <c r="AH387" s="256"/>
      <c r="AI387" s="256"/>
      <c r="AJ387" s="256"/>
      <c r="AK387" s="256"/>
      <c r="AL387" s="256"/>
      <c r="AM387" s="256"/>
      <c r="AN387" s="256"/>
      <c r="AO387" s="256"/>
      <c r="AP387" s="256"/>
      <c r="AQ387" s="256"/>
      <c r="AR387" s="256"/>
      <c r="AS387" s="256"/>
      <c r="AT387" s="256"/>
      <c r="AU387" s="256"/>
      <c r="AV387" s="255" t="s">
        <v>50</v>
      </c>
      <c r="AW387" s="255" t="s">
        <v>50</v>
      </c>
      <c r="AX387" s="255" t="s">
        <v>50</v>
      </c>
      <c r="AY387" s="255" t="s">
        <v>50</v>
      </c>
      <c r="AZ387" s="255" t="s">
        <v>50</v>
      </c>
    </row>
    <row r="388" spans="1:52" ht="30" customHeight="1">
      <c r="A388" s="259"/>
      <c r="B388" s="259"/>
      <c r="C388" s="259"/>
      <c r="D388" s="259"/>
      <c r="E388" s="303"/>
      <c r="F388" s="297"/>
      <c r="G388" s="303"/>
      <c r="H388" s="297"/>
      <c r="I388" s="303"/>
      <c r="J388" s="297"/>
      <c r="K388" s="303"/>
      <c r="L388" s="297"/>
      <c r="M388" s="259"/>
    </row>
    <row r="389" spans="1:52" ht="30" customHeight="1">
      <c r="A389" s="299" t="s">
        <v>1596</v>
      </c>
      <c r="B389" s="300"/>
      <c r="C389" s="300"/>
      <c r="D389" s="300"/>
      <c r="E389" s="301"/>
      <c r="F389" s="302"/>
      <c r="G389" s="301"/>
      <c r="H389" s="302"/>
      <c r="I389" s="301"/>
      <c r="J389" s="302"/>
      <c r="K389" s="301"/>
      <c r="L389" s="302"/>
      <c r="M389" s="300"/>
      <c r="N389" s="464" t="s">
        <v>1971</v>
      </c>
    </row>
    <row r="390" spans="1:52" ht="30" customHeight="1">
      <c r="A390" s="258" t="s">
        <v>917</v>
      </c>
      <c r="B390" s="258" t="s">
        <v>796</v>
      </c>
      <c r="C390" s="258" t="s">
        <v>644</v>
      </c>
      <c r="D390" s="259">
        <v>0.02</v>
      </c>
      <c r="E390" s="303"/>
      <c r="F390" s="297"/>
      <c r="G390" s="303"/>
      <c r="H390" s="297"/>
      <c r="I390" s="303"/>
      <c r="J390" s="297"/>
      <c r="K390" s="303"/>
      <c r="L390" s="297"/>
      <c r="M390" s="258" t="s">
        <v>50</v>
      </c>
      <c r="N390" s="255" t="s">
        <v>1971</v>
      </c>
      <c r="O390" s="255" t="s">
        <v>2261</v>
      </c>
      <c r="P390" s="255" t="s">
        <v>599</v>
      </c>
      <c r="Q390" s="255" t="s">
        <v>599</v>
      </c>
      <c r="R390" s="255" t="s">
        <v>598</v>
      </c>
      <c r="S390" s="256"/>
      <c r="T390" s="256"/>
      <c r="U390" s="256"/>
      <c r="V390" s="256"/>
      <c r="W390" s="256"/>
      <c r="X390" s="256"/>
      <c r="Y390" s="256"/>
      <c r="Z390" s="256"/>
      <c r="AA390" s="256"/>
      <c r="AB390" s="256"/>
      <c r="AC390" s="256"/>
      <c r="AD390" s="256"/>
      <c r="AE390" s="256"/>
      <c r="AF390" s="256"/>
      <c r="AG390" s="256"/>
      <c r="AH390" s="256"/>
      <c r="AI390" s="256"/>
      <c r="AJ390" s="256"/>
      <c r="AK390" s="256"/>
      <c r="AL390" s="256"/>
      <c r="AM390" s="256"/>
      <c r="AN390" s="256"/>
      <c r="AO390" s="256"/>
      <c r="AP390" s="256"/>
      <c r="AQ390" s="256"/>
      <c r="AR390" s="256"/>
      <c r="AS390" s="256"/>
      <c r="AT390" s="256"/>
      <c r="AU390" s="256"/>
      <c r="AV390" s="255" t="s">
        <v>50</v>
      </c>
      <c r="AW390" s="255" t="s">
        <v>2262</v>
      </c>
      <c r="AX390" s="255" t="s">
        <v>50</v>
      </c>
      <c r="AY390" s="255" t="s">
        <v>50</v>
      </c>
      <c r="AZ390" s="255" t="s">
        <v>50</v>
      </c>
    </row>
    <row r="391" spans="1:52" ht="30" customHeight="1">
      <c r="A391" s="258" t="s">
        <v>820</v>
      </c>
      <c r="B391" s="258" t="s">
        <v>50</v>
      </c>
      <c r="C391" s="258" t="s">
        <v>50</v>
      </c>
      <c r="D391" s="259"/>
      <c r="E391" s="303"/>
      <c r="F391" s="297"/>
      <c r="G391" s="303"/>
      <c r="H391" s="297"/>
      <c r="I391" s="303"/>
      <c r="J391" s="297"/>
      <c r="K391" s="303"/>
      <c r="L391" s="297"/>
      <c r="M391" s="258" t="s">
        <v>50</v>
      </c>
      <c r="N391" s="255" t="s">
        <v>617</v>
      </c>
      <c r="O391" s="255" t="s">
        <v>617</v>
      </c>
      <c r="P391" s="255" t="s">
        <v>50</v>
      </c>
      <c r="Q391" s="255" t="s">
        <v>50</v>
      </c>
      <c r="R391" s="255" t="s">
        <v>50</v>
      </c>
      <c r="S391" s="256"/>
      <c r="T391" s="256"/>
      <c r="U391" s="256"/>
      <c r="V391" s="256"/>
      <c r="W391" s="256"/>
      <c r="X391" s="256"/>
      <c r="Y391" s="256"/>
      <c r="Z391" s="256"/>
      <c r="AA391" s="256"/>
      <c r="AB391" s="256"/>
      <c r="AC391" s="256"/>
      <c r="AD391" s="256"/>
      <c r="AE391" s="256"/>
      <c r="AF391" s="256"/>
      <c r="AG391" s="256"/>
      <c r="AH391" s="256"/>
      <c r="AI391" s="256"/>
      <c r="AJ391" s="256"/>
      <c r="AK391" s="256"/>
      <c r="AL391" s="256"/>
      <c r="AM391" s="256"/>
      <c r="AN391" s="256"/>
      <c r="AO391" s="256"/>
      <c r="AP391" s="256"/>
      <c r="AQ391" s="256"/>
      <c r="AR391" s="256"/>
      <c r="AS391" s="256"/>
      <c r="AT391" s="256"/>
      <c r="AU391" s="256"/>
      <c r="AV391" s="255" t="s">
        <v>50</v>
      </c>
      <c r="AW391" s="255" t="s">
        <v>50</v>
      </c>
      <c r="AX391" s="255" t="s">
        <v>50</v>
      </c>
      <c r="AY391" s="255" t="s">
        <v>50</v>
      </c>
      <c r="AZ391" s="255" t="s">
        <v>50</v>
      </c>
    </row>
    <row r="392" spans="1:52" ht="30" customHeight="1">
      <c r="A392" s="259"/>
      <c r="B392" s="259"/>
      <c r="C392" s="259"/>
      <c r="D392" s="259"/>
      <c r="E392" s="303"/>
      <c r="F392" s="297"/>
      <c r="G392" s="303"/>
      <c r="H392" s="297"/>
      <c r="I392" s="303"/>
      <c r="J392" s="297"/>
      <c r="K392" s="303"/>
      <c r="L392" s="297"/>
      <c r="M392" s="259"/>
    </row>
    <row r="393" spans="1:52" ht="30" customHeight="1">
      <c r="A393" s="299" t="s">
        <v>1597</v>
      </c>
      <c r="B393" s="300"/>
      <c r="C393" s="300"/>
      <c r="D393" s="300"/>
      <c r="E393" s="301"/>
      <c r="F393" s="302"/>
      <c r="G393" s="301"/>
      <c r="H393" s="302"/>
      <c r="I393" s="301"/>
      <c r="J393" s="302"/>
      <c r="K393" s="301"/>
      <c r="L393" s="302"/>
      <c r="M393" s="300"/>
      <c r="N393" s="464" t="s">
        <v>1972</v>
      </c>
    </row>
    <row r="394" spans="1:52" ht="30" customHeight="1">
      <c r="A394" s="258" t="s">
        <v>800</v>
      </c>
      <c r="B394" s="258" t="s">
        <v>801</v>
      </c>
      <c r="C394" s="258" t="s">
        <v>610</v>
      </c>
      <c r="D394" s="259">
        <v>0.21129999999999999</v>
      </c>
      <c r="E394" s="303"/>
      <c r="F394" s="297"/>
      <c r="G394" s="303"/>
      <c r="H394" s="297"/>
      <c r="I394" s="303"/>
      <c r="J394" s="297"/>
      <c r="K394" s="303"/>
      <c r="L394" s="297"/>
      <c r="M394" s="258" t="s">
        <v>382</v>
      </c>
      <c r="N394" s="255" t="s">
        <v>1972</v>
      </c>
      <c r="O394" s="255" t="s">
        <v>2263</v>
      </c>
      <c r="P394" s="255" t="s">
        <v>599</v>
      </c>
      <c r="Q394" s="255" t="s">
        <v>599</v>
      </c>
      <c r="R394" s="255" t="s">
        <v>598</v>
      </c>
      <c r="S394" s="256"/>
      <c r="T394" s="256"/>
      <c r="U394" s="256"/>
      <c r="V394" s="256"/>
      <c r="W394" s="256"/>
      <c r="X394" s="256"/>
      <c r="Y394" s="256"/>
      <c r="Z394" s="256"/>
      <c r="AA394" s="256"/>
      <c r="AB394" s="256"/>
      <c r="AC394" s="256"/>
      <c r="AD394" s="256"/>
      <c r="AE394" s="256"/>
      <c r="AF394" s="256"/>
      <c r="AG394" s="256"/>
      <c r="AH394" s="256"/>
      <c r="AI394" s="256"/>
      <c r="AJ394" s="256"/>
      <c r="AK394" s="256"/>
      <c r="AL394" s="256"/>
      <c r="AM394" s="256"/>
      <c r="AN394" s="256"/>
      <c r="AO394" s="256"/>
      <c r="AP394" s="256"/>
      <c r="AQ394" s="256"/>
      <c r="AR394" s="256"/>
      <c r="AS394" s="256"/>
      <c r="AT394" s="256"/>
      <c r="AU394" s="256"/>
      <c r="AV394" s="255" t="s">
        <v>50</v>
      </c>
      <c r="AW394" s="255" t="s">
        <v>2264</v>
      </c>
      <c r="AX394" s="255" t="s">
        <v>50</v>
      </c>
      <c r="AY394" s="255" t="s">
        <v>50</v>
      </c>
      <c r="AZ394" s="255" t="s">
        <v>50</v>
      </c>
    </row>
    <row r="395" spans="1:52" ht="30" customHeight="1">
      <c r="A395" s="258" t="s">
        <v>904</v>
      </c>
      <c r="B395" s="258" t="s">
        <v>905</v>
      </c>
      <c r="C395" s="258" t="s">
        <v>869</v>
      </c>
      <c r="D395" s="259">
        <v>9.3000000000000007</v>
      </c>
      <c r="E395" s="303"/>
      <c r="F395" s="297"/>
      <c r="G395" s="303"/>
      <c r="H395" s="297"/>
      <c r="I395" s="303"/>
      <c r="J395" s="297"/>
      <c r="K395" s="303"/>
      <c r="L395" s="297"/>
      <c r="M395" s="258" t="s">
        <v>50</v>
      </c>
      <c r="N395" s="255" t="s">
        <v>1972</v>
      </c>
      <c r="O395" s="255" t="s">
        <v>2148</v>
      </c>
      <c r="P395" s="255" t="s">
        <v>599</v>
      </c>
      <c r="Q395" s="255" t="s">
        <v>599</v>
      </c>
      <c r="R395" s="255" t="s">
        <v>598</v>
      </c>
      <c r="S395" s="256"/>
      <c r="T395" s="256"/>
      <c r="U395" s="256"/>
      <c r="V395" s="256">
        <v>1</v>
      </c>
      <c r="W395" s="256"/>
      <c r="X395" s="256"/>
      <c r="Y395" s="256"/>
      <c r="Z395" s="256"/>
      <c r="AA395" s="256"/>
      <c r="AB395" s="256"/>
      <c r="AC395" s="256"/>
      <c r="AD395" s="256"/>
      <c r="AE395" s="256"/>
      <c r="AF395" s="256"/>
      <c r="AG395" s="256"/>
      <c r="AH395" s="256"/>
      <c r="AI395" s="256"/>
      <c r="AJ395" s="256"/>
      <c r="AK395" s="256"/>
      <c r="AL395" s="256"/>
      <c r="AM395" s="256"/>
      <c r="AN395" s="256"/>
      <c r="AO395" s="256"/>
      <c r="AP395" s="256"/>
      <c r="AQ395" s="256"/>
      <c r="AR395" s="256"/>
      <c r="AS395" s="256"/>
      <c r="AT395" s="256"/>
      <c r="AU395" s="256"/>
      <c r="AV395" s="255" t="s">
        <v>50</v>
      </c>
      <c r="AW395" s="255" t="s">
        <v>2265</v>
      </c>
      <c r="AX395" s="255" t="s">
        <v>50</v>
      </c>
      <c r="AY395" s="255" t="s">
        <v>50</v>
      </c>
      <c r="AZ395" s="255" t="s">
        <v>50</v>
      </c>
    </row>
    <row r="396" spans="1:52" ht="30" customHeight="1">
      <c r="A396" s="258" t="s">
        <v>871</v>
      </c>
      <c r="B396" s="258" t="s">
        <v>918</v>
      </c>
      <c r="C396" s="258" t="s">
        <v>146</v>
      </c>
      <c r="D396" s="259">
        <v>1</v>
      </c>
      <c r="E396" s="303"/>
      <c r="F396" s="297"/>
      <c r="G396" s="303"/>
      <c r="H396" s="297"/>
      <c r="I396" s="303"/>
      <c r="J396" s="297"/>
      <c r="K396" s="303"/>
      <c r="L396" s="297"/>
      <c r="M396" s="258" t="s">
        <v>50</v>
      </c>
      <c r="N396" s="255" t="s">
        <v>1972</v>
      </c>
      <c r="O396" s="255" t="s">
        <v>1900</v>
      </c>
      <c r="P396" s="255" t="s">
        <v>599</v>
      </c>
      <c r="Q396" s="255" t="s">
        <v>599</v>
      </c>
      <c r="R396" s="255" t="s">
        <v>599</v>
      </c>
      <c r="S396" s="256">
        <v>0</v>
      </c>
      <c r="T396" s="256">
        <v>0</v>
      </c>
      <c r="U396" s="256">
        <v>0.3</v>
      </c>
      <c r="V396" s="256"/>
      <c r="W396" s="256"/>
      <c r="X396" s="256"/>
      <c r="Y396" s="256"/>
      <c r="Z396" s="256"/>
      <c r="AA396" s="256"/>
      <c r="AB396" s="256"/>
      <c r="AC396" s="256"/>
      <c r="AD396" s="256"/>
      <c r="AE396" s="256"/>
      <c r="AF396" s="256"/>
      <c r="AG396" s="256"/>
      <c r="AH396" s="256"/>
      <c r="AI396" s="256"/>
      <c r="AJ396" s="256"/>
      <c r="AK396" s="256"/>
      <c r="AL396" s="256"/>
      <c r="AM396" s="256"/>
      <c r="AN396" s="256"/>
      <c r="AO396" s="256"/>
      <c r="AP396" s="256"/>
      <c r="AQ396" s="256"/>
      <c r="AR396" s="256"/>
      <c r="AS396" s="256"/>
      <c r="AT396" s="256"/>
      <c r="AU396" s="256"/>
      <c r="AV396" s="255" t="s">
        <v>50</v>
      </c>
      <c r="AW396" s="255" t="s">
        <v>2266</v>
      </c>
      <c r="AX396" s="255" t="s">
        <v>50</v>
      </c>
      <c r="AY396" s="255" t="s">
        <v>50</v>
      </c>
      <c r="AZ396" s="255" t="s">
        <v>50</v>
      </c>
    </row>
    <row r="397" spans="1:52" ht="30" customHeight="1">
      <c r="A397" s="258" t="s">
        <v>919</v>
      </c>
      <c r="B397" s="258" t="s">
        <v>830</v>
      </c>
      <c r="C397" s="258" t="s">
        <v>831</v>
      </c>
      <c r="D397" s="259">
        <v>1</v>
      </c>
      <c r="E397" s="303"/>
      <c r="F397" s="297"/>
      <c r="G397" s="303"/>
      <c r="H397" s="297"/>
      <c r="I397" s="303"/>
      <c r="J397" s="297"/>
      <c r="K397" s="303"/>
      <c r="L397" s="297"/>
      <c r="M397" s="258" t="s">
        <v>50</v>
      </c>
      <c r="N397" s="255" t="s">
        <v>1972</v>
      </c>
      <c r="O397" s="255" t="s">
        <v>2267</v>
      </c>
      <c r="P397" s="255" t="s">
        <v>599</v>
      </c>
      <c r="Q397" s="255" t="s">
        <v>599</v>
      </c>
      <c r="R397" s="255" t="s">
        <v>598</v>
      </c>
      <c r="S397" s="256"/>
      <c r="T397" s="256"/>
      <c r="U397" s="256"/>
      <c r="V397" s="256"/>
      <c r="W397" s="256"/>
      <c r="X397" s="256"/>
      <c r="Y397" s="256"/>
      <c r="Z397" s="256"/>
      <c r="AA397" s="256"/>
      <c r="AB397" s="256"/>
      <c r="AC397" s="256"/>
      <c r="AD397" s="256"/>
      <c r="AE397" s="256"/>
      <c r="AF397" s="256"/>
      <c r="AG397" s="256"/>
      <c r="AH397" s="256"/>
      <c r="AI397" s="256"/>
      <c r="AJ397" s="256"/>
      <c r="AK397" s="256"/>
      <c r="AL397" s="256"/>
      <c r="AM397" s="256"/>
      <c r="AN397" s="256"/>
      <c r="AO397" s="256"/>
      <c r="AP397" s="256"/>
      <c r="AQ397" s="256"/>
      <c r="AR397" s="256"/>
      <c r="AS397" s="256"/>
      <c r="AT397" s="256"/>
      <c r="AU397" s="256"/>
      <c r="AV397" s="255" t="s">
        <v>50</v>
      </c>
      <c r="AW397" s="255" t="s">
        <v>2268</v>
      </c>
      <c r="AX397" s="255" t="s">
        <v>598</v>
      </c>
      <c r="AY397" s="255" t="s">
        <v>50</v>
      </c>
      <c r="AZ397" s="255" t="s">
        <v>50</v>
      </c>
    </row>
    <row r="398" spans="1:52" ht="30" customHeight="1">
      <c r="A398" s="258" t="s">
        <v>820</v>
      </c>
      <c r="B398" s="258" t="s">
        <v>50</v>
      </c>
      <c r="C398" s="258" t="s">
        <v>50</v>
      </c>
      <c r="D398" s="259"/>
      <c r="E398" s="303"/>
      <c r="F398" s="297"/>
      <c r="G398" s="303"/>
      <c r="H398" s="297"/>
      <c r="I398" s="303"/>
      <c r="J398" s="297"/>
      <c r="K398" s="303"/>
      <c r="L398" s="297"/>
      <c r="M398" s="258" t="s">
        <v>50</v>
      </c>
      <c r="N398" s="255" t="s">
        <v>617</v>
      </c>
      <c r="O398" s="255" t="s">
        <v>617</v>
      </c>
      <c r="P398" s="255" t="s">
        <v>50</v>
      </c>
      <c r="Q398" s="255" t="s">
        <v>50</v>
      </c>
      <c r="R398" s="255" t="s">
        <v>50</v>
      </c>
      <c r="S398" s="256"/>
      <c r="T398" s="256"/>
      <c r="U398" s="256"/>
      <c r="V398" s="256"/>
      <c r="W398" s="256"/>
      <c r="X398" s="256"/>
      <c r="Y398" s="256"/>
      <c r="Z398" s="256"/>
      <c r="AA398" s="256"/>
      <c r="AB398" s="256"/>
      <c r="AC398" s="256"/>
      <c r="AD398" s="256"/>
      <c r="AE398" s="256"/>
      <c r="AF398" s="256"/>
      <c r="AG398" s="256"/>
      <c r="AH398" s="256"/>
      <c r="AI398" s="256"/>
      <c r="AJ398" s="256"/>
      <c r="AK398" s="256"/>
      <c r="AL398" s="256"/>
      <c r="AM398" s="256"/>
      <c r="AN398" s="256"/>
      <c r="AO398" s="256"/>
      <c r="AP398" s="256"/>
      <c r="AQ398" s="256"/>
      <c r="AR398" s="256"/>
      <c r="AS398" s="256"/>
      <c r="AT398" s="256"/>
      <c r="AU398" s="256"/>
      <c r="AV398" s="255" t="s">
        <v>50</v>
      </c>
      <c r="AW398" s="255" t="s">
        <v>50</v>
      </c>
      <c r="AX398" s="255" t="s">
        <v>50</v>
      </c>
      <c r="AY398" s="255" t="s">
        <v>50</v>
      </c>
      <c r="AZ398" s="255" t="s">
        <v>50</v>
      </c>
    </row>
    <row r="399" spans="1:52" ht="30" customHeight="1">
      <c r="A399" s="259"/>
      <c r="B399" s="259"/>
      <c r="C399" s="259"/>
      <c r="D399" s="259"/>
      <c r="E399" s="303"/>
      <c r="F399" s="297"/>
      <c r="G399" s="303"/>
      <c r="H399" s="297"/>
      <c r="I399" s="303"/>
      <c r="J399" s="297"/>
      <c r="K399" s="303"/>
      <c r="L399" s="297"/>
      <c r="M399" s="259"/>
    </row>
    <row r="400" spans="1:52" ht="30" customHeight="1">
      <c r="A400" s="299" t="s">
        <v>1598</v>
      </c>
      <c r="B400" s="300"/>
      <c r="C400" s="300"/>
      <c r="D400" s="300"/>
      <c r="E400" s="301"/>
      <c r="F400" s="302"/>
      <c r="G400" s="301"/>
      <c r="H400" s="302"/>
      <c r="I400" s="301"/>
      <c r="J400" s="302"/>
      <c r="K400" s="301"/>
      <c r="L400" s="302"/>
      <c r="M400" s="300"/>
      <c r="N400" s="464" t="s">
        <v>1973</v>
      </c>
    </row>
    <row r="401" spans="1:52" ht="30" customHeight="1">
      <c r="A401" s="258" t="s">
        <v>802</v>
      </c>
      <c r="B401" s="258" t="s">
        <v>803</v>
      </c>
      <c r="C401" s="258" t="s">
        <v>610</v>
      </c>
      <c r="D401" s="259">
        <v>0.28249999999999997</v>
      </c>
      <c r="E401" s="303"/>
      <c r="F401" s="297"/>
      <c r="G401" s="303"/>
      <c r="H401" s="297"/>
      <c r="I401" s="303"/>
      <c r="J401" s="297"/>
      <c r="K401" s="303"/>
      <c r="L401" s="297"/>
      <c r="M401" s="258" t="s">
        <v>382</v>
      </c>
      <c r="N401" s="255" t="s">
        <v>1973</v>
      </c>
      <c r="O401" s="255" t="s">
        <v>2269</v>
      </c>
      <c r="P401" s="255" t="s">
        <v>599</v>
      </c>
      <c r="Q401" s="255" t="s">
        <v>599</v>
      </c>
      <c r="R401" s="255" t="s">
        <v>598</v>
      </c>
      <c r="S401" s="256"/>
      <c r="T401" s="256"/>
      <c r="U401" s="256"/>
      <c r="V401" s="256"/>
      <c r="W401" s="256"/>
      <c r="X401" s="256"/>
      <c r="Y401" s="256"/>
      <c r="Z401" s="256"/>
      <c r="AA401" s="256"/>
      <c r="AB401" s="256"/>
      <c r="AC401" s="256"/>
      <c r="AD401" s="256"/>
      <c r="AE401" s="256"/>
      <c r="AF401" s="256"/>
      <c r="AG401" s="256"/>
      <c r="AH401" s="256"/>
      <c r="AI401" s="256"/>
      <c r="AJ401" s="256"/>
      <c r="AK401" s="256"/>
      <c r="AL401" s="256"/>
      <c r="AM401" s="256"/>
      <c r="AN401" s="256"/>
      <c r="AO401" s="256"/>
      <c r="AP401" s="256"/>
      <c r="AQ401" s="256"/>
      <c r="AR401" s="256"/>
      <c r="AS401" s="256"/>
      <c r="AT401" s="256"/>
      <c r="AU401" s="256"/>
      <c r="AV401" s="255" t="s">
        <v>50</v>
      </c>
      <c r="AW401" s="255" t="s">
        <v>2270</v>
      </c>
      <c r="AX401" s="255" t="s">
        <v>50</v>
      </c>
      <c r="AY401" s="255" t="s">
        <v>50</v>
      </c>
      <c r="AZ401" s="255" t="s">
        <v>50</v>
      </c>
    </row>
    <row r="402" spans="1:52" ht="30" customHeight="1">
      <c r="A402" s="258" t="s">
        <v>904</v>
      </c>
      <c r="B402" s="258" t="s">
        <v>905</v>
      </c>
      <c r="C402" s="258" t="s">
        <v>869</v>
      </c>
      <c r="D402" s="259">
        <v>2.2000000000000002</v>
      </c>
      <c r="E402" s="303"/>
      <c r="F402" s="297"/>
      <c r="G402" s="303"/>
      <c r="H402" s="297"/>
      <c r="I402" s="303"/>
      <c r="J402" s="297"/>
      <c r="K402" s="303"/>
      <c r="L402" s="297"/>
      <c r="M402" s="258" t="s">
        <v>50</v>
      </c>
      <c r="N402" s="255" t="s">
        <v>1973</v>
      </c>
      <c r="O402" s="255" t="s">
        <v>2148</v>
      </c>
      <c r="P402" s="255" t="s">
        <v>599</v>
      </c>
      <c r="Q402" s="255" t="s">
        <v>599</v>
      </c>
      <c r="R402" s="255" t="s">
        <v>598</v>
      </c>
      <c r="S402" s="256"/>
      <c r="T402" s="256"/>
      <c r="U402" s="256"/>
      <c r="V402" s="256">
        <v>1</v>
      </c>
      <c r="W402" s="256"/>
      <c r="X402" s="256"/>
      <c r="Y402" s="256"/>
      <c r="Z402" s="256"/>
      <c r="AA402" s="256"/>
      <c r="AB402" s="256"/>
      <c r="AC402" s="256"/>
      <c r="AD402" s="256"/>
      <c r="AE402" s="256"/>
      <c r="AF402" s="256"/>
      <c r="AG402" s="256"/>
      <c r="AH402" s="256"/>
      <c r="AI402" s="256"/>
      <c r="AJ402" s="256"/>
      <c r="AK402" s="256"/>
      <c r="AL402" s="256"/>
      <c r="AM402" s="256"/>
      <c r="AN402" s="256"/>
      <c r="AO402" s="256"/>
      <c r="AP402" s="256"/>
      <c r="AQ402" s="256"/>
      <c r="AR402" s="256"/>
      <c r="AS402" s="256"/>
      <c r="AT402" s="256"/>
      <c r="AU402" s="256"/>
      <c r="AV402" s="255" t="s">
        <v>50</v>
      </c>
      <c r="AW402" s="255" t="s">
        <v>2271</v>
      </c>
      <c r="AX402" s="255" t="s">
        <v>50</v>
      </c>
      <c r="AY402" s="255" t="s">
        <v>50</v>
      </c>
      <c r="AZ402" s="255" t="s">
        <v>50</v>
      </c>
    </row>
    <row r="403" spans="1:52" ht="30" customHeight="1">
      <c r="A403" s="258" t="s">
        <v>871</v>
      </c>
      <c r="B403" s="258" t="s">
        <v>920</v>
      </c>
      <c r="C403" s="258" t="s">
        <v>146</v>
      </c>
      <c r="D403" s="259">
        <v>1</v>
      </c>
      <c r="E403" s="303"/>
      <c r="F403" s="297"/>
      <c r="G403" s="303"/>
      <c r="H403" s="297"/>
      <c r="I403" s="303"/>
      <c r="J403" s="297"/>
      <c r="K403" s="303"/>
      <c r="L403" s="297"/>
      <c r="M403" s="258" t="s">
        <v>50</v>
      </c>
      <c r="N403" s="255" t="s">
        <v>1973</v>
      </c>
      <c r="O403" s="255" t="s">
        <v>1900</v>
      </c>
      <c r="P403" s="255" t="s">
        <v>599</v>
      </c>
      <c r="Q403" s="255" t="s">
        <v>599</v>
      </c>
      <c r="R403" s="255" t="s">
        <v>599</v>
      </c>
      <c r="S403" s="256">
        <v>0</v>
      </c>
      <c r="T403" s="256">
        <v>0</v>
      </c>
      <c r="U403" s="256">
        <v>0.13</v>
      </c>
      <c r="V403" s="256"/>
      <c r="W403" s="256"/>
      <c r="X403" s="256"/>
      <c r="Y403" s="256"/>
      <c r="Z403" s="256"/>
      <c r="AA403" s="256"/>
      <c r="AB403" s="256"/>
      <c r="AC403" s="256"/>
      <c r="AD403" s="256"/>
      <c r="AE403" s="256"/>
      <c r="AF403" s="256"/>
      <c r="AG403" s="256"/>
      <c r="AH403" s="256"/>
      <c r="AI403" s="256"/>
      <c r="AJ403" s="256"/>
      <c r="AK403" s="256"/>
      <c r="AL403" s="256"/>
      <c r="AM403" s="256"/>
      <c r="AN403" s="256"/>
      <c r="AO403" s="256"/>
      <c r="AP403" s="256"/>
      <c r="AQ403" s="256"/>
      <c r="AR403" s="256"/>
      <c r="AS403" s="256"/>
      <c r="AT403" s="256"/>
      <c r="AU403" s="256"/>
      <c r="AV403" s="255" t="s">
        <v>50</v>
      </c>
      <c r="AW403" s="255" t="s">
        <v>2272</v>
      </c>
      <c r="AX403" s="255" t="s">
        <v>50</v>
      </c>
      <c r="AY403" s="255" t="s">
        <v>50</v>
      </c>
      <c r="AZ403" s="255" t="s">
        <v>50</v>
      </c>
    </row>
    <row r="404" spans="1:52" ht="30" customHeight="1">
      <c r="A404" s="258" t="s">
        <v>913</v>
      </c>
      <c r="B404" s="258" t="s">
        <v>830</v>
      </c>
      <c r="C404" s="258" t="s">
        <v>831</v>
      </c>
      <c r="D404" s="259">
        <v>1</v>
      </c>
      <c r="E404" s="303"/>
      <c r="F404" s="297"/>
      <c r="G404" s="303"/>
      <c r="H404" s="297"/>
      <c r="I404" s="303"/>
      <c r="J404" s="297"/>
      <c r="K404" s="303"/>
      <c r="L404" s="297"/>
      <c r="M404" s="258" t="s">
        <v>50</v>
      </c>
      <c r="N404" s="255" t="s">
        <v>1973</v>
      </c>
      <c r="O404" s="255" t="s">
        <v>2226</v>
      </c>
      <c r="P404" s="255" t="s">
        <v>599</v>
      </c>
      <c r="Q404" s="255" t="s">
        <v>599</v>
      </c>
      <c r="R404" s="255" t="s">
        <v>598</v>
      </c>
      <c r="S404" s="256"/>
      <c r="T404" s="256"/>
      <c r="U404" s="256"/>
      <c r="V404" s="256"/>
      <c r="W404" s="256"/>
      <c r="X404" s="256"/>
      <c r="Y404" s="256"/>
      <c r="Z404" s="256"/>
      <c r="AA404" s="256"/>
      <c r="AB404" s="256"/>
      <c r="AC404" s="256"/>
      <c r="AD404" s="256"/>
      <c r="AE404" s="256"/>
      <c r="AF404" s="256"/>
      <c r="AG404" s="256"/>
      <c r="AH404" s="256"/>
      <c r="AI404" s="256"/>
      <c r="AJ404" s="256"/>
      <c r="AK404" s="256"/>
      <c r="AL404" s="256"/>
      <c r="AM404" s="256"/>
      <c r="AN404" s="256"/>
      <c r="AO404" s="256"/>
      <c r="AP404" s="256"/>
      <c r="AQ404" s="256"/>
      <c r="AR404" s="256"/>
      <c r="AS404" s="256"/>
      <c r="AT404" s="256"/>
      <c r="AU404" s="256"/>
      <c r="AV404" s="255" t="s">
        <v>50</v>
      </c>
      <c r="AW404" s="255" t="s">
        <v>2273</v>
      </c>
      <c r="AX404" s="255" t="s">
        <v>598</v>
      </c>
      <c r="AY404" s="255" t="s">
        <v>50</v>
      </c>
      <c r="AZ404" s="255" t="s">
        <v>50</v>
      </c>
    </row>
    <row r="405" spans="1:52" ht="30" customHeight="1">
      <c r="A405" s="258" t="s">
        <v>820</v>
      </c>
      <c r="B405" s="258" t="s">
        <v>50</v>
      </c>
      <c r="C405" s="258" t="s">
        <v>50</v>
      </c>
      <c r="D405" s="259"/>
      <c r="E405" s="303"/>
      <c r="F405" s="297"/>
      <c r="G405" s="303"/>
      <c r="H405" s="297"/>
      <c r="I405" s="303"/>
      <c r="J405" s="297"/>
      <c r="K405" s="303"/>
      <c r="L405" s="297"/>
      <c r="M405" s="258" t="s">
        <v>50</v>
      </c>
      <c r="N405" s="255" t="s">
        <v>617</v>
      </c>
      <c r="O405" s="255" t="s">
        <v>617</v>
      </c>
      <c r="P405" s="255" t="s">
        <v>50</v>
      </c>
      <c r="Q405" s="255" t="s">
        <v>50</v>
      </c>
      <c r="R405" s="255" t="s">
        <v>50</v>
      </c>
      <c r="S405" s="256"/>
      <c r="T405" s="256"/>
      <c r="U405" s="256"/>
      <c r="V405" s="256"/>
      <c r="W405" s="256"/>
      <c r="X405" s="256"/>
      <c r="Y405" s="256"/>
      <c r="Z405" s="256"/>
      <c r="AA405" s="256"/>
      <c r="AB405" s="256"/>
      <c r="AC405" s="256"/>
      <c r="AD405" s="256"/>
      <c r="AE405" s="256"/>
      <c r="AF405" s="256"/>
      <c r="AG405" s="256"/>
      <c r="AH405" s="256"/>
      <c r="AI405" s="256"/>
      <c r="AJ405" s="256"/>
      <c r="AK405" s="256"/>
      <c r="AL405" s="256"/>
      <c r="AM405" s="256"/>
      <c r="AN405" s="256"/>
      <c r="AO405" s="256"/>
      <c r="AP405" s="256"/>
      <c r="AQ405" s="256"/>
      <c r="AR405" s="256"/>
      <c r="AS405" s="256"/>
      <c r="AT405" s="256"/>
      <c r="AU405" s="256"/>
      <c r="AV405" s="255" t="s">
        <v>50</v>
      </c>
      <c r="AW405" s="255" t="s">
        <v>50</v>
      </c>
      <c r="AX405" s="255" t="s">
        <v>50</v>
      </c>
      <c r="AY405" s="255" t="s">
        <v>50</v>
      </c>
      <c r="AZ405" s="255" t="s">
        <v>50</v>
      </c>
    </row>
    <row r="406" spans="1:52" ht="30" customHeight="1">
      <c r="A406" s="259"/>
      <c r="B406" s="259"/>
      <c r="C406" s="259"/>
      <c r="D406" s="259"/>
      <c r="E406" s="303"/>
      <c r="F406" s="297"/>
      <c r="G406" s="303"/>
      <c r="H406" s="297"/>
      <c r="I406" s="303"/>
      <c r="J406" s="297"/>
      <c r="K406" s="303"/>
      <c r="L406" s="297"/>
      <c r="M406" s="259"/>
    </row>
    <row r="407" spans="1:52" ht="30" customHeight="1">
      <c r="A407" s="299" t="s">
        <v>1599</v>
      </c>
      <c r="B407" s="300"/>
      <c r="C407" s="300"/>
      <c r="D407" s="300"/>
      <c r="E407" s="301"/>
      <c r="F407" s="302"/>
      <c r="G407" s="301"/>
      <c r="H407" s="302"/>
      <c r="I407" s="301"/>
      <c r="J407" s="302"/>
      <c r="K407" s="301"/>
      <c r="L407" s="302"/>
      <c r="M407" s="300"/>
      <c r="N407" s="464" t="s">
        <v>1974</v>
      </c>
    </row>
    <row r="408" spans="1:52" ht="30" customHeight="1">
      <c r="A408" s="258" t="s">
        <v>790</v>
      </c>
      <c r="B408" s="258" t="s">
        <v>804</v>
      </c>
      <c r="C408" s="258" t="s">
        <v>610</v>
      </c>
      <c r="D408" s="259">
        <v>0.16309999999999999</v>
      </c>
      <c r="E408" s="303"/>
      <c r="F408" s="297"/>
      <c r="G408" s="303"/>
      <c r="H408" s="297"/>
      <c r="I408" s="303"/>
      <c r="J408" s="297"/>
      <c r="K408" s="303"/>
      <c r="L408" s="297"/>
      <c r="M408" s="258" t="s">
        <v>382</v>
      </c>
      <c r="N408" s="255" t="s">
        <v>1974</v>
      </c>
      <c r="O408" s="255" t="s">
        <v>2274</v>
      </c>
      <c r="P408" s="255" t="s">
        <v>599</v>
      </c>
      <c r="Q408" s="255" t="s">
        <v>599</v>
      </c>
      <c r="R408" s="255" t="s">
        <v>598</v>
      </c>
      <c r="S408" s="256"/>
      <c r="T408" s="256"/>
      <c r="U408" s="256"/>
      <c r="V408" s="256"/>
      <c r="W408" s="256"/>
      <c r="X408" s="256"/>
      <c r="Y408" s="256"/>
      <c r="Z408" s="256"/>
      <c r="AA408" s="256"/>
      <c r="AB408" s="256"/>
      <c r="AC408" s="256"/>
      <c r="AD408" s="256"/>
      <c r="AE408" s="256"/>
      <c r="AF408" s="256"/>
      <c r="AG408" s="256"/>
      <c r="AH408" s="256"/>
      <c r="AI408" s="256"/>
      <c r="AJ408" s="256"/>
      <c r="AK408" s="256"/>
      <c r="AL408" s="256"/>
      <c r="AM408" s="256"/>
      <c r="AN408" s="256"/>
      <c r="AO408" s="256"/>
      <c r="AP408" s="256"/>
      <c r="AQ408" s="256"/>
      <c r="AR408" s="256"/>
      <c r="AS408" s="256"/>
      <c r="AT408" s="256"/>
      <c r="AU408" s="256"/>
      <c r="AV408" s="255" t="s">
        <v>50</v>
      </c>
      <c r="AW408" s="255" t="s">
        <v>2275</v>
      </c>
      <c r="AX408" s="255" t="s">
        <v>50</v>
      </c>
      <c r="AY408" s="255" t="s">
        <v>50</v>
      </c>
      <c r="AZ408" s="255" t="s">
        <v>50</v>
      </c>
    </row>
    <row r="409" spans="1:52" ht="30" customHeight="1">
      <c r="A409" s="258" t="s">
        <v>904</v>
      </c>
      <c r="B409" s="258" t="s">
        <v>905</v>
      </c>
      <c r="C409" s="258" t="s">
        <v>869</v>
      </c>
      <c r="D409" s="259">
        <v>9.6</v>
      </c>
      <c r="E409" s="303"/>
      <c r="F409" s="297"/>
      <c r="G409" s="303"/>
      <c r="H409" s="297"/>
      <c r="I409" s="303"/>
      <c r="J409" s="297"/>
      <c r="K409" s="303"/>
      <c r="L409" s="297"/>
      <c r="M409" s="258" t="s">
        <v>50</v>
      </c>
      <c r="N409" s="255" t="s">
        <v>1974</v>
      </c>
      <c r="O409" s="255" t="s">
        <v>2148</v>
      </c>
      <c r="P409" s="255" t="s">
        <v>599</v>
      </c>
      <c r="Q409" s="255" t="s">
        <v>599</v>
      </c>
      <c r="R409" s="255" t="s">
        <v>598</v>
      </c>
      <c r="S409" s="256"/>
      <c r="T409" s="256"/>
      <c r="U409" s="256"/>
      <c r="V409" s="256">
        <v>1</v>
      </c>
      <c r="W409" s="256"/>
      <c r="X409" s="256"/>
      <c r="Y409" s="256"/>
      <c r="Z409" s="256"/>
      <c r="AA409" s="256"/>
      <c r="AB409" s="256"/>
      <c r="AC409" s="256"/>
      <c r="AD409" s="256"/>
      <c r="AE409" s="256"/>
      <c r="AF409" s="256"/>
      <c r="AG409" s="256"/>
      <c r="AH409" s="256"/>
      <c r="AI409" s="256"/>
      <c r="AJ409" s="256"/>
      <c r="AK409" s="256"/>
      <c r="AL409" s="256"/>
      <c r="AM409" s="256"/>
      <c r="AN409" s="256"/>
      <c r="AO409" s="256"/>
      <c r="AP409" s="256"/>
      <c r="AQ409" s="256"/>
      <c r="AR409" s="256"/>
      <c r="AS409" s="256"/>
      <c r="AT409" s="256"/>
      <c r="AU409" s="256"/>
      <c r="AV409" s="255" t="s">
        <v>50</v>
      </c>
      <c r="AW409" s="255" t="s">
        <v>2276</v>
      </c>
      <c r="AX409" s="255" t="s">
        <v>50</v>
      </c>
      <c r="AY409" s="255" t="s">
        <v>50</v>
      </c>
      <c r="AZ409" s="255" t="s">
        <v>50</v>
      </c>
    </row>
    <row r="410" spans="1:52" ht="30" customHeight="1">
      <c r="A410" s="258" t="s">
        <v>871</v>
      </c>
      <c r="B410" s="258" t="s">
        <v>916</v>
      </c>
      <c r="C410" s="258" t="s">
        <v>146</v>
      </c>
      <c r="D410" s="259">
        <v>1</v>
      </c>
      <c r="E410" s="303"/>
      <c r="F410" s="297"/>
      <c r="G410" s="303"/>
      <c r="H410" s="297"/>
      <c r="I410" s="303"/>
      <c r="J410" s="297"/>
      <c r="K410" s="303"/>
      <c r="L410" s="297"/>
      <c r="M410" s="258" t="s">
        <v>50</v>
      </c>
      <c r="N410" s="255" t="s">
        <v>1974</v>
      </c>
      <c r="O410" s="255" t="s">
        <v>1900</v>
      </c>
      <c r="P410" s="255" t="s">
        <v>599</v>
      </c>
      <c r="Q410" s="255" t="s">
        <v>599</v>
      </c>
      <c r="R410" s="255" t="s">
        <v>599</v>
      </c>
      <c r="S410" s="256">
        <v>0</v>
      </c>
      <c r="T410" s="256">
        <v>0</v>
      </c>
      <c r="U410" s="256">
        <v>0.2</v>
      </c>
      <c r="V410" s="256"/>
      <c r="W410" s="256"/>
      <c r="X410" s="256"/>
      <c r="Y410" s="256"/>
      <c r="Z410" s="256"/>
      <c r="AA410" s="256"/>
      <c r="AB410" s="256"/>
      <c r="AC410" s="256"/>
      <c r="AD410" s="256"/>
      <c r="AE410" s="256"/>
      <c r="AF410" s="256"/>
      <c r="AG410" s="256"/>
      <c r="AH410" s="256"/>
      <c r="AI410" s="256"/>
      <c r="AJ410" s="256"/>
      <c r="AK410" s="256"/>
      <c r="AL410" s="256"/>
      <c r="AM410" s="256"/>
      <c r="AN410" s="256"/>
      <c r="AO410" s="256"/>
      <c r="AP410" s="256"/>
      <c r="AQ410" s="256"/>
      <c r="AR410" s="256"/>
      <c r="AS410" s="256"/>
      <c r="AT410" s="256"/>
      <c r="AU410" s="256"/>
      <c r="AV410" s="255" t="s">
        <v>50</v>
      </c>
      <c r="AW410" s="255" t="s">
        <v>2277</v>
      </c>
      <c r="AX410" s="255" t="s">
        <v>50</v>
      </c>
      <c r="AY410" s="255" t="s">
        <v>50</v>
      </c>
      <c r="AZ410" s="255" t="s">
        <v>50</v>
      </c>
    </row>
    <row r="411" spans="1:52" ht="30" customHeight="1">
      <c r="A411" s="258" t="s">
        <v>907</v>
      </c>
      <c r="B411" s="258" t="s">
        <v>830</v>
      </c>
      <c r="C411" s="258" t="s">
        <v>831</v>
      </c>
      <c r="D411" s="259">
        <v>1</v>
      </c>
      <c r="E411" s="303"/>
      <c r="F411" s="297"/>
      <c r="G411" s="303"/>
      <c r="H411" s="297"/>
      <c r="I411" s="303"/>
      <c r="J411" s="297"/>
      <c r="K411" s="303"/>
      <c r="L411" s="297"/>
      <c r="M411" s="258" t="s">
        <v>50</v>
      </c>
      <c r="N411" s="255" t="s">
        <v>1974</v>
      </c>
      <c r="O411" s="255" t="s">
        <v>2151</v>
      </c>
      <c r="P411" s="255" t="s">
        <v>599</v>
      </c>
      <c r="Q411" s="255" t="s">
        <v>599</v>
      </c>
      <c r="R411" s="255" t="s">
        <v>598</v>
      </c>
      <c r="S411" s="256"/>
      <c r="T411" s="256"/>
      <c r="U411" s="256"/>
      <c r="V411" s="256"/>
      <c r="W411" s="256"/>
      <c r="X411" s="256"/>
      <c r="Y411" s="256"/>
      <c r="Z411" s="256"/>
      <c r="AA411" s="256"/>
      <c r="AB411" s="256"/>
      <c r="AC411" s="256"/>
      <c r="AD411" s="256"/>
      <c r="AE411" s="256"/>
      <c r="AF411" s="256"/>
      <c r="AG411" s="256"/>
      <c r="AH411" s="256"/>
      <c r="AI411" s="256"/>
      <c r="AJ411" s="256"/>
      <c r="AK411" s="256"/>
      <c r="AL411" s="256"/>
      <c r="AM411" s="256"/>
      <c r="AN411" s="256"/>
      <c r="AO411" s="256"/>
      <c r="AP411" s="256"/>
      <c r="AQ411" s="256"/>
      <c r="AR411" s="256"/>
      <c r="AS411" s="256"/>
      <c r="AT411" s="256"/>
      <c r="AU411" s="256"/>
      <c r="AV411" s="255" t="s">
        <v>50</v>
      </c>
      <c r="AW411" s="255" t="s">
        <v>2278</v>
      </c>
      <c r="AX411" s="255" t="s">
        <v>598</v>
      </c>
      <c r="AY411" s="255" t="s">
        <v>50</v>
      </c>
      <c r="AZ411" s="255" t="s">
        <v>50</v>
      </c>
    </row>
    <row r="412" spans="1:52" ht="30" customHeight="1">
      <c r="A412" s="258" t="s">
        <v>820</v>
      </c>
      <c r="B412" s="258" t="s">
        <v>50</v>
      </c>
      <c r="C412" s="258" t="s">
        <v>50</v>
      </c>
      <c r="D412" s="259"/>
      <c r="E412" s="303"/>
      <c r="F412" s="297"/>
      <c r="G412" s="303"/>
      <c r="H412" s="297"/>
      <c r="I412" s="303"/>
      <c r="J412" s="297"/>
      <c r="K412" s="303"/>
      <c r="L412" s="297"/>
      <c r="M412" s="258" t="s">
        <v>50</v>
      </c>
      <c r="N412" s="255" t="s">
        <v>617</v>
      </c>
      <c r="O412" s="255" t="s">
        <v>617</v>
      </c>
      <c r="P412" s="255" t="s">
        <v>50</v>
      </c>
      <c r="Q412" s="255" t="s">
        <v>50</v>
      </c>
      <c r="R412" s="255" t="s">
        <v>50</v>
      </c>
      <c r="S412" s="256"/>
      <c r="T412" s="256"/>
      <c r="U412" s="256"/>
      <c r="V412" s="256"/>
      <c r="W412" s="256"/>
      <c r="X412" s="256"/>
      <c r="Y412" s="256"/>
      <c r="Z412" s="256"/>
      <c r="AA412" s="256"/>
      <c r="AB412" s="256"/>
      <c r="AC412" s="256"/>
      <c r="AD412" s="256"/>
      <c r="AE412" s="256"/>
      <c r="AF412" s="256"/>
      <c r="AG412" s="256"/>
      <c r="AH412" s="256"/>
      <c r="AI412" s="256"/>
      <c r="AJ412" s="256"/>
      <c r="AK412" s="256"/>
      <c r="AL412" s="256"/>
      <c r="AM412" s="256"/>
      <c r="AN412" s="256"/>
      <c r="AO412" s="256"/>
      <c r="AP412" s="256"/>
      <c r="AQ412" s="256"/>
      <c r="AR412" s="256"/>
      <c r="AS412" s="256"/>
      <c r="AT412" s="256"/>
      <c r="AU412" s="256"/>
      <c r="AV412" s="255" t="s">
        <v>50</v>
      </c>
      <c r="AW412" s="255" t="s">
        <v>50</v>
      </c>
      <c r="AX412" s="255" t="s">
        <v>50</v>
      </c>
      <c r="AY412" s="255" t="s">
        <v>50</v>
      </c>
      <c r="AZ412" s="255" t="s">
        <v>50</v>
      </c>
    </row>
    <row r="413" spans="1:52" ht="30" customHeight="1">
      <c r="A413" s="259"/>
      <c r="B413" s="259"/>
      <c r="C413" s="259"/>
      <c r="D413" s="259"/>
      <c r="E413" s="303"/>
      <c r="F413" s="297"/>
      <c r="G413" s="303"/>
      <c r="H413" s="297"/>
      <c r="I413" s="303"/>
      <c r="J413" s="297"/>
      <c r="K413" s="303"/>
      <c r="L413" s="297"/>
      <c r="M413" s="259"/>
    </row>
    <row r="414" spans="1:52" ht="30" customHeight="1">
      <c r="A414" s="299" t="s">
        <v>1600</v>
      </c>
      <c r="B414" s="300"/>
      <c r="C414" s="300"/>
      <c r="D414" s="300"/>
      <c r="E414" s="301"/>
      <c r="F414" s="302"/>
      <c r="G414" s="301"/>
      <c r="H414" s="302"/>
      <c r="I414" s="301"/>
      <c r="J414" s="302"/>
      <c r="K414" s="301"/>
      <c r="L414" s="302"/>
      <c r="M414" s="300"/>
      <c r="N414" s="464" t="s">
        <v>1975</v>
      </c>
    </row>
    <row r="415" spans="1:52" ht="30" customHeight="1">
      <c r="A415" s="258" t="s">
        <v>806</v>
      </c>
      <c r="B415" s="258" t="s">
        <v>767</v>
      </c>
      <c r="C415" s="258" t="s">
        <v>610</v>
      </c>
      <c r="D415" s="259">
        <v>0.25979999999999998</v>
      </c>
      <c r="E415" s="303"/>
      <c r="F415" s="297"/>
      <c r="G415" s="303"/>
      <c r="H415" s="297"/>
      <c r="I415" s="303"/>
      <c r="J415" s="297"/>
      <c r="K415" s="303"/>
      <c r="L415" s="297"/>
      <c r="M415" s="258" t="s">
        <v>382</v>
      </c>
      <c r="N415" s="255" t="s">
        <v>1975</v>
      </c>
      <c r="O415" s="255" t="s">
        <v>2279</v>
      </c>
      <c r="P415" s="255" t="s">
        <v>599</v>
      </c>
      <c r="Q415" s="255" t="s">
        <v>599</v>
      </c>
      <c r="R415" s="255" t="s">
        <v>598</v>
      </c>
      <c r="S415" s="256"/>
      <c r="T415" s="256"/>
      <c r="U415" s="256"/>
      <c r="V415" s="256"/>
      <c r="W415" s="256"/>
      <c r="X415" s="256"/>
      <c r="Y415" s="256"/>
      <c r="Z415" s="256"/>
      <c r="AA415" s="256"/>
      <c r="AB415" s="256"/>
      <c r="AC415" s="256"/>
      <c r="AD415" s="256"/>
      <c r="AE415" s="256"/>
      <c r="AF415" s="256"/>
      <c r="AG415" s="256"/>
      <c r="AH415" s="256"/>
      <c r="AI415" s="256"/>
      <c r="AJ415" s="256"/>
      <c r="AK415" s="256"/>
      <c r="AL415" s="256"/>
      <c r="AM415" s="256"/>
      <c r="AN415" s="256"/>
      <c r="AO415" s="256"/>
      <c r="AP415" s="256"/>
      <c r="AQ415" s="256"/>
      <c r="AR415" s="256"/>
      <c r="AS415" s="256"/>
      <c r="AT415" s="256"/>
      <c r="AU415" s="256"/>
      <c r="AV415" s="255" t="s">
        <v>50</v>
      </c>
      <c r="AW415" s="255" t="s">
        <v>2280</v>
      </c>
      <c r="AX415" s="255" t="s">
        <v>50</v>
      </c>
      <c r="AY415" s="255" t="s">
        <v>50</v>
      </c>
      <c r="AZ415" s="255" t="s">
        <v>50</v>
      </c>
    </row>
    <row r="416" spans="1:52" ht="30" customHeight="1">
      <c r="A416" s="258" t="s">
        <v>904</v>
      </c>
      <c r="B416" s="258" t="s">
        <v>905</v>
      </c>
      <c r="C416" s="258" t="s">
        <v>869</v>
      </c>
      <c r="D416" s="259">
        <v>10.3</v>
      </c>
      <c r="E416" s="303"/>
      <c r="F416" s="297"/>
      <c r="G416" s="303"/>
      <c r="H416" s="297"/>
      <c r="I416" s="303"/>
      <c r="J416" s="297"/>
      <c r="K416" s="303"/>
      <c r="L416" s="297"/>
      <c r="M416" s="258" t="s">
        <v>50</v>
      </c>
      <c r="N416" s="255" t="s">
        <v>1975</v>
      </c>
      <c r="O416" s="255" t="s">
        <v>2148</v>
      </c>
      <c r="P416" s="255" t="s">
        <v>599</v>
      </c>
      <c r="Q416" s="255" t="s">
        <v>599</v>
      </c>
      <c r="R416" s="255" t="s">
        <v>598</v>
      </c>
      <c r="S416" s="256"/>
      <c r="T416" s="256"/>
      <c r="U416" s="256"/>
      <c r="V416" s="256">
        <v>1</v>
      </c>
      <c r="W416" s="256"/>
      <c r="X416" s="256"/>
      <c r="Y416" s="256"/>
      <c r="Z416" s="256"/>
      <c r="AA416" s="256"/>
      <c r="AB416" s="256"/>
      <c r="AC416" s="256"/>
      <c r="AD416" s="256"/>
      <c r="AE416" s="256"/>
      <c r="AF416" s="256"/>
      <c r="AG416" s="256"/>
      <c r="AH416" s="256"/>
      <c r="AI416" s="256"/>
      <c r="AJ416" s="256"/>
      <c r="AK416" s="256"/>
      <c r="AL416" s="256"/>
      <c r="AM416" s="256"/>
      <c r="AN416" s="256"/>
      <c r="AO416" s="256"/>
      <c r="AP416" s="256"/>
      <c r="AQ416" s="256"/>
      <c r="AR416" s="256"/>
      <c r="AS416" s="256"/>
      <c r="AT416" s="256"/>
      <c r="AU416" s="256"/>
      <c r="AV416" s="255" t="s">
        <v>50</v>
      </c>
      <c r="AW416" s="255" t="s">
        <v>2281</v>
      </c>
      <c r="AX416" s="255" t="s">
        <v>50</v>
      </c>
      <c r="AY416" s="255" t="s">
        <v>50</v>
      </c>
      <c r="AZ416" s="255" t="s">
        <v>50</v>
      </c>
    </row>
    <row r="417" spans="1:52" ht="30" customHeight="1">
      <c r="A417" s="258" t="s">
        <v>871</v>
      </c>
      <c r="B417" s="258" t="s">
        <v>916</v>
      </c>
      <c r="C417" s="258" t="s">
        <v>146</v>
      </c>
      <c r="D417" s="259">
        <v>1</v>
      </c>
      <c r="E417" s="303"/>
      <c r="F417" s="297"/>
      <c r="G417" s="303"/>
      <c r="H417" s="297"/>
      <c r="I417" s="303"/>
      <c r="J417" s="297"/>
      <c r="K417" s="303"/>
      <c r="L417" s="297"/>
      <c r="M417" s="258" t="s">
        <v>50</v>
      </c>
      <c r="N417" s="255" t="s">
        <v>1975</v>
      </c>
      <c r="O417" s="255" t="s">
        <v>1900</v>
      </c>
      <c r="P417" s="255" t="s">
        <v>599</v>
      </c>
      <c r="Q417" s="255" t="s">
        <v>599</v>
      </c>
      <c r="R417" s="255" t="s">
        <v>599</v>
      </c>
      <c r="S417" s="256">
        <v>0</v>
      </c>
      <c r="T417" s="256">
        <v>0</v>
      </c>
      <c r="U417" s="256">
        <v>0.2</v>
      </c>
      <c r="V417" s="256"/>
      <c r="W417" s="256"/>
      <c r="X417" s="256"/>
      <c r="Y417" s="256"/>
      <c r="Z417" s="256"/>
      <c r="AA417" s="256"/>
      <c r="AB417" s="256"/>
      <c r="AC417" s="256"/>
      <c r="AD417" s="256"/>
      <c r="AE417" s="256"/>
      <c r="AF417" s="256"/>
      <c r="AG417" s="256"/>
      <c r="AH417" s="256"/>
      <c r="AI417" s="256"/>
      <c r="AJ417" s="256"/>
      <c r="AK417" s="256"/>
      <c r="AL417" s="256"/>
      <c r="AM417" s="256"/>
      <c r="AN417" s="256"/>
      <c r="AO417" s="256"/>
      <c r="AP417" s="256"/>
      <c r="AQ417" s="256"/>
      <c r="AR417" s="256"/>
      <c r="AS417" s="256"/>
      <c r="AT417" s="256"/>
      <c r="AU417" s="256"/>
      <c r="AV417" s="255" t="s">
        <v>50</v>
      </c>
      <c r="AW417" s="255" t="s">
        <v>2282</v>
      </c>
      <c r="AX417" s="255" t="s">
        <v>50</v>
      </c>
      <c r="AY417" s="255" t="s">
        <v>50</v>
      </c>
      <c r="AZ417" s="255" t="s">
        <v>50</v>
      </c>
    </row>
    <row r="418" spans="1:52" ht="30" customHeight="1">
      <c r="A418" s="258" t="s">
        <v>919</v>
      </c>
      <c r="B418" s="258" t="s">
        <v>830</v>
      </c>
      <c r="C418" s="258" t="s">
        <v>831</v>
      </c>
      <c r="D418" s="259">
        <v>1</v>
      </c>
      <c r="E418" s="303"/>
      <c r="F418" s="297"/>
      <c r="G418" s="303"/>
      <c r="H418" s="297"/>
      <c r="I418" s="303"/>
      <c r="J418" s="297"/>
      <c r="K418" s="303"/>
      <c r="L418" s="297"/>
      <c r="M418" s="258" t="s">
        <v>50</v>
      </c>
      <c r="N418" s="255" t="s">
        <v>1975</v>
      </c>
      <c r="O418" s="255" t="s">
        <v>2267</v>
      </c>
      <c r="P418" s="255" t="s">
        <v>599</v>
      </c>
      <c r="Q418" s="255" t="s">
        <v>599</v>
      </c>
      <c r="R418" s="255" t="s">
        <v>598</v>
      </c>
      <c r="S418" s="256"/>
      <c r="T418" s="256"/>
      <c r="U418" s="256"/>
      <c r="V418" s="256"/>
      <c r="W418" s="256"/>
      <c r="X418" s="256"/>
      <c r="Y418" s="256"/>
      <c r="Z418" s="256"/>
      <c r="AA418" s="256"/>
      <c r="AB418" s="256"/>
      <c r="AC418" s="256"/>
      <c r="AD418" s="256"/>
      <c r="AE418" s="256"/>
      <c r="AF418" s="256"/>
      <c r="AG418" s="256"/>
      <c r="AH418" s="256"/>
      <c r="AI418" s="256"/>
      <c r="AJ418" s="256"/>
      <c r="AK418" s="256"/>
      <c r="AL418" s="256"/>
      <c r="AM418" s="256"/>
      <c r="AN418" s="256"/>
      <c r="AO418" s="256"/>
      <c r="AP418" s="256"/>
      <c r="AQ418" s="256"/>
      <c r="AR418" s="256"/>
      <c r="AS418" s="256"/>
      <c r="AT418" s="256"/>
      <c r="AU418" s="256"/>
      <c r="AV418" s="255" t="s">
        <v>50</v>
      </c>
      <c r="AW418" s="255" t="s">
        <v>2283</v>
      </c>
      <c r="AX418" s="255" t="s">
        <v>598</v>
      </c>
      <c r="AY418" s="255" t="s">
        <v>50</v>
      </c>
      <c r="AZ418" s="255" t="s">
        <v>50</v>
      </c>
    </row>
    <row r="419" spans="1:52" ht="30" customHeight="1">
      <c r="A419" s="258" t="s">
        <v>820</v>
      </c>
      <c r="B419" s="258" t="s">
        <v>50</v>
      </c>
      <c r="C419" s="258" t="s">
        <v>50</v>
      </c>
      <c r="D419" s="259"/>
      <c r="E419" s="303"/>
      <c r="F419" s="297"/>
      <c r="G419" s="303"/>
      <c r="H419" s="297"/>
      <c r="I419" s="303"/>
      <c r="J419" s="297"/>
      <c r="K419" s="303"/>
      <c r="L419" s="297"/>
      <c r="M419" s="258" t="s">
        <v>50</v>
      </c>
      <c r="N419" s="255" t="s">
        <v>617</v>
      </c>
      <c r="O419" s="255" t="s">
        <v>617</v>
      </c>
      <c r="P419" s="255" t="s">
        <v>50</v>
      </c>
      <c r="Q419" s="255" t="s">
        <v>50</v>
      </c>
      <c r="R419" s="255" t="s">
        <v>50</v>
      </c>
      <c r="S419" s="256"/>
      <c r="T419" s="256"/>
      <c r="U419" s="256"/>
      <c r="V419" s="256"/>
      <c r="W419" s="256"/>
      <c r="X419" s="256"/>
      <c r="Y419" s="256"/>
      <c r="Z419" s="256"/>
      <c r="AA419" s="256"/>
      <c r="AB419" s="256"/>
      <c r="AC419" s="256"/>
      <c r="AD419" s="256"/>
      <c r="AE419" s="256"/>
      <c r="AF419" s="256"/>
      <c r="AG419" s="256"/>
      <c r="AH419" s="256"/>
      <c r="AI419" s="256"/>
      <c r="AJ419" s="256"/>
      <c r="AK419" s="256"/>
      <c r="AL419" s="256"/>
      <c r="AM419" s="256"/>
      <c r="AN419" s="256"/>
      <c r="AO419" s="256"/>
      <c r="AP419" s="256"/>
      <c r="AQ419" s="256"/>
      <c r="AR419" s="256"/>
      <c r="AS419" s="256"/>
      <c r="AT419" s="256"/>
      <c r="AU419" s="256"/>
      <c r="AV419" s="255" t="s">
        <v>50</v>
      </c>
      <c r="AW419" s="255" t="s">
        <v>50</v>
      </c>
      <c r="AX419" s="255" t="s">
        <v>50</v>
      </c>
      <c r="AY419" s="255" t="s">
        <v>50</v>
      </c>
      <c r="AZ419" s="255" t="s">
        <v>50</v>
      </c>
    </row>
    <row r="420" spans="1:52" ht="30" customHeight="1">
      <c r="A420" s="259"/>
      <c r="B420" s="259"/>
      <c r="C420" s="259"/>
      <c r="D420" s="259"/>
      <c r="E420" s="303"/>
      <c r="F420" s="297"/>
      <c r="G420" s="303"/>
      <c r="H420" s="297"/>
      <c r="I420" s="303"/>
      <c r="J420" s="297"/>
      <c r="K420" s="303"/>
      <c r="L420" s="297"/>
      <c r="M420" s="259"/>
    </row>
    <row r="421" spans="1:52" ht="30" customHeight="1">
      <c r="A421" s="299" t="s">
        <v>1601</v>
      </c>
      <c r="B421" s="300"/>
      <c r="C421" s="300"/>
      <c r="D421" s="300"/>
      <c r="E421" s="301"/>
      <c r="F421" s="302"/>
      <c r="G421" s="301"/>
      <c r="H421" s="302"/>
      <c r="I421" s="301"/>
      <c r="J421" s="302"/>
      <c r="K421" s="301"/>
      <c r="L421" s="302"/>
      <c r="M421" s="300"/>
      <c r="N421" s="464" t="s">
        <v>1976</v>
      </c>
    </row>
    <row r="422" spans="1:52" ht="30" customHeight="1">
      <c r="A422" s="258" t="s">
        <v>807</v>
      </c>
      <c r="B422" s="258" t="s">
        <v>808</v>
      </c>
      <c r="C422" s="258" t="s">
        <v>610</v>
      </c>
      <c r="D422" s="259">
        <v>0.2576</v>
      </c>
      <c r="E422" s="303"/>
      <c r="F422" s="297"/>
      <c r="G422" s="303"/>
      <c r="H422" s="297"/>
      <c r="I422" s="303"/>
      <c r="J422" s="297"/>
      <c r="K422" s="303"/>
      <c r="L422" s="297"/>
      <c r="M422" s="258" t="s">
        <v>382</v>
      </c>
      <c r="N422" s="255" t="s">
        <v>1976</v>
      </c>
      <c r="O422" s="255" t="s">
        <v>2284</v>
      </c>
      <c r="P422" s="255" t="s">
        <v>599</v>
      </c>
      <c r="Q422" s="255" t="s">
        <v>599</v>
      </c>
      <c r="R422" s="255" t="s">
        <v>598</v>
      </c>
      <c r="S422" s="256"/>
      <c r="T422" s="256"/>
      <c r="U422" s="256"/>
      <c r="V422" s="256"/>
      <c r="W422" s="256"/>
      <c r="X422" s="256"/>
      <c r="Y422" s="256"/>
      <c r="Z422" s="256"/>
      <c r="AA422" s="256"/>
      <c r="AB422" s="256"/>
      <c r="AC422" s="256"/>
      <c r="AD422" s="256"/>
      <c r="AE422" s="256"/>
      <c r="AF422" s="256"/>
      <c r="AG422" s="256"/>
      <c r="AH422" s="256"/>
      <c r="AI422" s="256"/>
      <c r="AJ422" s="256"/>
      <c r="AK422" s="256"/>
      <c r="AL422" s="256"/>
      <c r="AM422" s="256"/>
      <c r="AN422" s="256"/>
      <c r="AO422" s="256"/>
      <c r="AP422" s="256"/>
      <c r="AQ422" s="256"/>
      <c r="AR422" s="256"/>
      <c r="AS422" s="256"/>
      <c r="AT422" s="256"/>
      <c r="AU422" s="256"/>
      <c r="AV422" s="255" t="s">
        <v>50</v>
      </c>
      <c r="AW422" s="255" t="s">
        <v>2285</v>
      </c>
      <c r="AX422" s="255" t="s">
        <v>50</v>
      </c>
      <c r="AY422" s="255" t="s">
        <v>50</v>
      </c>
      <c r="AZ422" s="255" t="s">
        <v>50</v>
      </c>
    </row>
    <row r="423" spans="1:52" ht="30" customHeight="1">
      <c r="A423" s="258" t="s">
        <v>904</v>
      </c>
      <c r="B423" s="258" t="s">
        <v>905</v>
      </c>
      <c r="C423" s="258" t="s">
        <v>869</v>
      </c>
      <c r="D423" s="259">
        <v>16.5</v>
      </c>
      <c r="E423" s="303"/>
      <c r="F423" s="297"/>
      <c r="G423" s="303"/>
      <c r="H423" s="297"/>
      <c r="I423" s="303"/>
      <c r="J423" s="297"/>
      <c r="K423" s="303"/>
      <c r="L423" s="297"/>
      <c r="M423" s="258" t="s">
        <v>50</v>
      </c>
      <c r="N423" s="255" t="s">
        <v>1976</v>
      </c>
      <c r="O423" s="255" t="s">
        <v>2148</v>
      </c>
      <c r="P423" s="255" t="s">
        <v>599</v>
      </c>
      <c r="Q423" s="255" t="s">
        <v>599</v>
      </c>
      <c r="R423" s="255" t="s">
        <v>598</v>
      </c>
      <c r="S423" s="256"/>
      <c r="T423" s="256"/>
      <c r="U423" s="256"/>
      <c r="V423" s="256">
        <v>1</v>
      </c>
      <c r="W423" s="256"/>
      <c r="X423" s="256"/>
      <c r="Y423" s="256"/>
      <c r="Z423" s="256"/>
      <c r="AA423" s="256"/>
      <c r="AB423" s="256"/>
      <c r="AC423" s="256"/>
      <c r="AD423" s="256"/>
      <c r="AE423" s="256"/>
      <c r="AF423" s="256"/>
      <c r="AG423" s="256"/>
      <c r="AH423" s="256"/>
      <c r="AI423" s="256"/>
      <c r="AJ423" s="256"/>
      <c r="AK423" s="256"/>
      <c r="AL423" s="256"/>
      <c r="AM423" s="256"/>
      <c r="AN423" s="256"/>
      <c r="AO423" s="256"/>
      <c r="AP423" s="256"/>
      <c r="AQ423" s="256"/>
      <c r="AR423" s="256"/>
      <c r="AS423" s="256"/>
      <c r="AT423" s="256"/>
      <c r="AU423" s="256"/>
      <c r="AV423" s="255" t="s">
        <v>50</v>
      </c>
      <c r="AW423" s="255" t="s">
        <v>2286</v>
      </c>
      <c r="AX423" s="255" t="s">
        <v>50</v>
      </c>
      <c r="AY423" s="255" t="s">
        <v>50</v>
      </c>
      <c r="AZ423" s="255" t="s">
        <v>50</v>
      </c>
    </row>
    <row r="424" spans="1:52" ht="30" customHeight="1">
      <c r="A424" s="258" t="s">
        <v>871</v>
      </c>
      <c r="B424" s="258" t="s">
        <v>908</v>
      </c>
      <c r="C424" s="258" t="s">
        <v>146</v>
      </c>
      <c r="D424" s="259">
        <v>1</v>
      </c>
      <c r="E424" s="303"/>
      <c r="F424" s="297"/>
      <c r="G424" s="303"/>
      <c r="H424" s="297"/>
      <c r="I424" s="303"/>
      <c r="J424" s="297"/>
      <c r="K424" s="303"/>
      <c r="L424" s="297"/>
      <c r="M424" s="258" t="s">
        <v>50</v>
      </c>
      <c r="N424" s="255" t="s">
        <v>1976</v>
      </c>
      <c r="O424" s="255" t="s">
        <v>1900</v>
      </c>
      <c r="P424" s="255" t="s">
        <v>599</v>
      </c>
      <c r="Q424" s="255" t="s">
        <v>599</v>
      </c>
      <c r="R424" s="255" t="s">
        <v>599</v>
      </c>
      <c r="S424" s="256">
        <v>0</v>
      </c>
      <c r="T424" s="256">
        <v>0</v>
      </c>
      <c r="U424" s="256">
        <v>0.39</v>
      </c>
      <c r="V424" s="256"/>
      <c r="W424" s="256"/>
      <c r="X424" s="256"/>
      <c r="Y424" s="256"/>
      <c r="Z424" s="256"/>
      <c r="AA424" s="256"/>
      <c r="AB424" s="256"/>
      <c r="AC424" s="256"/>
      <c r="AD424" s="256"/>
      <c r="AE424" s="256"/>
      <c r="AF424" s="256"/>
      <c r="AG424" s="256"/>
      <c r="AH424" s="256"/>
      <c r="AI424" s="256"/>
      <c r="AJ424" s="256"/>
      <c r="AK424" s="256"/>
      <c r="AL424" s="256"/>
      <c r="AM424" s="256"/>
      <c r="AN424" s="256"/>
      <c r="AO424" s="256"/>
      <c r="AP424" s="256"/>
      <c r="AQ424" s="256"/>
      <c r="AR424" s="256"/>
      <c r="AS424" s="256"/>
      <c r="AT424" s="256"/>
      <c r="AU424" s="256"/>
      <c r="AV424" s="255" t="s">
        <v>50</v>
      </c>
      <c r="AW424" s="255" t="s">
        <v>2287</v>
      </c>
      <c r="AX424" s="255" t="s">
        <v>50</v>
      </c>
      <c r="AY424" s="255" t="s">
        <v>50</v>
      </c>
      <c r="AZ424" s="255" t="s">
        <v>50</v>
      </c>
    </row>
    <row r="425" spans="1:52" ht="30" customHeight="1">
      <c r="A425" s="258" t="s">
        <v>907</v>
      </c>
      <c r="B425" s="258" t="s">
        <v>830</v>
      </c>
      <c r="C425" s="258" t="s">
        <v>831</v>
      </c>
      <c r="D425" s="259">
        <v>1</v>
      </c>
      <c r="E425" s="303"/>
      <c r="F425" s="297"/>
      <c r="G425" s="303"/>
      <c r="H425" s="297"/>
      <c r="I425" s="303"/>
      <c r="J425" s="297"/>
      <c r="K425" s="303"/>
      <c r="L425" s="297"/>
      <c r="M425" s="258" t="s">
        <v>50</v>
      </c>
      <c r="N425" s="255" t="s">
        <v>1976</v>
      </c>
      <c r="O425" s="255" t="s">
        <v>2151</v>
      </c>
      <c r="P425" s="255" t="s">
        <v>599</v>
      </c>
      <c r="Q425" s="255" t="s">
        <v>599</v>
      </c>
      <c r="R425" s="255" t="s">
        <v>598</v>
      </c>
      <c r="S425" s="256"/>
      <c r="T425" s="256"/>
      <c r="U425" s="256"/>
      <c r="V425" s="256"/>
      <c r="W425" s="256"/>
      <c r="X425" s="256"/>
      <c r="Y425" s="256"/>
      <c r="Z425" s="256"/>
      <c r="AA425" s="256"/>
      <c r="AB425" s="256"/>
      <c r="AC425" s="256"/>
      <c r="AD425" s="256"/>
      <c r="AE425" s="256"/>
      <c r="AF425" s="256"/>
      <c r="AG425" s="256"/>
      <c r="AH425" s="256"/>
      <c r="AI425" s="256"/>
      <c r="AJ425" s="256"/>
      <c r="AK425" s="256"/>
      <c r="AL425" s="256"/>
      <c r="AM425" s="256"/>
      <c r="AN425" s="256"/>
      <c r="AO425" s="256"/>
      <c r="AP425" s="256"/>
      <c r="AQ425" s="256"/>
      <c r="AR425" s="256"/>
      <c r="AS425" s="256"/>
      <c r="AT425" s="256"/>
      <c r="AU425" s="256"/>
      <c r="AV425" s="255" t="s">
        <v>50</v>
      </c>
      <c r="AW425" s="255" t="s">
        <v>2288</v>
      </c>
      <c r="AX425" s="255" t="s">
        <v>598</v>
      </c>
      <c r="AY425" s="255" t="s">
        <v>50</v>
      </c>
      <c r="AZ425" s="255" t="s">
        <v>50</v>
      </c>
    </row>
    <row r="426" spans="1:52" ht="30" customHeight="1">
      <c r="A426" s="258" t="s">
        <v>820</v>
      </c>
      <c r="B426" s="258" t="s">
        <v>50</v>
      </c>
      <c r="C426" s="258" t="s">
        <v>50</v>
      </c>
      <c r="D426" s="259"/>
      <c r="E426" s="303"/>
      <c r="F426" s="297"/>
      <c r="G426" s="303"/>
      <c r="H426" s="297"/>
      <c r="I426" s="303"/>
      <c r="J426" s="297"/>
      <c r="K426" s="303"/>
      <c r="L426" s="297"/>
      <c r="M426" s="258" t="s">
        <v>50</v>
      </c>
      <c r="N426" s="255" t="s">
        <v>617</v>
      </c>
      <c r="O426" s="255" t="s">
        <v>617</v>
      </c>
      <c r="P426" s="255" t="s">
        <v>50</v>
      </c>
      <c r="Q426" s="255" t="s">
        <v>50</v>
      </c>
      <c r="R426" s="255" t="s">
        <v>50</v>
      </c>
      <c r="S426" s="256"/>
      <c r="T426" s="256"/>
      <c r="U426" s="256"/>
      <c r="V426" s="256"/>
      <c r="W426" s="256"/>
      <c r="X426" s="256"/>
      <c r="Y426" s="256"/>
      <c r="Z426" s="256"/>
      <c r="AA426" s="256"/>
      <c r="AB426" s="256"/>
      <c r="AC426" s="256"/>
      <c r="AD426" s="256"/>
      <c r="AE426" s="256"/>
      <c r="AF426" s="256"/>
      <c r="AG426" s="256"/>
      <c r="AH426" s="256"/>
      <c r="AI426" s="256"/>
      <c r="AJ426" s="256"/>
      <c r="AK426" s="256"/>
      <c r="AL426" s="256"/>
      <c r="AM426" s="256"/>
      <c r="AN426" s="256"/>
      <c r="AO426" s="256"/>
      <c r="AP426" s="256"/>
      <c r="AQ426" s="256"/>
      <c r="AR426" s="256"/>
      <c r="AS426" s="256"/>
      <c r="AT426" s="256"/>
      <c r="AU426" s="256"/>
      <c r="AV426" s="255" t="s">
        <v>50</v>
      </c>
      <c r="AW426" s="255" t="s">
        <v>50</v>
      </c>
      <c r="AX426" s="255" t="s">
        <v>50</v>
      </c>
      <c r="AY426" s="255" t="s">
        <v>50</v>
      </c>
      <c r="AZ426" s="255" t="s">
        <v>50</v>
      </c>
    </row>
    <row r="427" spans="1:52" ht="30" customHeight="1">
      <c r="A427" s="259"/>
      <c r="B427" s="259"/>
      <c r="C427" s="259"/>
      <c r="D427" s="259"/>
      <c r="E427" s="303"/>
      <c r="F427" s="297"/>
      <c r="G427" s="303"/>
      <c r="H427" s="297"/>
      <c r="I427" s="303"/>
      <c r="J427" s="297"/>
      <c r="K427" s="303"/>
      <c r="L427" s="297"/>
      <c r="M427" s="259"/>
    </row>
    <row r="428" spans="1:52" ht="30" customHeight="1">
      <c r="A428" s="299" t="s">
        <v>1602</v>
      </c>
      <c r="B428" s="300"/>
      <c r="C428" s="300"/>
      <c r="D428" s="300"/>
      <c r="E428" s="301"/>
      <c r="F428" s="302"/>
      <c r="G428" s="301"/>
      <c r="H428" s="302"/>
      <c r="I428" s="301"/>
      <c r="J428" s="302"/>
      <c r="K428" s="301"/>
      <c r="L428" s="302"/>
      <c r="M428" s="300"/>
      <c r="N428" s="464" t="s">
        <v>1977</v>
      </c>
    </row>
    <row r="429" spans="1:52" ht="30" customHeight="1">
      <c r="A429" s="258" t="s">
        <v>771</v>
      </c>
      <c r="B429" s="258" t="s">
        <v>809</v>
      </c>
      <c r="C429" s="258" t="s">
        <v>610</v>
      </c>
      <c r="D429" s="259">
        <v>0.28199999999999997</v>
      </c>
      <c r="E429" s="303"/>
      <c r="F429" s="297"/>
      <c r="G429" s="303"/>
      <c r="H429" s="297"/>
      <c r="I429" s="303"/>
      <c r="J429" s="297"/>
      <c r="K429" s="303"/>
      <c r="L429" s="297"/>
      <c r="M429" s="258" t="s">
        <v>382</v>
      </c>
      <c r="N429" s="255" t="s">
        <v>1977</v>
      </c>
      <c r="O429" s="255" t="s">
        <v>2289</v>
      </c>
      <c r="P429" s="255" t="s">
        <v>599</v>
      </c>
      <c r="Q429" s="255" t="s">
        <v>599</v>
      </c>
      <c r="R429" s="255" t="s">
        <v>598</v>
      </c>
      <c r="S429" s="256"/>
      <c r="T429" s="256"/>
      <c r="U429" s="256"/>
      <c r="V429" s="256"/>
      <c r="W429" s="256"/>
      <c r="X429" s="256"/>
      <c r="Y429" s="256"/>
      <c r="Z429" s="256"/>
      <c r="AA429" s="256"/>
      <c r="AB429" s="256"/>
      <c r="AC429" s="256"/>
      <c r="AD429" s="256"/>
      <c r="AE429" s="256"/>
      <c r="AF429" s="256"/>
      <c r="AG429" s="256"/>
      <c r="AH429" s="256"/>
      <c r="AI429" s="256"/>
      <c r="AJ429" s="256"/>
      <c r="AK429" s="256"/>
      <c r="AL429" s="256"/>
      <c r="AM429" s="256"/>
      <c r="AN429" s="256"/>
      <c r="AO429" s="256"/>
      <c r="AP429" s="256"/>
      <c r="AQ429" s="256"/>
      <c r="AR429" s="256"/>
      <c r="AS429" s="256"/>
      <c r="AT429" s="256"/>
      <c r="AU429" s="256"/>
      <c r="AV429" s="255" t="s">
        <v>50</v>
      </c>
      <c r="AW429" s="255" t="s">
        <v>2290</v>
      </c>
      <c r="AX429" s="255" t="s">
        <v>50</v>
      </c>
      <c r="AY429" s="255" t="s">
        <v>50</v>
      </c>
      <c r="AZ429" s="255" t="s">
        <v>50</v>
      </c>
    </row>
    <row r="430" spans="1:52" ht="30" customHeight="1">
      <c r="A430" s="258" t="s">
        <v>904</v>
      </c>
      <c r="B430" s="258" t="s">
        <v>905</v>
      </c>
      <c r="C430" s="258" t="s">
        <v>869</v>
      </c>
      <c r="D430" s="259">
        <v>9.3000000000000007</v>
      </c>
      <c r="E430" s="303"/>
      <c r="F430" s="297"/>
      <c r="G430" s="303"/>
      <c r="H430" s="297"/>
      <c r="I430" s="303"/>
      <c r="J430" s="297"/>
      <c r="K430" s="303"/>
      <c r="L430" s="297"/>
      <c r="M430" s="258" t="s">
        <v>50</v>
      </c>
      <c r="N430" s="255" t="s">
        <v>1977</v>
      </c>
      <c r="O430" s="255" t="s">
        <v>2148</v>
      </c>
      <c r="P430" s="255" t="s">
        <v>599</v>
      </c>
      <c r="Q430" s="255" t="s">
        <v>599</v>
      </c>
      <c r="R430" s="255" t="s">
        <v>598</v>
      </c>
      <c r="S430" s="256"/>
      <c r="T430" s="256"/>
      <c r="U430" s="256"/>
      <c r="V430" s="256">
        <v>1</v>
      </c>
      <c r="W430" s="256"/>
      <c r="X430" s="256"/>
      <c r="Y430" s="256"/>
      <c r="Z430" s="256"/>
      <c r="AA430" s="256"/>
      <c r="AB430" s="256"/>
      <c r="AC430" s="256"/>
      <c r="AD430" s="256"/>
      <c r="AE430" s="256"/>
      <c r="AF430" s="256"/>
      <c r="AG430" s="256"/>
      <c r="AH430" s="256"/>
      <c r="AI430" s="256"/>
      <c r="AJ430" s="256"/>
      <c r="AK430" s="256"/>
      <c r="AL430" s="256"/>
      <c r="AM430" s="256"/>
      <c r="AN430" s="256"/>
      <c r="AO430" s="256"/>
      <c r="AP430" s="256"/>
      <c r="AQ430" s="256"/>
      <c r="AR430" s="256"/>
      <c r="AS430" s="256"/>
      <c r="AT430" s="256"/>
      <c r="AU430" s="256"/>
      <c r="AV430" s="255" t="s">
        <v>50</v>
      </c>
      <c r="AW430" s="255" t="s">
        <v>2291</v>
      </c>
      <c r="AX430" s="255" t="s">
        <v>50</v>
      </c>
      <c r="AY430" s="255" t="s">
        <v>50</v>
      </c>
      <c r="AZ430" s="255" t="s">
        <v>50</v>
      </c>
    </row>
    <row r="431" spans="1:52" ht="30" customHeight="1">
      <c r="A431" s="258" t="s">
        <v>871</v>
      </c>
      <c r="B431" s="258" t="s">
        <v>910</v>
      </c>
      <c r="C431" s="258" t="s">
        <v>146</v>
      </c>
      <c r="D431" s="259">
        <v>1</v>
      </c>
      <c r="E431" s="303"/>
      <c r="F431" s="297"/>
      <c r="G431" s="303"/>
      <c r="H431" s="297"/>
      <c r="I431" s="303"/>
      <c r="J431" s="297"/>
      <c r="K431" s="303"/>
      <c r="L431" s="297"/>
      <c r="M431" s="258" t="s">
        <v>50</v>
      </c>
      <c r="N431" s="255" t="s">
        <v>1977</v>
      </c>
      <c r="O431" s="255" t="s">
        <v>1900</v>
      </c>
      <c r="P431" s="255" t="s">
        <v>599</v>
      </c>
      <c r="Q431" s="255" t="s">
        <v>599</v>
      </c>
      <c r="R431" s="255" t="s">
        <v>599</v>
      </c>
      <c r="S431" s="256">
        <v>0</v>
      </c>
      <c r="T431" s="256">
        <v>0</v>
      </c>
      <c r="U431" s="256">
        <v>0.38</v>
      </c>
      <c r="V431" s="256"/>
      <c r="W431" s="256"/>
      <c r="X431" s="256"/>
      <c r="Y431" s="256"/>
      <c r="Z431" s="256"/>
      <c r="AA431" s="256"/>
      <c r="AB431" s="256"/>
      <c r="AC431" s="256"/>
      <c r="AD431" s="256"/>
      <c r="AE431" s="256"/>
      <c r="AF431" s="256"/>
      <c r="AG431" s="256"/>
      <c r="AH431" s="256"/>
      <c r="AI431" s="256"/>
      <c r="AJ431" s="256"/>
      <c r="AK431" s="256"/>
      <c r="AL431" s="256"/>
      <c r="AM431" s="256"/>
      <c r="AN431" s="256"/>
      <c r="AO431" s="256"/>
      <c r="AP431" s="256"/>
      <c r="AQ431" s="256"/>
      <c r="AR431" s="256"/>
      <c r="AS431" s="256"/>
      <c r="AT431" s="256"/>
      <c r="AU431" s="256"/>
      <c r="AV431" s="255" t="s">
        <v>50</v>
      </c>
      <c r="AW431" s="255" t="s">
        <v>2292</v>
      </c>
      <c r="AX431" s="255" t="s">
        <v>50</v>
      </c>
      <c r="AY431" s="255" t="s">
        <v>50</v>
      </c>
      <c r="AZ431" s="255" t="s">
        <v>50</v>
      </c>
    </row>
    <row r="432" spans="1:52" ht="30" customHeight="1">
      <c r="A432" s="258" t="s">
        <v>919</v>
      </c>
      <c r="B432" s="258" t="s">
        <v>830</v>
      </c>
      <c r="C432" s="258" t="s">
        <v>831</v>
      </c>
      <c r="D432" s="259">
        <v>1</v>
      </c>
      <c r="E432" s="303"/>
      <c r="F432" s="297"/>
      <c r="G432" s="303"/>
      <c r="H432" s="297"/>
      <c r="I432" s="303"/>
      <c r="J432" s="297"/>
      <c r="K432" s="303"/>
      <c r="L432" s="297"/>
      <c r="M432" s="258" t="s">
        <v>50</v>
      </c>
      <c r="N432" s="255" t="s">
        <v>1977</v>
      </c>
      <c r="O432" s="255" t="s">
        <v>2267</v>
      </c>
      <c r="P432" s="255" t="s">
        <v>599</v>
      </c>
      <c r="Q432" s="255" t="s">
        <v>599</v>
      </c>
      <c r="R432" s="255" t="s">
        <v>598</v>
      </c>
      <c r="S432" s="256"/>
      <c r="T432" s="256"/>
      <c r="U432" s="256"/>
      <c r="V432" s="256"/>
      <c r="W432" s="256"/>
      <c r="X432" s="256"/>
      <c r="Y432" s="256"/>
      <c r="Z432" s="256"/>
      <c r="AA432" s="256"/>
      <c r="AB432" s="256"/>
      <c r="AC432" s="256"/>
      <c r="AD432" s="256"/>
      <c r="AE432" s="256"/>
      <c r="AF432" s="256"/>
      <c r="AG432" s="256"/>
      <c r="AH432" s="256"/>
      <c r="AI432" s="256"/>
      <c r="AJ432" s="256"/>
      <c r="AK432" s="256"/>
      <c r="AL432" s="256"/>
      <c r="AM432" s="256"/>
      <c r="AN432" s="256"/>
      <c r="AO432" s="256"/>
      <c r="AP432" s="256"/>
      <c r="AQ432" s="256"/>
      <c r="AR432" s="256"/>
      <c r="AS432" s="256"/>
      <c r="AT432" s="256"/>
      <c r="AU432" s="256"/>
      <c r="AV432" s="255" t="s">
        <v>50</v>
      </c>
      <c r="AW432" s="255" t="s">
        <v>2293</v>
      </c>
      <c r="AX432" s="255" t="s">
        <v>598</v>
      </c>
      <c r="AY432" s="255" t="s">
        <v>50</v>
      </c>
      <c r="AZ432" s="255" t="s">
        <v>50</v>
      </c>
    </row>
    <row r="433" spans="1:52" ht="30" customHeight="1">
      <c r="A433" s="258" t="s">
        <v>820</v>
      </c>
      <c r="B433" s="258" t="s">
        <v>50</v>
      </c>
      <c r="C433" s="258" t="s">
        <v>50</v>
      </c>
      <c r="D433" s="259"/>
      <c r="E433" s="303"/>
      <c r="F433" s="297"/>
      <c r="G433" s="303"/>
      <c r="H433" s="297"/>
      <c r="I433" s="303"/>
      <c r="J433" s="297"/>
      <c r="K433" s="303"/>
      <c r="L433" s="297"/>
      <c r="M433" s="258" t="s">
        <v>50</v>
      </c>
      <c r="N433" s="255" t="s">
        <v>617</v>
      </c>
      <c r="O433" s="255" t="s">
        <v>617</v>
      </c>
      <c r="P433" s="255" t="s">
        <v>50</v>
      </c>
      <c r="Q433" s="255" t="s">
        <v>50</v>
      </c>
      <c r="R433" s="255" t="s">
        <v>50</v>
      </c>
      <c r="S433" s="256"/>
      <c r="T433" s="256"/>
      <c r="U433" s="256"/>
      <c r="V433" s="256"/>
      <c r="W433" s="256"/>
      <c r="X433" s="256"/>
      <c r="Y433" s="256"/>
      <c r="Z433" s="256"/>
      <c r="AA433" s="256"/>
      <c r="AB433" s="256"/>
      <c r="AC433" s="256"/>
      <c r="AD433" s="256"/>
      <c r="AE433" s="256"/>
      <c r="AF433" s="256"/>
      <c r="AG433" s="256"/>
      <c r="AH433" s="256"/>
      <c r="AI433" s="256"/>
      <c r="AJ433" s="256"/>
      <c r="AK433" s="256"/>
      <c r="AL433" s="256"/>
      <c r="AM433" s="256"/>
      <c r="AN433" s="256"/>
      <c r="AO433" s="256"/>
      <c r="AP433" s="256"/>
      <c r="AQ433" s="256"/>
      <c r="AR433" s="256"/>
      <c r="AS433" s="256"/>
      <c r="AT433" s="256"/>
      <c r="AU433" s="256"/>
      <c r="AV433" s="255" t="s">
        <v>50</v>
      </c>
      <c r="AW433" s="255" t="s">
        <v>50</v>
      </c>
      <c r="AX433" s="255" t="s">
        <v>50</v>
      </c>
      <c r="AY433" s="255" t="s">
        <v>50</v>
      </c>
      <c r="AZ433" s="255" t="s">
        <v>50</v>
      </c>
    </row>
    <row r="434" spans="1:52" ht="30" customHeight="1">
      <c r="A434" s="259"/>
      <c r="B434" s="259"/>
      <c r="C434" s="259"/>
      <c r="D434" s="259"/>
      <c r="E434" s="303"/>
      <c r="F434" s="297"/>
      <c r="G434" s="303"/>
      <c r="H434" s="297"/>
      <c r="I434" s="303"/>
      <c r="J434" s="297"/>
      <c r="K434" s="303"/>
      <c r="L434" s="297"/>
      <c r="M434" s="259"/>
    </row>
    <row r="435" spans="1:52" ht="30" customHeight="1">
      <c r="A435" s="299" t="s">
        <v>1603</v>
      </c>
      <c r="B435" s="300"/>
      <c r="C435" s="300"/>
      <c r="D435" s="300"/>
      <c r="E435" s="301"/>
      <c r="F435" s="302"/>
      <c r="G435" s="301"/>
      <c r="H435" s="302"/>
      <c r="I435" s="301"/>
      <c r="J435" s="302"/>
      <c r="K435" s="301"/>
      <c r="L435" s="302"/>
      <c r="M435" s="300"/>
      <c r="N435" s="464" t="s">
        <v>1978</v>
      </c>
    </row>
    <row r="436" spans="1:52" ht="30" customHeight="1">
      <c r="A436" s="258" t="s">
        <v>921</v>
      </c>
      <c r="B436" s="258" t="s">
        <v>922</v>
      </c>
      <c r="C436" s="258" t="s">
        <v>869</v>
      </c>
      <c r="D436" s="259">
        <v>9.5000000000000001E-2</v>
      </c>
      <c r="E436" s="303"/>
      <c r="F436" s="297"/>
      <c r="G436" s="303"/>
      <c r="H436" s="297"/>
      <c r="I436" s="303"/>
      <c r="J436" s="297"/>
      <c r="K436" s="303"/>
      <c r="L436" s="297"/>
      <c r="M436" s="258" t="s">
        <v>823</v>
      </c>
      <c r="N436" s="255" t="s">
        <v>50</v>
      </c>
      <c r="O436" s="255" t="s">
        <v>2294</v>
      </c>
      <c r="P436" s="255" t="s">
        <v>599</v>
      </c>
      <c r="Q436" s="255" t="s">
        <v>599</v>
      </c>
      <c r="R436" s="255" t="s">
        <v>598</v>
      </c>
      <c r="S436" s="256"/>
      <c r="T436" s="256"/>
      <c r="U436" s="256"/>
      <c r="V436" s="256"/>
      <c r="W436" s="256">
        <v>2</v>
      </c>
      <c r="X436" s="256"/>
      <c r="Y436" s="256"/>
      <c r="Z436" s="256"/>
      <c r="AA436" s="256"/>
      <c r="AB436" s="256"/>
      <c r="AC436" s="256"/>
      <c r="AD436" s="256"/>
      <c r="AE436" s="256"/>
      <c r="AF436" s="256"/>
      <c r="AG436" s="256"/>
      <c r="AH436" s="256"/>
      <c r="AI436" s="256"/>
      <c r="AJ436" s="256"/>
      <c r="AK436" s="256"/>
      <c r="AL436" s="256"/>
      <c r="AM436" s="256"/>
      <c r="AN436" s="256"/>
      <c r="AO436" s="256"/>
      <c r="AP436" s="256"/>
      <c r="AQ436" s="256"/>
      <c r="AR436" s="256"/>
      <c r="AS436" s="256"/>
      <c r="AT436" s="256"/>
      <c r="AU436" s="256"/>
      <c r="AV436" s="255" t="s">
        <v>50</v>
      </c>
      <c r="AW436" s="255" t="s">
        <v>2295</v>
      </c>
      <c r="AX436" s="255" t="s">
        <v>50</v>
      </c>
      <c r="AY436" s="255" t="s">
        <v>824</v>
      </c>
      <c r="AZ436" s="255" t="s">
        <v>50</v>
      </c>
    </row>
    <row r="437" spans="1:52" ht="30" customHeight="1">
      <c r="A437" s="258" t="s">
        <v>923</v>
      </c>
      <c r="B437" s="258" t="s">
        <v>924</v>
      </c>
      <c r="C437" s="258" t="s">
        <v>925</v>
      </c>
      <c r="D437" s="259">
        <v>120.32</v>
      </c>
      <c r="E437" s="303"/>
      <c r="F437" s="297"/>
      <c r="G437" s="303"/>
      <c r="H437" s="297"/>
      <c r="I437" s="303"/>
      <c r="J437" s="297"/>
      <c r="K437" s="303"/>
      <c r="L437" s="297"/>
      <c r="M437" s="258" t="s">
        <v>823</v>
      </c>
      <c r="N437" s="255" t="s">
        <v>50</v>
      </c>
      <c r="O437" s="255" t="s">
        <v>2296</v>
      </c>
      <c r="P437" s="255" t="s">
        <v>599</v>
      </c>
      <c r="Q437" s="255" t="s">
        <v>599</v>
      </c>
      <c r="R437" s="255" t="s">
        <v>598</v>
      </c>
      <c r="S437" s="256"/>
      <c r="T437" s="256"/>
      <c r="U437" s="256"/>
      <c r="V437" s="256"/>
      <c r="W437" s="256">
        <v>2</v>
      </c>
      <c r="X437" s="256"/>
      <c r="Y437" s="256"/>
      <c r="Z437" s="256"/>
      <c r="AA437" s="256"/>
      <c r="AB437" s="256"/>
      <c r="AC437" s="256"/>
      <c r="AD437" s="256"/>
      <c r="AE437" s="256"/>
      <c r="AF437" s="256"/>
      <c r="AG437" s="256"/>
      <c r="AH437" s="256"/>
      <c r="AI437" s="256"/>
      <c r="AJ437" s="256"/>
      <c r="AK437" s="256"/>
      <c r="AL437" s="256"/>
      <c r="AM437" s="256"/>
      <c r="AN437" s="256"/>
      <c r="AO437" s="256"/>
      <c r="AP437" s="256"/>
      <c r="AQ437" s="256"/>
      <c r="AR437" s="256"/>
      <c r="AS437" s="256"/>
      <c r="AT437" s="256"/>
      <c r="AU437" s="256"/>
      <c r="AV437" s="255" t="s">
        <v>50</v>
      </c>
      <c r="AW437" s="255" t="s">
        <v>2297</v>
      </c>
      <c r="AX437" s="255" t="s">
        <v>50</v>
      </c>
      <c r="AY437" s="255" t="s">
        <v>824</v>
      </c>
      <c r="AZ437" s="255" t="s">
        <v>50</v>
      </c>
    </row>
    <row r="438" spans="1:52" ht="30" customHeight="1">
      <c r="A438" s="258" t="s">
        <v>926</v>
      </c>
      <c r="B438" s="258" t="s">
        <v>50</v>
      </c>
      <c r="C438" s="258" t="s">
        <v>927</v>
      </c>
      <c r="D438" s="259">
        <v>0.13300000000000001</v>
      </c>
      <c r="E438" s="303"/>
      <c r="F438" s="297"/>
      <c r="G438" s="303"/>
      <c r="H438" s="297"/>
      <c r="I438" s="303"/>
      <c r="J438" s="297"/>
      <c r="K438" s="303"/>
      <c r="L438" s="297"/>
      <c r="M438" s="258" t="s">
        <v>823</v>
      </c>
      <c r="N438" s="255" t="s">
        <v>50</v>
      </c>
      <c r="O438" s="255" t="s">
        <v>2298</v>
      </c>
      <c r="P438" s="255" t="s">
        <v>599</v>
      </c>
      <c r="Q438" s="255" t="s">
        <v>599</v>
      </c>
      <c r="R438" s="255" t="s">
        <v>598</v>
      </c>
      <c r="S438" s="256"/>
      <c r="T438" s="256"/>
      <c r="U438" s="256"/>
      <c r="V438" s="256"/>
      <c r="W438" s="256">
        <v>2</v>
      </c>
      <c r="X438" s="256"/>
      <c r="Y438" s="256"/>
      <c r="Z438" s="256"/>
      <c r="AA438" s="256"/>
      <c r="AB438" s="256"/>
      <c r="AC438" s="256"/>
      <c r="AD438" s="256"/>
      <c r="AE438" s="256"/>
      <c r="AF438" s="256"/>
      <c r="AG438" s="256"/>
      <c r="AH438" s="256"/>
      <c r="AI438" s="256"/>
      <c r="AJ438" s="256"/>
      <c r="AK438" s="256"/>
      <c r="AL438" s="256"/>
      <c r="AM438" s="256"/>
      <c r="AN438" s="256"/>
      <c r="AO438" s="256"/>
      <c r="AP438" s="256"/>
      <c r="AQ438" s="256"/>
      <c r="AR438" s="256"/>
      <c r="AS438" s="256"/>
      <c r="AT438" s="256"/>
      <c r="AU438" s="256"/>
      <c r="AV438" s="255" t="s">
        <v>50</v>
      </c>
      <c r="AW438" s="255" t="s">
        <v>2299</v>
      </c>
      <c r="AX438" s="255" t="s">
        <v>50</v>
      </c>
      <c r="AY438" s="255" t="s">
        <v>824</v>
      </c>
      <c r="AZ438" s="255" t="s">
        <v>50</v>
      </c>
    </row>
    <row r="439" spans="1:52" ht="30" customHeight="1">
      <c r="A439" s="258" t="s">
        <v>928</v>
      </c>
      <c r="B439" s="258" t="s">
        <v>50</v>
      </c>
      <c r="C439" s="258" t="s">
        <v>596</v>
      </c>
      <c r="D439" s="259">
        <v>0.69</v>
      </c>
      <c r="E439" s="303"/>
      <c r="F439" s="297"/>
      <c r="G439" s="303"/>
      <c r="H439" s="297"/>
      <c r="I439" s="303"/>
      <c r="J439" s="297"/>
      <c r="K439" s="303"/>
      <c r="L439" s="297"/>
      <c r="M439" s="258" t="s">
        <v>823</v>
      </c>
      <c r="N439" s="255" t="s">
        <v>50</v>
      </c>
      <c r="O439" s="255" t="s">
        <v>2300</v>
      </c>
      <c r="P439" s="255" t="s">
        <v>599</v>
      </c>
      <c r="Q439" s="255" t="s">
        <v>599</v>
      </c>
      <c r="R439" s="255" t="s">
        <v>598</v>
      </c>
      <c r="S439" s="256"/>
      <c r="T439" s="256"/>
      <c r="U439" s="256"/>
      <c r="V439" s="256"/>
      <c r="W439" s="256">
        <v>2</v>
      </c>
      <c r="X439" s="256"/>
      <c r="Y439" s="256"/>
      <c r="Z439" s="256"/>
      <c r="AA439" s="256"/>
      <c r="AB439" s="256"/>
      <c r="AC439" s="256"/>
      <c r="AD439" s="256"/>
      <c r="AE439" s="256"/>
      <c r="AF439" s="256"/>
      <c r="AG439" s="256"/>
      <c r="AH439" s="256"/>
      <c r="AI439" s="256"/>
      <c r="AJ439" s="256"/>
      <c r="AK439" s="256"/>
      <c r="AL439" s="256"/>
      <c r="AM439" s="256"/>
      <c r="AN439" s="256"/>
      <c r="AO439" s="256"/>
      <c r="AP439" s="256"/>
      <c r="AQ439" s="256"/>
      <c r="AR439" s="256"/>
      <c r="AS439" s="256"/>
      <c r="AT439" s="256"/>
      <c r="AU439" s="256"/>
      <c r="AV439" s="255" t="s">
        <v>50</v>
      </c>
      <c r="AW439" s="255" t="s">
        <v>2301</v>
      </c>
      <c r="AX439" s="255" t="s">
        <v>50</v>
      </c>
      <c r="AY439" s="255" t="s">
        <v>824</v>
      </c>
      <c r="AZ439" s="255" t="s">
        <v>50</v>
      </c>
    </row>
    <row r="440" spans="1:52" ht="30" customHeight="1">
      <c r="A440" s="258" t="s">
        <v>929</v>
      </c>
      <c r="B440" s="258" t="s">
        <v>50</v>
      </c>
      <c r="C440" s="258" t="s">
        <v>704</v>
      </c>
      <c r="D440" s="259">
        <v>0.159</v>
      </c>
      <c r="E440" s="303"/>
      <c r="F440" s="297"/>
      <c r="G440" s="303"/>
      <c r="H440" s="297"/>
      <c r="I440" s="303"/>
      <c r="J440" s="297"/>
      <c r="K440" s="303"/>
      <c r="L440" s="297"/>
      <c r="M440" s="258" t="s">
        <v>823</v>
      </c>
      <c r="N440" s="255" t="s">
        <v>50</v>
      </c>
      <c r="O440" s="255" t="s">
        <v>2302</v>
      </c>
      <c r="P440" s="255" t="s">
        <v>599</v>
      </c>
      <c r="Q440" s="255" t="s">
        <v>599</v>
      </c>
      <c r="R440" s="255" t="s">
        <v>598</v>
      </c>
      <c r="S440" s="256"/>
      <c r="T440" s="256"/>
      <c r="U440" s="256"/>
      <c r="V440" s="256"/>
      <c r="W440" s="256">
        <v>2</v>
      </c>
      <c r="X440" s="256"/>
      <c r="Y440" s="256"/>
      <c r="Z440" s="256"/>
      <c r="AA440" s="256"/>
      <c r="AB440" s="256"/>
      <c r="AC440" s="256"/>
      <c r="AD440" s="256"/>
      <c r="AE440" s="256"/>
      <c r="AF440" s="256"/>
      <c r="AG440" s="256"/>
      <c r="AH440" s="256"/>
      <c r="AI440" s="256"/>
      <c r="AJ440" s="256"/>
      <c r="AK440" s="256"/>
      <c r="AL440" s="256"/>
      <c r="AM440" s="256"/>
      <c r="AN440" s="256"/>
      <c r="AO440" s="256"/>
      <c r="AP440" s="256"/>
      <c r="AQ440" s="256"/>
      <c r="AR440" s="256"/>
      <c r="AS440" s="256"/>
      <c r="AT440" s="256"/>
      <c r="AU440" s="256"/>
      <c r="AV440" s="255" t="s">
        <v>50</v>
      </c>
      <c r="AW440" s="255" t="s">
        <v>2303</v>
      </c>
      <c r="AX440" s="255" t="s">
        <v>50</v>
      </c>
      <c r="AY440" s="255" t="s">
        <v>824</v>
      </c>
      <c r="AZ440" s="255" t="s">
        <v>50</v>
      </c>
    </row>
    <row r="441" spans="1:52" ht="30" customHeight="1">
      <c r="A441" s="258" t="s">
        <v>930</v>
      </c>
      <c r="B441" s="258" t="s">
        <v>50</v>
      </c>
      <c r="C441" s="258" t="s">
        <v>704</v>
      </c>
      <c r="D441" s="259">
        <v>0.115</v>
      </c>
      <c r="E441" s="303"/>
      <c r="F441" s="297"/>
      <c r="G441" s="303"/>
      <c r="H441" s="297"/>
      <c r="I441" s="303"/>
      <c r="J441" s="297"/>
      <c r="K441" s="303"/>
      <c r="L441" s="297"/>
      <c r="M441" s="258" t="s">
        <v>823</v>
      </c>
      <c r="N441" s="255" t="s">
        <v>50</v>
      </c>
      <c r="O441" s="255" t="s">
        <v>2304</v>
      </c>
      <c r="P441" s="255" t="s">
        <v>599</v>
      </c>
      <c r="Q441" s="255" t="s">
        <v>599</v>
      </c>
      <c r="R441" s="255" t="s">
        <v>598</v>
      </c>
      <c r="S441" s="256"/>
      <c r="T441" s="256"/>
      <c r="U441" s="256"/>
      <c r="V441" s="256"/>
      <c r="W441" s="256">
        <v>2</v>
      </c>
      <c r="X441" s="256"/>
      <c r="Y441" s="256"/>
      <c r="Z441" s="256"/>
      <c r="AA441" s="256"/>
      <c r="AB441" s="256"/>
      <c r="AC441" s="256"/>
      <c r="AD441" s="256"/>
      <c r="AE441" s="256"/>
      <c r="AF441" s="256"/>
      <c r="AG441" s="256"/>
      <c r="AH441" s="256"/>
      <c r="AI441" s="256"/>
      <c r="AJ441" s="256"/>
      <c r="AK441" s="256"/>
      <c r="AL441" s="256"/>
      <c r="AM441" s="256"/>
      <c r="AN441" s="256"/>
      <c r="AO441" s="256"/>
      <c r="AP441" s="256"/>
      <c r="AQ441" s="256"/>
      <c r="AR441" s="256"/>
      <c r="AS441" s="256"/>
      <c r="AT441" s="256"/>
      <c r="AU441" s="256"/>
      <c r="AV441" s="255" t="s">
        <v>50</v>
      </c>
      <c r="AW441" s="255" t="s">
        <v>2305</v>
      </c>
      <c r="AX441" s="255" t="s">
        <v>50</v>
      </c>
      <c r="AY441" s="255" t="s">
        <v>824</v>
      </c>
      <c r="AZ441" s="255" t="s">
        <v>50</v>
      </c>
    </row>
    <row r="442" spans="1:52" ht="30" customHeight="1">
      <c r="A442" s="258" t="s">
        <v>883</v>
      </c>
      <c r="B442" s="258" t="s">
        <v>830</v>
      </c>
      <c r="C442" s="258" t="s">
        <v>831</v>
      </c>
      <c r="D442" s="259">
        <v>9.6000000000000002E-2</v>
      </c>
      <c r="E442" s="303"/>
      <c r="F442" s="297"/>
      <c r="G442" s="303"/>
      <c r="H442" s="297"/>
      <c r="I442" s="303"/>
      <c r="J442" s="297"/>
      <c r="K442" s="303"/>
      <c r="L442" s="297"/>
      <c r="M442" s="258" t="s">
        <v>823</v>
      </c>
      <c r="N442" s="255" t="s">
        <v>50</v>
      </c>
      <c r="O442" s="255" t="s">
        <v>2306</v>
      </c>
      <c r="P442" s="255" t="s">
        <v>599</v>
      </c>
      <c r="Q442" s="255" t="s">
        <v>599</v>
      </c>
      <c r="R442" s="255" t="s">
        <v>598</v>
      </c>
      <c r="S442" s="256"/>
      <c r="T442" s="256"/>
      <c r="U442" s="256"/>
      <c r="V442" s="256">
        <v>1</v>
      </c>
      <c r="W442" s="256">
        <v>2</v>
      </c>
      <c r="X442" s="256"/>
      <c r="Y442" s="256"/>
      <c r="Z442" s="256"/>
      <c r="AA442" s="256"/>
      <c r="AB442" s="256"/>
      <c r="AC442" s="256"/>
      <c r="AD442" s="256"/>
      <c r="AE442" s="256"/>
      <c r="AF442" s="256"/>
      <c r="AG442" s="256"/>
      <c r="AH442" s="256"/>
      <c r="AI442" s="256"/>
      <c r="AJ442" s="256"/>
      <c r="AK442" s="256"/>
      <c r="AL442" s="256"/>
      <c r="AM442" s="256"/>
      <c r="AN442" s="256"/>
      <c r="AO442" s="256"/>
      <c r="AP442" s="256"/>
      <c r="AQ442" s="256"/>
      <c r="AR442" s="256"/>
      <c r="AS442" s="256"/>
      <c r="AT442" s="256"/>
      <c r="AU442" s="256"/>
      <c r="AV442" s="255" t="s">
        <v>50</v>
      </c>
      <c r="AW442" s="255" t="s">
        <v>2307</v>
      </c>
      <c r="AX442" s="255" t="s">
        <v>50</v>
      </c>
      <c r="AY442" s="255" t="s">
        <v>824</v>
      </c>
      <c r="AZ442" s="255" t="s">
        <v>50</v>
      </c>
    </row>
    <row r="443" spans="1:52" ht="30" customHeight="1">
      <c r="A443" s="258" t="s">
        <v>931</v>
      </c>
      <c r="B443" s="258" t="s">
        <v>830</v>
      </c>
      <c r="C443" s="258" t="s">
        <v>831</v>
      </c>
      <c r="D443" s="259">
        <v>0.55000000000000004</v>
      </c>
      <c r="E443" s="303"/>
      <c r="F443" s="297"/>
      <c r="G443" s="303"/>
      <c r="H443" s="297"/>
      <c r="I443" s="303"/>
      <c r="J443" s="297"/>
      <c r="K443" s="303"/>
      <c r="L443" s="297"/>
      <c r="M443" s="258" t="s">
        <v>823</v>
      </c>
      <c r="N443" s="255" t="s">
        <v>50</v>
      </c>
      <c r="O443" s="255" t="s">
        <v>2308</v>
      </c>
      <c r="P443" s="255" t="s">
        <v>599</v>
      </c>
      <c r="Q443" s="255" t="s">
        <v>599</v>
      </c>
      <c r="R443" s="255" t="s">
        <v>598</v>
      </c>
      <c r="S443" s="256"/>
      <c r="T443" s="256"/>
      <c r="U443" s="256"/>
      <c r="V443" s="256">
        <v>1</v>
      </c>
      <c r="W443" s="256">
        <v>2</v>
      </c>
      <c r="X443" s="256"/>
      <c r="Y443" s="256"/>
      <c r="Z443" s="256"/>
      <c r="AA443" s="256"/>
      <c r="AB443" s="256"/>
      <c r="AC443" s="256"/>
      <c r="AD443" s="256"/>
      <c r="AE443" s="256"/>
      <c r="AF443" s="256"/>
      <c r="AG443" s="256"/>
      <c r="AH443" s="256"/>
      <c r="AI443" s="256"/>
      <c r="AJ443" s="256"/>
      <c r="AK443" s="256"/>
      <c r="AL443" s="256"/>
      <c r="AM443" s="256"/>
      <c r="AN443" s="256"/>
      <c r="AO443" s="256"/>
      <c r="AP443" s="256"/>
      <c r="AQ443" s="256"/>
      <c r="AR443" s="256"/>
      <c r="AS443" s="256"/>
      <c r="AT443" s="256"/>
      <c r="AU443" s="256"/>
      <c r="AV443" s="255" t="s">
        <v>50</v>
      </c>
      <c r="AW443" s="255" t="s">
        <v>2309</v>
      </c>
      <c r="AX443" s="255" t="s">
        <v>50</v>
      </c>
      <c r="AY443" s="255" t="s">
        <v>824</v>
      </c>
      <c r="AZ443" s="255" t="s">
        <v>50</v>
      </c>
    </row>
    <row r="444" spans="1:52" ht="30" customHeight="1">
      <c r="A444" s="258" t="s">
        <v>932</v>
      </c>
      <c r="B444" s="258" t="s">
        <v>830</v>
      </c>
      <c r="C444" s="258" t="s">
        <v>831</v>
      </c>
      <c r="D444" s="259">
        <v>9.6000000000000002E-2</v>
      </c>
      <c r="E444" s="303"/>
      <c r="F444" s="297"/>
      <c r="G444" s="303"/>
      <c r="H444" s="297"/>
      <c r="I444" s="303"/>
      <c r="J444" s="297"/>
      <c r="K444" s="303"/>
      <c r="L444" s="297"/>
      <c r="M444" s="258" t="s">
        <v>823</v>
      </c>
      <c r="N444" s="255" t="s">
        <v>50</v>
      </c>
      <c r="O444" s="255" t="s">
        <v>2310</v>
      </c>
      <c r="P444" s="255" t="s">
        <v>599</v>
      </c>
      <c r="Q444" s="255" t="s">
        <v>599</v>
      </c>
      <c r="R444" s="255" t="s">
        <v>598</v>
      </c>
      <c r="S444" s="256"/>
      <c r="T444" s="256"/>
      <c r="U444" s="256"/>
      <c r="V444" s="256">
        <v>1</v>
      </c>
      <c r="W444" s="256">
        <v>2</v>
      </c>
      <c r="X444" s="256"/>
      <c r="Y444" s="256"/>
      <c r="Z444" s="256"/>
      <c r="AA444" s="256"/>
      <c r="AB444" s="256"/>
      <c r="AC444" s="256"/>
      <c r="AD444" s="256"/>
      <c r="AE444" s="256"/>
      <c r="AF444" s="256"/>
      <c r="AG444" s="256"/>
      <c r="AH444" s="256"/>
      <c r="AI444" s="256"/>
      <c r="AJ444" s="256"/>
      <c r="AK444" s="256"/>
      <c r="AL444" s="256"/>
      <c r="AM444" s="256"/>
      <c r="AN444" s="256"/>
      <c r="AO444" s="256"/>
      <c r="AP444" s="256"/>
      <c r="AQ444" s="256"/>
      <c r="AR444" s="256"/>
      <c r="AS444" s="256"/>
      <c r="AT444" s="256"/>
      <c r="AU444" s="256"/>
      <c r="AV444" s="255" t="s">
        <v>50</v>
      </c>
      <c r="AW444" s="255" t="s">
        <v>2311</v>
      </c>
      <c r="AX444" s="255" t="s">
        <v>50</v>
      </c>
      <c r="AY444" s="255" t="s">
        <v>824</v>
      </c>
      <c r="AZ444" s="255" t="s">
        <v>50</v>
      </c>
    </row>
    <row r="445" spans="1:52" ht="30" customHeight="1">
      <c r="A445" s="258" t="s">
        <v>860</v>
      </c>
      <c r="B445" s="258" t="s">
        <v>830</v>
      </c>
      <c r="C445" s="258" t="s">
        <v>831</v>
      </c>
      <c r="D445" s="259">
        <v>0.3</v>
      </c>
      <c r="E445" s="303"/>
      <c r="F445" s="297"/>
      <c r="G445" s="303"/>
      <c r="H445" s="297"/>
      <c r="I445" s="303"/>
      <c r="J445" s="297"/>
      <c r="K445" s="303"/>
      <c r="L445" s="297"/>
      <c r="M445" s="258" t="s">
        <v>823</v>
      </c>
      <c r="N445" s="255" t="s">
        <v>50</v>
      </c>
      <c r="O445" s="255" t="s">
        <v>2051</v>
      </c>
      <c r="P445" s="255" t="s">
        <v>599</v>
      </c>
      <c r="Q445" s="255" t="s">
        <v>599</v>
      </c>
      <c r="R445" s="255" t="s">
        <v>598</v>
      </c>
      <c r="S445" s="256"/>
      <c r="T445" s="256"/>
      <c r="U445" s="256"/>
      <c r="V445" s="256">
        <v>1</v>
      </c>
      <c r="W445" s="256">
        <v>2</v>
      </c>
      <c r="X445" s="256"/>
      <c r="Y445" s="256"/>
      <c r="Z445" s="256"/>
      <c r="AA445" s="256"/>
      <c r="AB445" s="256"/>
      <c r="AC445" s="256"/>
      <c r="AD445" s="256"/>
      <c r="AE445" s="256"/>
      <c r="AF445" s="256"/>
      <c r="AG445" s="256"/>
      <c r="AH445" s="256"/>
      <c r="AI445" s="256"/>
      <c r="AJ445" s="256"/>
      <c r="AK445" s="256"/>
      <c r="AL445" s="256"/>
      <c r="AM445" s="256"/>
      <c r="AN445" s="256"/>
      <c r="AO445" s="256"/>
      <c r="AP445" s="256"/>
      <c r="AQ445" s="256"/>
      <c r="AR445" s="256"/>
      <c r="AS445" s="256"/>
      <c r="AT445" s="256"/>
      <c r="AU445" s="256"/>
      <c r="AV445" s="255" t="s">
        <v>50</v>
      </c>
      <c r="AW445" s="255" t="s">
        <v>2312</v>
      </c>
      <c r="AX445" s="255" t="s">
        <v>50</v>
      </c>
      <c r="AY445" s="255" t="s">
        <v>824</v>
      </c>
      <c r="AZ445" s="255" t="s">
        <v>50</v>
      </c>
    </row>
    <row r="446" spans="1:52" ht="30" customHeight="1">
      <c r="A446" s="258" t="s">
        <v>871</v>
      </c>
      <c r="B446" s="258" t="s">
        <v>866</v>
      </c>
      <c r="C446" s="258" t="s">
        <v>146</v>
      </c>
      <c r="D446" s="259">
        <v>1</v>
      </c>
      <c r="E446" s="303"/>
      <c r="F446" s="297"/>
      <c r="G446" s="303"/>
      <c r="H446" s="297"/>
      <c r="I446" s="303"/>
      <c r="J446" s="297"/>
      <c r="K446" s="303"/>
      <c r="L446" s="297"/>
      <c r="M446" s="258" t="s">
        <v>823</v>
      </c>
      <c r="N446" s="255" t="s">
        <v>50</v>
      </c>
      <c r="O446" s="255" t="s">
        <v>1900</v>
      </c>
      <c r="P446" s="255" t="s">
        <v>599</v>
      </c>
      <c r="Q446" s="255" t="s">
        <v>599</v>
      </c>
      <c r="R446" s="255" t="s">
        <v>599</v>
      </c>
      <c r="S446" s="256">
        <v>1</v>
      </c>
      <c r="T446" s="256">
        <v>0</v>
      </c>
      <c r="U446" s="256">
        <v>0.03</v>
      </c>
      <c r="V446" s="256"/>
      <c r="W446" s="256">
        <v>2</v>
      </c>
      <c r="X446" s="256"/>
      <c r="Y446" s="256"/>
      <c r="Z446" s="256"/>
      <c r="AA446" s="256"/>
      <c r="AB446" s="256"/>
      <c r="AC446" s="256"/>
      <c r="AD446" s="256"/>
      <c r="AE446" s="256"/>
      <c r="AF446" s="256"/>
      <c r="AG446" s="256"/>
      <c r="AH446" s="256"/>
      <c r="AI446" s="256"/>
      <c r="AJ446" s="256"/>
      <c r="AK446" s="256"/>
      <c r="AL446" s="256"/>
      <c r="AM446" s="256"/>
      <c r="AN446" s="256"/>
      <c r="AO446" s="256"/>
      <c r="AP446" s="256"/>
      <c r="AQ446" s="256"/>
      <c r="AR446" s="256"/>
      <c r="AS446" s="256"/>
      <c r="AT446" s="256"/>
      <c r="AU446" s="256"/>
      <c r="AV446" s="255" t="s">
        <v>50</v>
      </c>
      <c r="AW446" s="255" t="s">
        <v>2313</v>
      </c>
      <c r="AX446" s="255" t="s">
        <v>50</v>
      </c>
      <c r="AY446" s="255" t="s">
        <v>824</v>
      </c>
      <c r="AZ446" s="255" t="s">
        <v>50</v>
      </c>
    </row>
    <row r="447" spans="1:52" ht="30" customHeight="1">
      <c r="A447" s="258" t="s">
        <v>826</v>
      </c>
      <c r="B447" s="258" t="s">
        <v>827</v>
      </c>
      <c r="C447" s="258" t="s">
        <v>146</v>
      </c>
      <c r="D447" s="259">
        <v>1</v>
      </c>
      <c r="E447" s="303"/>
      <c r="F447" s="297"/>
      <c r="G447" s="303"/>
      <c r="H447" s="297"/>
      <c r="I447" s="303"/>
      <c r="J447" s="297"/>
      <c r="K447" s="303"/>
      <c r="L447" s="297"/>
      <c r="M447" s="258" t="s">
        <v>50</v>
      </c>
      <c r="N447" s="255" t="s">
        <v>1978</v>
      </c>
      <c r="O447" s="255" t="s">
        <v>2094</v>
      </c>
      <c r="P447" s="255" t="s">
        <v>599</v>
      </c>
      <c r="Q447" s="255" t="s">
        <v>599</v>
      </c>
      <c r="R447" s="255" t="s">
        <v>599</v>
      </c>
      <c r="S447" s="256">
        <v>3</v>
      </c>
      <c r="T447" s="256">
        <v>2</v>
      </c>
      <c r="U447" s="256">
        <v>1</v>
      </c>
      <c r="V447" s="256"/>
      <c r="W447" s="256"/>
      <c r="X447" s="256"/>
      <c r="Y447" s="256"/>
      <c r="Z447" s="256"/>
      <c r="AA447" s="256"/>
      <c r="AB447" s="256"/>
      <c r="AC447" s="256"/>
      <c r="AD447" s="256"/>
      <c r="AE447" s="256"/>
      <c r="AF447" s="256"/>
      <c r="AG447" s="256"/>
      <c r="AH447" s="256"/>
      <c r="AI447" s="256"/>
      <c r="AJ447" s="256"/>
      <c r="AK447" s="256"/>
      <c r="AL447" s="256"/>
      <c r="AM447" s="256"/>
      <c r="AN447" s="256"/>
      <c r="AO447" s="256"/>
      <c r="AP447" s="256"/>
      <c r="AQ447" s="256"/>
      <c r="AR447" s="256"/>
      <c r="AS447" s="256"/>
      <c r="AT447" s="256"/>
      <c r="AU447" s="256"/>
      <c r="AV447" s="255" t="s">
        <v>50</v>
      </c>
      <c r="AW447" s="255" t="s">
        <v>2314</v>
      </c>
      <c r="AX447" s="255" t="s">
        <v>50</v>
      </c>
      <c r="AY447" s="255" t="s">
        <v>50</v>
      </c>
      <c r="AZ447" s="255" t="s">
        <v>50</v>
      </c>
    </row>
    <row r="448" spans="1:52" ht="30" customHeight="1">
      <c r="A448" s="258" t="s">
        <v>820</v>
      </c>
      <c r="B448" s="258" t="s">
        <v>50</v>
      </c>
      <c r="C448" s="258" t="s">
        <v>50</v>
      </c>
      <c r="D448" s="259"/>
      <c r="E448" s="303"/>
      <c r="F448" s="297"/>
      <c r="G448" s="303"/>
      <c r="H448" s="297"/>
      <c r="I448" s="303"/>
      <c r="J448" s="297"/>
      <c r="K448" s="303"/>
      <c r="L448" s="297"/>
      <c r="M448" s="258" t="s">
        <v>50</v>
      </c>
      <c r="N448" s="255" t="s">
        <v>617</v>
      </c>
      <c r="O448" s="255" t="s">
        <v>617</v>
      </c>
      <c r="P448" s="255" t="s">
        <v>50</v>
      </c>
      <c r="Q448" s="255" t="s">
        <v>50</v>
      </c>
      <c r="R448" s="255" t="s">
        <v>50</v>
      </c>
      <c r="S448" s="256"/>
      <c r="T448" s="256"/>
      <c r="U448" s="256"/>
      <c r="V448" s="256"/>
      <c r="W448" s="256"/>
      <c r="X448" s="256"/>
      <c r="Y448" s="256"/>
      <c r="Z448" s="256"/>
      <c r="AA448" s="256"/>
      <c r="AB448" s="256"/>
      <c r="AC448" s="256"/>
      <c r="AD448" s="256"/>
      <c r="AE448" s="256"/>
      <c r="AF448" s="256"/>
      <c r="AG448" s="256"/>
      <c r="AH448" s="256"/>
      <c r="AI448" s="256"/>
      <c r="AJ448" s="256"/>
      <c r="AK448" s="256"/>
      <c r="AL448" s="256"/>
      <c r="AM448" s="256"/>
      <c r="AN448" s="256"/>
      <c r="AO448" s="256"/>
      <c r="AP448" s="256"/>
      <c r="AQ448" s="256"/>
      <c r="AR448" s="256"/>
      <c r="AS448" s="256"/>
      <c r="AT448" s="256"/>
      <c r="AU448" s="256"/>
      <c r="AV448" s="255" t="s">
        <v>50</v>
      </c>
      <c r="AW448" s="255" t="s">
        <v>50</v>
      </c>
      <c r="AX448" s="255" t="s">
        <v>50</v>
      </c>
      <c r="AY448" s="255" t="s">
        <v>50</v>
      </c>
      <c r="AZ448" s="255" t="s">
        <v>50</v>
      </c>
    </row>
  </sheetData>
  <mergeCells count="45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W2:AW3"/>
    <mergeCell ref="AO2:AO3"/>
    <mergeCell ref="AP2:AP3"/>
    <mergeCell ref="AQ2:AQ3"/>
    <mergeCell ref="AR2:AR3"/>
    <mergeCell ref="AS2:AS3"/>
    <mergeCell ref="AT2:AT3"/>
  </mergeCells>
  <phoneticPr fontId="3" type="noConversion"/>
  <pageMargins left="0.59055118110236215" right="0.39370078740157483" top="0.39370078740157483" bottom="0.39370078740157483" header="0.19685039370078741" footer="0.19685039370078741"/>
  <pageSetup paperSize="9" scale="6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L10"/>
  <sheetViews>
    <sheetView showZeros="0" view="pageBreakPreview" topLeftCell="B1" zoomScaleNormal="100" zoomScaleSheetLayoutView="100" workbookViewId="0">
      <selection activeCell="I19" sqref="I19"/>
    </sheetView>
  </sheetViews>
  <sheetFormatPr defaultRowHeight="16.5"/>
  <cols>
    <col min="1" max="1" width="11.625" hidden="1" customWidth="1"/>
    <col min="2" max="3" width="4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hidden="1" customWidth="1"/>
  </cols>
  <sheetData>
    <row r="1" spans="1:12" ht="30" customHeight="1">
      <c r="A1" s="248"/>
      <c r="B1" s="247" t="s">
        <v>933</v>
      </c>
      <c r="C1" s="248"/>
      <c r="D1" s="248"/>
      <c r="E1" s="248"/>
      <c r="F1" s="248"/>
      <c r="G1" s="248"/>
      <c r="H1" s="248"/>
      <c r="I1" s="248"/>
      <c r="J1" s="248"/>
    </row>
    <row r="2" spans="1:12" ht="30" customHeight="1">
      <c r="A2" s="265"/>
      <c r="B2" s="266" t="s">
        <v>1746</v>
      </c>
      <c r="C2" s="250"/>
      <c r="D2" s="250"/>
      <c r="E2" s="250"/>
      <c r="F2" s="250"/>
      <c r="G2" s="250"/>
      <c r="H2" s="250"/>
      <c r="I2" s="250"/>
      <c r="J2" s="251"/>
    </row>
    <row r="3" spans="1:12" ht="30" customHeight="1">
      <c r="A3" s="465" t="s">
        <v>740</v>
      </c>
      <c r="B3" s="462" t="s">
        <v>115</v>
      </c>
      <c r="C3" s="462" t="s">
        <v>116</v>
      </c>
      <c r="D3" s="462" t="s">
        <v>117</v>
      </c>
      <c r="E3" s="462" t="s">
        <v>741</v>
      </c>
      <c r="F3" s="462" t="s">
        <v>742</v>
      </c>
      <c r="G3" s="462" t="s">
        <v>743</v>
      </c>
      <c r="H3" s="462" t="s">
        <v>744</v>
      </c>
      <c r="I3" s="462" t="s">
        <v>745</v>
      </c>
      <c r="J3" s="462" t="s">
        <v>934</v>
      </c>
      <c r="K3" s="464" t="s">
        <v>935</v>
      </c>
      <c r="L3" s="464" t="s">
        <v>748</v>
      </c>
    </row>
    <row r="4" spans="1:12" ht="30" customHeight="1">
      <c r="A4" s="304" t="s">
        <v>1844</v>
      </c>
      <c r="B4" s="305" t="s">
        <v>670</v>
      </c>
      <c r="C4" s="305" t="s">
        <v>671</v>
      </c>
      <c r="D4" s="305" t="s">
        <v>650</v>
      </c>
      <c r="E4" s="306"/>
      <c r="F4" s="306"/>
      <c r="G4" s="306"/>
      <c r="H4" s="306"/>
      <c r="I4" s="305" t="s">
        <v>672</v>
      </c>
      <c r="J4" s="305" t="s">
        <v>936</v>
      </c>
      <c r="K4" s="255" t="s">
        <v>1844</v>
      </c>
      <c r="L4" s="255" t="s">
        <v>937</v>
      </c>
    </row>
    <row r="5" spans="1:12" ht="30" customHeight="1">
      <c r="A5" s="304" t="s">
        <v>1864</v>
      </c>
      <c r="B5" s="305" t="s">
        <v>712</v>
      </c>
      <c r="C5" s="305" t="s">
        <v>713</v>
      </c>
      <c r="D5" s="305" t="s">
        <v>685</v>
      </c>
      <c r="E5" s="306"/>
      <c r="F5" s="306"/>
      <c r="G5" s="306"/>
      <c r="H5" s="306"/>
      <c r="I5" s="305" t="s">
        <v>714</v>
      </c>
      <c r="J5" s="305" t="s">
        <v>50</v>
      </c>
      <c r="K5" s="255" t="s">
        <v>1864</v>
      </c>
      <c r="L5" s="255" t="s">
        <v>50</v>
      </c>
    </row>
    <row r="6" spans="1:12" ht="30" customHeight="1">
      <c r="A6" s="304" t="s">
        <v>1866</v>
      </c>
      <c r="B6" s="305" t="s">
        <v>715</v>
      </c>
      <c r="C6" s="305" t="s">
        <v>716</v>
      </c>
      <c r="D6" s="305" t="s">
        <v>678</v>
      </c>
      <c r="E6" s="306"/>
      <c r="F6" s="306"/>
      <c r="G6" s="306"/>
      <c r="H6" s="306"/>
      <c r="I6" s="305" t="s">
        <v>717</v>
      </c>
      <c r="J6" s="305" t="s">
        <v>50</v>
      </c>
      <c r="K6" s="255" t="s">
        <v>1866</v>
      </c>
      <c r="L6" s="255" t="s">
        <v>50</v>
      </c>
    </row>
    <row r="7" spans="1:12" ht="30" customHeight="1">
      <c r="A7" s="304" t="s">
        <v>1868</v>
      </c>
      <c r="B7" s="305" t="s">
        <v>721</v>
      </c>
      <c r="C7" s="305" t="s">
        <v>722</v>
      </c>
      <c r="D7" s="305" t="s">
        <v>723</v>
      </c>
      <c r="E7" s="306"/>
      <c r="F7" s="306"/>
      <c r="G7" s="306"/>
      <c r="H7" s="306"/>
      <c r="I7" s="305" t="s">
        <v>718</v>
      </c>
      <c r="J7" s="305" t="s">
        <v>50</v>
      </c>
      <c r="K7" s="255" t="s">
        <v>1868</v>
      </c>
      <c r="L7" s="255" t="s">
        <v>938</v>
      </c>
    </row>
    <row r="8" spans="1:12" ht="30" customHeight="1">
      <c r="A8" s="304" t="s">
        <v>2034</v>
      </c>
      <c r="B8" s="305" t="s">
        <v>849</v>
      </c>
      <c r="C8" s="305" t="s">
        <v>850</v>
      </c>
      <c r="D8" s="305" t="s">
        <v>650</v>
      </c>
      <c r="E8" s="306"/>
      <c r="F8" s="306"/>
      <c r="G8" s="306"/>
      <c r="H8" s="306"/>
      <c r="I8" s="305" t="s">
        <v>719</v>
      </c>
      <c r="J8" s="305" t="s">
        <v>50</v>
      </c>
      <c r="K8" s="255" t="s">
        <v>2034</v>
      </c>
      <c r="L8" s="255" t="s">
        <v>939</v>
      </c>
    </row>
    <row r="9" spans="1:12" ht="30" customHeight="1">
      <c r="A9" s="304" t="s">
        <v>2213</v>
      </c>
      <c r="B9" s="305" t="s">
        <v>665</v>
      </c>
      <c r="C9" s="305" t="s">
        <v>776</v>
      </c>
      <c r="D9" s="305" t="s">
        <v>644</v>
      </c>
      <c r="E9" s="306"/>
      <c r="F9" s="306"/>
      <c r="G9" s="306"/>
      <c r="H9" s="306"/>
      <c r="I9" s="305" t="s">
        <v>720</v>
      </c>
      <c r="J9" s="305" t="s">
        <v>777</v>
      </c>
      <c r="K9" s="255" t="s">
        <v>2213</v>
      </c>
      <c r="L9" s="255" t="s">
        <v>940</v>
      </c>
    </row>
    <row r="10" spans="1:12" ht="30" customHeight="1">
      <c r="A10" s="304" t="s">
        <v>2248</v>
      </c>
      <c r="B10" s="305" t="s">
        <v>665</v>
      </c>
      <c r="C10" s="305" t="s">
        <v>792</v>
      </c>
      <c r="D10" s="305" t="s">
        <v>644</v>
      </c>
      <c r="E10" s="306"/>
      <c r="F10" s="306"/>
      <c r="G10" s="306"/>
      <c r="H10" s="306"/>
      <c r="I10" s="305" t="s">
        <v>724</v>
      </c>
      <c r="J10" s="305" t="s">
        <v>793</v>
      </c>
      <c r="K10" s="255" t="s">
        <v>2248</v>
      </c>
      <c r="L10" s="255" t="s">
        <v>940</v>
      </c>
    </row>
  </sheetData>
  <phoneticPr fontId="3" type="noConversion"/>
  <pageMargins left="0.59055118110236215" right="0.39370078740157483" top="0.39370078740157483" bottom="0.39370078740157483" header="0.19685039370078741" footer="0.19685039370078741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T398"/>
  <sheetViews>
    <sheetView showZeros="0" view="pageBreakPreview" zoomScale="85" zoomScaleNormal="100" zoomScaleSheetLayoutView="85" workbookViewId="0">
      <selection activeCell="AB15" sqref="AB15"/>
    </sheetView>
  </sheetViews>
  <sheetFormatPr defaultRowHeight="16.5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  <col min="13" max="14" width="6.625" hidden="1" customWidth="1"/>
    <col min="15" max="20" width="2.625" hidden="1" customWidth="1"/>
  </cols>
  <sheetData>
    <row r="1" spans="1:20" ht="30" customHeight="1">
      <c r="A1" s="247" t="s">
        <v>941</v>
      </c>
      <c r="B1" s="248"/>
      <c r="C1" s="248"/>
      <c r="D1" s="248"/>
      <c r="E1" s="248"/>
      <c r="F1" s="248"/>
    </row>
    <row r="2" spans="1:20" ht="30" customHeight="1">
      <c r="A2" s="249" t="s">
        <v>1746</v>
      </c>
      <c r="B2" s="250"/>
      <c r="C2" s="250"/>
      <c r="D2" s="250"/>
      <c r="E2" s="250"/>
      <c r="F2" s="251"/>
    </row>
    <row r="3" spans="1:20" ht="30" customHeight="1">
      <c r="A3" s="462" t="s">
        <v>942</v>
      </c>
      <c r="B3" s="462" t="s">
        <v>741</v>
      </c>
      <c r="C3" s="462" t="s">
        <v>742</v>
      </c>
      <c r="D3" s="462" t="s">
        <v>743</v>
      </c>
      <c r="E3" s="462" t="s">
        <v>744</v>
      </c>
      <c r="F3" s="462" t="s">
        <v>934</v>
      </c>
      <c r="G3" s="464" t="s">
        <v>935</v>
      </c>
      <c r="H3" s="464" t="s">
        <v>943</v>
      </c>
      <c r="I3" s="464" t="s">
        <v>944</v>
      </c>
      <c r="J3" s="464" t="s">
        <v>945</v>
      </c>
      <c r="K3" s="464" t="s">
        <v>117</v>
      </c>
      <c r="L3" s="464" t="s">
        <v>118</v>
      </c>
      <c r="M3" s="464" t="s">
        <v>125</v>
      </c>
      <c r="N3" s="464" t="s">
        <v>946</v>
      </c>
      <c r="O3" s="464" t="s">
        <v>349</v>
      </c>
      <c r="P3" s="464" t="s">
        <v>349</v>
      </c>
      <c r="Q3" s="464" t="s">
        <v>349</v>
      </c>
      <c r="R3" s="464" t="s">
        <v>349</v>
      </c>
      <c r="S3" s="464" t="s">
        <v>349</v>
      </c>
      <c r="T3" s="464" t="s">
        <v>337</v>
      </c>
    </row>
    <row r="4" spans="1:20" ht="20.100000000000001" customHeight="1">
      <c r="A4" s="307" t="s">
        <v>947</v>
      </c>
      <c r="B4" s="307"/>
      <c r="C4" s="307"/>
      <c r="D4" s="307"/>
      <c r="E4" s="307"/>
      <c r="F4" s="308" t="s">
        <v>936</v>
      </c>
      <c r="G4" s="464" t="s">
        <v>1844</v>
      </c>
      <c r="I4" s="464" t="s">
        <v>670</v>
      </c>
      <c r="J4" s="464" t="s">
        <v>671</v>
      </c>
      <c r="K4" s="464" t="s">
        <v>650</v>
      </c>
    </row>
    <row r="5" spans="1:20" ht="20.100000000000001" customHeight="1">
      <c r="A5" s="308" t="s">
        <v>50</v>
      </c>
      <c r="B5" s="309"/>
      <c r="C5" s="309"/>
      <c r="D5" s="309"/>
      <c r="E5" s="309"/>
      <c r="F5" s="308" t="s">
        <v>50</v>
      </c>
      <c r="G5" s="464" t="s">
        <v>1844</v>
      </c>
      <c r="H5" s="464" t="s">
        <v>563</v>
      </c>
      <c r="I5" s="464" t="s">
        <v>50</v>
      </c>
      <c r="J5" s="464" t="s">
        <v>50</v>
      </c>
      <c r="K5" s="464" t="s">
        <v>50</v>
      </c>
      <c r="L5">
        <v>1</v>
      </c>
      <c r="M5" s="464" t="s">
        <v>50</v>
      </c>
      <c r="O5" s="464" t="s">
        <v>50</v>
      </c>
      <c r="P5" s="464" t="s">
        <v>50</v>
      </c>
      <c r="Q5" s="464" t="s">
        <v>50</v>
      </c>
      <c r="R5" s="464" t="s">
        <v>50</v>
      </c>
      <c r="S5" s="464" t="s">
        <v>50</v>
      </c>
      <c r="T5" s="464" t="s">
        <v>50</v>
      </c>
    </row>
    <row r="6" spans="1:20" ht="20.100000000000001" customHeight="1">
      <c r="A6" s="308" t="s">
        <v>948</v>
      </c>
      <c r="B6" s="309"/>
      <c r="C6" s="309"/>
      <c r="D6" s="309"/>
      <c r="E6" s="309"/>
      <c r="F6" s="308" t="s">
        <v>50</v>
      </c>
      <c r="G6" s="464" t="s">
        <v>1844</v>
      </c>
      <c r="H6" s="464" t="s">
        <v>949</v>
      </c>
      <c r="I6" s="464" t="s">
        <v>50</v>
      </c>
      <c r="J6" s="464" t="s">
        <v>50</v>
      </c>
      <c r="K6" s="464" t="s">
        <v>50</v>
      </c>
      <c r="M6" s="464" t="s">
        <v>50</v>
      </c>
      <c r="O6" s="464" t="s">
        <v>50</v>
      </c>
      <c r="P6" s="464" t="s">
        <v>50</v>
      </c>
      <c r="Q6" s="464" t="s">
        <v>50</v>
      </c>
      <c r="R6" s="464" t="s">
        <v>50</v>
      </c>
      <c r="S6" s="464" t="s">
        <v>50</v>
      </c>
      <c r="T6" s="464" t="s">
        <v>50</v>
      </c>
    </row>
    <row r="7" spans="1:20" ht="20.100000000000001" customHeight="1">
      <c r="A7" s="308" t="s">
        <v>950</v>
      </c>
      <c r="B7" s="309"/>
      <c r="C7" s="309"/>
      <c r="D7" s="309"/>
      <c r="E7" s="309"/>
      <c r="F7" s="308" t="s">
        <v>50</v>
      </c>
      <c r="G7" s="464" t="s">
        <v>1844</v>
      </c>
      <c r="H7" s="464" t="s">
        <v>949</v>
      </c>
      <c r="I7" s="464" t="s">
        <v>951</v>
      </c>
      <c r="J7" s="464" t="s">
        <v>50</v>
      </c>
      <c r="K7" s="464" t="s">
        <v>50</v>
      </c>
      <c r="M7" s="464" t="s">
        <v>50</v>
      </c>
      <c r="O7" s="464" t="s">
        <v>50</v>
      </c>
      <c r="P7" s="464" t="s">
        <v>50</v>
      </c>
      <c r="Q7" s="464" t="s">
        <v>50</v>
      </c>
      <c r="R7" s="464" t="s">
        <v>50</v>
      </c>
      <c r="S7" s="464" t="s">
        <v>50</v>
      </c>
      <c r="T7" s="464" t="s">
        <v>50</v>
      </c>
    </row>
    <row r="8" spans="1:20" ht="20.100000000000001" customHeight="1">
      <c r="A8" s="308" t="s">
        <v>948</v>
      </c>
      <c r="B8" s="309"/>
      <c r="C8" s="309"/>
      <c r="D8" s="309"/>
      <c r="E8" s="309"/>
      <c r="F8" s="308" t="s">
        <v>50</v>
      </c>
      <c r="G8" s="464" t="s">
        <v>1844</v>
      </c>
      <c r="H8" s="464" t="s">
        <v>949</v>
      </c>
      <c r="I8" s="464" t="s">
        <v>50</v>
      </c>
      <c r="J8" s="464" t="s">
        <v>50</v>
      </c>
      <c r="K8" s="464" t="s">
        <v>50</v>
      </c>
      <c r="M8" s="464" t="s">
        <v>50</v>
      </c>
      <c r="O8" s="464" t="s">
        <v>50</v>
      </c>
      <c r="P8" s="464" t="s">
        <v>50</v>
      </c>
      <c r="Q8" s="464" t="s">
        <v>50</v>
      </c>
      <c r="R8" s="464" t="s">
        <v>50</v>
      </c>
      <c r="S8" s="464" t="s">
        <v>50</v>
      </c>
      <c r="T8" s="464" t="s">
        <v>50</v>
      </c>
    </row>
    <row r="9" spans="1:20" ht="20.100000000000001" customHeight="1">
      <c r="A9" s="308" t="s">
        <v>952</v>
      </c>
      <c r="B9" s="309"/>
      <c r="C9" s="309"/>
      <c r="D9" s="309"/>
      <c r="E9" s="309"/>
      <c r="F9" s="308" t="s">
        <v>50</v>
      </c>
      <c r="G9" s="464" t="s">
        <v>1844</v>
      </c>
      <c r="H9" s="464" t="s">
        <v>949</v>
      </c>
      <c r="I9" s="464" t="s">
        <v>953</v>
      </c>
      <c r="J9" s="464" t="s">
        <v>50</v>
      </c>
      <c r="K9" s="464" t="s">
        <v>50</v>
      </c>
      <c r="M9" s="464" t="s">
        <v>50</v>
      </c>
      <c r="O9" s="464" t="s">
        <v>50</v>
      </c>
      <c r="P9" s="464" t="s">
        <v>50</v>
      </c>
      <c r="Q9" s="464" t="s">
        <v>50</v>
      </c>
      <c r="R9" s="464" t="s">
        <v>50</v>
      </c>
      <c r="S9" s="464" t="s">
        <v>50</v>
      </c>
      <c r="T9" s="464" t="s">
        <v>50</v>
      </c>
    </row>
    <row r="10" spans="1:20" ht="20.100000000000001" customHeight="1">
      <c r="A10" s="308" t="s">
        <v>954</v>
      </c>
      <c r="B10" s="309"/>
      <c r="C10" s="309"/>
      <c r="D10" s="309"/>
      <c r="E10" s="309"/>
      <c r="F10" s="308" t="s">
        <v>50</v>
      </c>
      <c r="G10" s="464" t="s">
        <v>1844</v>
      </c>
      <c r="H10" s="464" t="s">
        <v>949</v>
      </c>
      <c r="I10" s="464" t="s">
        <v>955</v>
      </c>
      <c r="J10" s="464" t="s">
        <v>50</v>
      </c>
      <c r="K10" s="464" t="s">
        <v>50</v>
      </c>
      <c r="M10" s="464" t="s">
        <v>50</v>
      </c>
      <c r="O10" s="464" t="s">
        <v>50</v>
      </c>
      <c r="P10" s="464" t="s">
        <v>50</v>
      </c>
      <c r="Q10" s="464" t="s">
        <v>50</v>
      </c>
      <c r="R10" s="464" t="s">
        <v>50</v>
      </c>
      <c r="S10" s="464" t="s">
        <v>50</v>
      </c>
      <c r="T10" s="464" t="s">
        <v>50</v>
      </c>
    </row>
    <row r="11" spans="1:20" ht="20.100000000000001" customHeight="1">
      <c r="A11" s="308" t="s">
        <v>956</v>
      </c>
      <c r="B11" s="309"/>
      <c r="C11" s="309"/>
      <c r="D11" s="309"/>
      <c r="E11" s="309"/>
      <c r="F11" s="308" t="s">
        <v>50</v>
      </c>
      <c r="G11" s="464" t="s">
        <v>1844</v>
      </c>
      <c r="H11" s="464" t="s">
        <v>949</v>
      </c>
      <c r="I11" s="464" t="s">
        <v>957</v>
      </c>
      <c r="J11" s="464" t="s">
        <v>50</v>
      </c>
      <c r="K11" s="464" t="s">
        <v>50</v>
      </c>
      <c r="M11" s="464" t="s">
        <v>50</v>
      </c>
      <c r="O11" s="464" t="s">
        <v>50</v>
      </c>
      <c r="P11" s="464" t="s">
        <v>50</v>
      </c>
      <c r="Q11" s="464" t="s">
        <v>50</v>
      </c>
      <c r="R11" s="464" t="s">
        <v>50</v>
      </c>
      <c r="S11" s="464" t="s">
        <v>50</v>
      </c>
      <c r="T11" s="464" t="s">
        <v>50</v>
      </c>
    </row>
    <row r="12" spans="1:20" ht="20.100000000000001" customHeight="1">
      <c r="A12" s="308" t="s">
        <v>958</v>
      </c>
      <c r="B12" s="309"/>
      <c r="C12" s="309"/>
      <c r="D12" s="309"/>
      <c r="E12" s="309"/>
      <c r="F12" s="308" t="s">
        <v>50</v>
      </c>
      <c r="G12" s="464" t="s">
        <v>1844</v>
      </c>
      <c r="H12" s="464" t="s">
        <v>949</v>
      </c>
      <c r="I12" s="464" t="s">
        <v>959</v>
      </c>
      <c r="J12" s="464" t="s">
        <v>50</v>
      </c>
      <c r="K12" s="464" t="s">
        <v>50</v>
      </c>
      <c r="M12" s="464" t="s">
        <v>50</v>
      </c>
      <c r="O12" s="464" t="s">
        <v>50</v>
      </c>
      <c r="P12" s="464" t="s">
        <v>50</v>
      </c>
      <c r="Q12" s="464" t="s">
        <v>50</v>
      </c>
      <c r="R12" s="464" t="s">
        <v>50</v>
      </c>
      <c r="S12" s="464" t="s">
        <v>50</v>
      </c>
      <c r="T12" s="464" t="s">
        <v>50</v>
      </c>
    </row>
    <row r="13" spans="1:20" ht="20.100000000000001" customHeight="1">
      <c r="A13" s="308" t="s">
        <v>960</v>
      </c>
      <c r="B13" s="309"/>
      <c r="C13" s="309"/>
      <c r="D13" s="309"/>
      <c r="E13" s="309"/>
      <c r="F13" s="308" t="s">
        <v>50</v>
      </c>
      <c r="G13" s="464" t="s">
        <v>1844</v>
      </c>
      <c r="H13" s="464" t="s">
        <v>949</v>
      </c>
      <c r="I13" s="464" t="s">
        <v>961</v>
      </c>
      <c r="J13" s="464" t="s">
        <v>50</v>
      </c>
      <c r="K13" s="464" t="s">
        <v>50</v>
      </c>
      <c r="M13" s="464" t="s">
        <v>50</v>
      </c>
      <c r="O13" s="464" t="s">
        <v>50</v>
      </c>
      <c r="P13" s="464" t="s">
        <v>50</v>
      </c>
      <c r="Q13" s="464" t="s">
        <v>50</v>
      </c>
      <c r="R13" s="464" t="s">
        <v>50</v>
      </c>
      <c r="S13" s="464" t="s">
        <v>50</v>
      </c>
      <c r="T13" s="464" t="s">
        <v>50</v>
      </c>
    </row>
    <row r="14" spans="1:20" ht="20.100000000000001" customHeight="1">
      <c r="A14" s="308" t="s">
        <v>948</v>
      </c>
      <c r="B14" s="309"/>
      <c r="C14" s="309"/>
      <c r="D14" s="309"/>
      <c r="E14" s="309"/>
      <c r="F14" s="308" t="s">
        <v>50</v>
      </c>
      <c r="G14" s="464" t="s">
        <v>1844</v>
      </c>
      <c r="H14" s="464" t="s">
        <v>949</v>
      </c>
      <c r="I14" s="464" t="s">
        <v>50</v>
      </c>
      <c r="J14" s="464" t="s">
        <v>50</v>
      </c>
      <c r="K14" s="464" t="s">
        <v>50</v>
      </c>
      <c r="M14" s="464" t="s">
        <v>50</v>
      </c>
      <c r="O14" s="464" t="s">
        <v>50</v>
      </c>
      <c r="P14" s="464" t="s">
        <v>50</v>
      </c>
      <c r="Q14" s="464" t="s">
        <v>50</v>
      </c>
      <c r="R14" s="464" t="s">
        <v>50</v>
      </c>
      <c r="S14" s="464" t="s">
        <v>50</v>
      </c>
      <c r="T14" s="464" t="s">
        <v>50</v>
      </c>
    </row>
    <row r="15" spans="1:20" ht="20.100000000000001" customHeight="1">
      <c r="A15" s="308" t="s">
        <v>962</v>
      </c>
      <c r="B15" s="309"/>
      <c r="C15" s="309"/>
      <c r="D15" s="309"/>
      <c r="E15" s="309"/>
      <c r="F15" s="308" t="s">
        <v>50</v>
      </c>
      <c r="G15" s="464" t="s">
        <v>1844</v>
      </c>
      <c r="H15" s="464" t="s">
        <v>949</v>
      </c>
      <c r="I15" s="464" t="s">
        <v>963</v>
      </c>
      <c r="J15" s="464" t="s">
        <v>50</v>
      </c>
      <c r="K15" s="464" t="s">
        <v>50</v>
      </c>
      <c r="M15" s="464" t="s">
        <v>50</v>
      </c>
      <c r="O15" s="464" t="s">
        <v>50</v>
      </c>
      <c r="P15" s="464" t="s">
        <v>50</v>
      </c>
      <c r="Q15" s="464" t="s">
        <v>50</v>
      </c>
      <c r="R15" s="464" t="s">
        <v>50</v>
      </c>
      <c r="S15" s="464" t="s">
        <v>50</v>
      </c>
      <c r="T15" s="464" t="s">
        <v>50</v>
      </c>
    </row>
    <row r="16" spans="1:20" ht="20.100000000000001" customHeight="1">
      <c r="A16" s="308" t="s">
        <v>1604</v>
      </c>
      <c r="B16" s="309"/>
      <c r="C16" s="309"/>
      <c r="D16" s="309"/>
      <c r="E16" s="309"/>
      <c r="F16" s="308" t="s">
        <v>50</v>
      </c>
      <c r="G16" s="464" t="s">
        <v>1844</v>
      </c>
      <c r="H16" s="464" t="s">
        <v>949</v>
      </c>
      <c r="I16" s="464" t="s">
        <v>964</v>
      </c>
      <c r="J16" s="464" t="s">
        <v>50</v>
      </c>
      <c r="K16" s="464" t="s">
        <v>50</v>
      </c>
      <c r="M16" s="464" t="s">
        <v>50</v>
      </c>
      <c r="O16" s="464" t="s">
        <v>50</v>
      </c>
      <c r="P16" s="464" t="s">
        <v>50</v>
      </c>
      <c r="Q16" s="464" t="s">
        <v>50</v>
      </c>
      <c r="R16" s="464" t="s">
        <v>50</v>
      </c>
      <c r="S16" s="464" t="s">
        <v>50</v>
      </c>
      <c r="T16" s="464" t="s">
        <v>50</v>
      </c>
    </row>
    <row r="17" spans="1:20" ht="20.100000000000001" customHeight="1">
      <c r="A17" s="308" t="s">
        <v>965</v>
      </c>
      <c r="B17" s="309"/>
      <c r="C17" s="309"/>
      <c r="D17" s="309"/>
      <c r="E17" s="309"/>
      <c r="F17" s="308" t="s">
        <v>50</v>
      </c>
      <c r="G17" s="464" t="s">
        <v>1844</v>
      </c>
      <c r="H17" s="464" t="s">
        <v>949</v>
      </c>
      <c r="I17" s="464" t="s">
        <v>966</v>
      </c>
      <c r="J17" s="464" t="s">
        <v>50</v>
      </c>
      <c r="K17" s="464" t="s">
        <v>50</v>
      </c>
      <c r="M17" s="464" t="s">
        <v>50</v>
      </c>
      <c r="O17" s="464" t="s">
        <v>50</v>
      </c>
      <c r="P17" s="464" t="s">
        <v>50</v>
      </c>
      <c r="Q17" s="464" t="s">
        <v>50</v>
      </c>
      <c r="R17" s="464" t="s">
        <v>50</v>
      </c>
      <c r="S17" s="464" t="s">
        <v>50</v>
      </c>
      <c r="T17" s="464" t="s">
        <v>50</v>
      </c>
    </row>
    <row r="18" spans="1:20" ht="20.100000000000001" customHeight="1">
      <c r="A18" s="308" t="s">
        <v>967</v>
      </c>
      <c r="B18" s="309"/>
      <c r="C18" s="309"/>
      <c r="D18" s="309"/>
      <c r="E18" s="309"/>
      <c r="F18" s="308" t="s">
        <v>50</v>
      </c>
      <c r="G18" s="464" t="s">
        <v>1844</v>
      </c>
      <c r="H18" s="464" t="s">
        <v>949</v>
      </c>
      <c r="I18" s="464" t="s">
        <v>968</v>
      </c>
      <c r="J18" s="464" t="s">
        <v>50</v>
      </c>
      <c r="K18" s="464" t="s">
        <v>50</v>
      </c>
      <c r="M18" s="464" t="s">
        <v>50</v>
      </c>
      <c r="O18" s="464" t="s">
        <v>50</v>
      </c>
      <c r="P18" s="464" t="s">
        <v>50</v>
      </c>
      <c r="Q18" s="464" t="s">
        <v>50</v>
      </c>
      <c r="R18" s="464" t="s">
        <v>50</v>
      </c>
      <c r="S18" s="464" t="s">
        <v>50</v>
      </c>
      <c r="T18" s="464" t="s">
        <v>50</v>
      </c>
    </row>
    <row r="19" spans="1:20" ht="20.100000000000001" customHeight="1">
      <c r="A19" s="308" t="s">
        <v>960</v>
      </c>
      <c r="B19" s="309"/>
      <c r="C19" s="309"/>
      <c r="D19" s="309"/>
      <c r="E19" s="309"/>
      <c r="F19" s="308" t="s">
        <v>50</v>
      </c>
      <c r="G19" s="464" t="s">
        <v>1844</v>
      </c>
      <c r="H19" s="464" t="s">
        <v>949</v>
      </c>
      <c r="I19" s="464" t="s">
        <v>961</v>
      </c>
      <c r="J19" s="464" t="s">
        <v>50</v>
      </c>
      <c r="K19" s="464" t="s">
        <v>50</v>
      </c>
      <c r="M19" s="464" t="s">
        <v>50</v>
      </c>
      <c r="O19" s="464" t="s">
        <v>50</v>
      </c>
      <c r="P19" s="464" t="s">
        <v>50</v>
      </c>
      <c r="Q19" s="464" t="s">
        <v>50</v>
      </c>
      <c r="R19" s="464" t="s">
        <v>50</v>
      </c>
      <c r="S19" s="464" t="s">
        <v>50</v>
      </c>
      <c r="T19" s="464" t="s">
        <v>50</v>
      </c>
    </row>
    <row r="20" spans="1:20" ht="20.100000000000001" customHeight="1">
      <c r="A20" s="308" t="s">
        <v>948</v>
      </c>
      <c r="B20" s="309"/>
      <c r="C20" s="309"/>
      <c r="D20" s="309"/>
      <c r="E20" s="309"/>
      <c r="F20" s="308" t="s">
        <v>50</v>
      </c>
      <c r="G20" s="464" t="s">
        <v>1844</v>
      </c>
      <c r="H20" s="464" t="s">
        <v>949</v>
      </c>
      <c r="I20" s="464" t="s">
        <v>50</v>
      </c>
      <c r="J20" s="464" t="s">
        <v>50</v>
      </c>
      <c r="K20" s="464" t="s">
        <v>50</v>
      </c>
      <c r="M20" s="464" t="s">
        <v>50</v>
      </c>
      <c r="O20" s="464" t="s">
        <v>50</v>
      </c>
      <c r="P20" s="464" t="s">
        <v>50</v>
      </c>
      <c r="Q20" s="464" t="s">
        <v>50</v>
      </c>
      <c r="R20" s="464" t="s">
        <v>50</v>
      </c>
      <c r="S20" s="464" t="s">
        <v>50</v>
      </c>
      <c r="T20" s="464" t="s">
        <v>50</v>
      </c>
    </row>
    <row r="21" spans="1:20" ht="20.100000000000001" customHeight="1">
      <c r="A21" s="308" t="s">
        <v>969</v>
      </c>
      <c r="B21" s="309"/>
      <c r="C21" s="309"/>
      <c r="D21" s="309"/>
      <c r="E21" s="309"/>
      <c r="F21" s="308" t="s">
        <v>50</v>
      </c>
      <c r="G21" s="464" t="s">
        <v>1844</v>
      </c>
      <c r="H21" s="464" t="s">
        <v>949</v>
      </c>
      <c r="I21" s="464" t="s">
        <v>970</v>
      </c>
      <c r="J21" s="464" t="s">
        <v>50</v>
      </c>
      <c r="K21" s="464" t="s">
        <v>50</v>
      </c>
      <c r="M21" s="464" t="s">
        <v>50</v>
      </c>
      <c r="O21" s="464" t="s">
        <v>50</v>
      </c>
      <c r="P21" s="464" t="s">
        <v>50</v>
      </c>
      <c r="Q21" s="464" t="s">
        <v>50</v>
      </c>
      <c r="R21" s="464" t="s">
        <v>50</v>
      </c>
      <c r="S21" s="464" t="s">
        <v>50</v>
      </c>
      <c r="T21" s="464" t="s">
        <v>50</v>
      </c>
    </row>
    <row r="22" spans="1:20" ht="20.100000000000001" customHeight="1">
      <c r="A22" s="308" t="s">
        <v>971</v>
      </c>
      <c r="B22" s="309"/>
      <c r="C22" s="309"/>
      <c r="D22" s="309"/>
      <c r="E22" s="309"/>
      <c r="F22" s="308" t="s">
        <v>50</v>
      </c>
      <c r="G22" s="464" t="s">
        <v>1844</v>
      </c>
      <c r="H22" s="464" t="s">
        <v>949</v>
      </c>
      <c r="I22" s="464" t="s">
        <v>972</v>
      </c>
      <c r="J22" s="464" t="s">
        <v>50</v>
      </c>
      <c r="K22" s="464" t="s">
        <v>50</v>
      </c>
      <c r="M22" s="464" t="s">
        <v>50</v>
      </c>
      <c r="O22" s="464" t="s">
        <v>50</v>
      </c>
      <c r="P22" s="464" t="s">
        <v>50</v>
      </c>
      <c r="Q22" s="464" t="s">
        <v>50</v>
      </c>
      <c r="R22" s="464" t="s">
        <v>50</v>
      </c>
      <c r="S22" s="464" t="s">
        <v>50</v>
      </c>
      <c r="T22" s="464" t="s">
        <v>50</v>
      </c>
    </row>
    <row r="23" spans="1:20" ht="20.100000000000001" customHeight="1">
      <c r="A23" s="308" t="s">
        <v>960</v>
      </c>
      <c r="B23" s="309"/>
      <c r="C23" s="309"/>
      <c r="D23" s="309"/>
      <c r="E23" s="309"/>
      <c r="F23" s="308" t="s">
        <v>50</v>
      </c>
      <c r="G23" s="464" t="s">
        <v>1844</v>
      </c>
      <c r="H23" s="464" t="s">
        <v>949</v>
      </c>
      <c r="I23" s="464" t="s">
        <v>961</v>
      </c>
      <c r="J23" s="464" t="s">
        <v>50</v>
      </c>
      <c r="K23" s="464" t="s">
        <v>50</v>
      </c>
      <c r="M23" s="464" t="s">
        <v>50</v>
      </c>
      <c r="O23" s="464" t="s">
        <v>50</v>
      </c>
      <c r="P23" s="464" t="s">
        <v>50</v>
      </c>
      <c r="Q23" s="464" t="s">
        <v>50</v>
      </c>
      <c r="R23" s="464" t="s">
        <v>50</v>
      </c>
      <c r="S23" s="464" t="s">
        <v>50</v>
      </c>
      <c r="T23" s="464" t="s">
        <v>50</v>
      </c>
    </row>
    <row r="24" spans="1:20" ht="20.100000000000001" customHeight="1">
      <c r="A24" s="308" t="s">
        <v>973</v>
      </c>
      <c r="B24" s="306"/>
      <c r="C24" s="306"/>
      <c r="D24" s="306"/>
      <c r="E24" s="306"/>
      <c r="F24" s="310"/>
    </row>
    <row r="25" spans="1:20" ht="20.100000000000001" customHeight="1">
      <c r="A25" s="310"/>
      <c r="B25" s="310"/>
      <c r="C25" s="310"/>
      <c r="D25" s="310"/>
      <c r="E25" s="310"/>
      <c r="F25" s="310"/>
    </row>
    <row r="26" spans="1:20" ht="20.100000000000001" customHeight="1">
      <c r="A26" s="310" t="s">
        <v>974</v>
      </c>
      <c r="B26" s="310"/>
      <c r="C26" s="310"/>
      <c r="D26" s="310"/>
      <c r="E26" s="310"/>
      <c r="F26" s="308" t="s">
        <v>50</v>
      </c>
      <c r="G26" s="464" t="s">
        <v>1864</v>
      </c>
      <c r="I26" s="464" t="s">
        <v>712</v>
      </c>
      <c r="J26" s="464" t="s">
        <v>713</v>
      </c>
      <c r="K26" s="464" t="s">
        <v>685</v>
      </c>
    </row>
    <row r="27" spans="1:20" ht="20.100000000000001" customHeight="1">
      <c r="A27" s="308" t="s">
        <v>50</v>
      </c>
      <c r="B27" s="309"/>
      <c r="C27" s="309"/>
      <c r="D27" s="309"/>
      <c r="E27" s="309"/>
      <c r="F27" s="308" t="s">
        <v>50</v>
      </c>
      <c r="G27" s="464" t="s">
        <v>1864</v>
      </c>
      <c r="H27" s="464" t="s">
        <v>563</v>
      </c>
      <c r="I27" s="464" t="s">
        <v>50</v>
      </c>
      <c r="J27" s="464" t="s">
        <v>50</v>
      </c>
      <c r="K27" s="464" t="s">
        <v>50</v>
      </c>
      <c r="L27">
        <v>1</v>
      </c>
      <c r="M27" s="464" t="s">
        <v>50</v>
      </c>
      <c r="O27" s="464" t="s">
        <v>50</v>
      </c>
      <c r="P27" s="464" t="s">
        <v>50</v>
      </c>
      <c r="Q27" s="464" t="s">
        <v>50</v>
      </c>
      <c r="R27" s="464" t="s">
        <v>50</v>
      </c>
      <c r="S27" s="464" t="s">
        <v>50</v>
      </c>
      <c r="T27" s="464" t="s">
        <v>50</v>
      </c>
    </row>
    <row r="28" spans="1:20" ht="20.100000000000001" customHeight="1">
      <c r="A28" s="308" t="s">
        <v>1605</v>
      </c>
      <c r="B28" s="309"/>
      <c r="C28" s="309"/>
      <c r="D28" s="309"/>
      <c r="E28" s="309"/>
      <c r="F28" s="308" t="s">
        <v>50</v>
      </c>
      <c r="G28" s="464" t="s">
        <v>1864</v>
      </c>
      <c r="H28" s="464" t="s">
        <v>949</v>
      </c>
      <c r="I28" s="464" t="s">
        <v>975</v>
      </c>
      <c r="J28" s="464" t="s">
        <v>50</v>
      </c>
      <c r="K28" s="464" t="s">
        <v>50</v>
      </c>
      <c r="M28" s="464" t="s">
        <v>50</v>
      </c>
      <c r="O28" s="464" t="s">
        <v>50</v>
      </c>
      <c r="P28" s="464" t="s">
        <v>50</v>
      </c>
      <c r="Q28" s="464" t="s">
        <v>50</v>
      </c>
      <c r="R28" s="464" t="s">
        <v>50</v>
      </c>
      <c r="S28" s="464" t="s">
        <v>50</v>
      </c>
      <c r="T28" s="464" t="s">
        <v>50</v>
      </c>
    </row>
    <row r="29" spans="1:20" ht="20.100000000000001" customHeight="1">
      <c r="A29" s="308" t="s">
        <v>948</v>
      </c>
      <c r="B29" s="309"/>
      <c r="C29" s="309"/>
      <c r="D29" s="309"/>
      <c r="E29" s="309"/>
      <c r="F29" s="308" t="s">
        <v>50</v>
      </c>
      <c r="G29" s="464" t="s">
        <v>1864</v>
      </c>
      <c r="H29" s="464" t="s">
        <v>949</v>
      </c>
      <c r="I29" s="464" t="s">
        <v>50</v>
      </c>
      <c r="J29" s="464" t="s">
        <v>50</v>
      </c>
      <c r="K29" s="464" t="s">
        <v>50</v>
      </c>
      <c r="M29" s="464" t="s">
        <v>50</v>
      </c>
      <c r="O29" s="464" t="s">
        <v>50</v>
      </c>
      <c r="P29" s="464" t="s">
        <v>50</v>
      </c>
      <c r="Q29" s="464" t="s">
        <v>50</v>
      </c>
      <c r="R29" s="464" t="s">
        <v>50</v>
      </c>
      <c r="S29" s="464" t="s">
        <v>50</v>
      </c>
      <c r="T29" s="464" t="s">
        <v>50</v>
      </c>
    </row>
    <row r="30" spans="1:20" ht="20.100000000000001" customHeight="1">
      <c r="A30" s="308" t="s">
        <v>976</v>
      </c>
      <c r="B30" s="309"/>
      <c r="C30" s="309"/>
      <c r="D30" s="309"/>
      <c r="E30" s="309"/>
      <c r="F30" s="308" t="s">
        <v>50</v>
      </c>
      <c r="G30" s="464" t="s">
        <v>1864</v>
      </c>
      <c r="H30" s="464" t="s">
        <v>949</v>
      </c>
      <c r="I30" s="464" t="s">
        <v>977</v>
      </c>
      <c r="J30" s="464" t="s">
        <v>50</v>
      </c>
      <c r="K30" s="464" t="s">
        <v>50</v>
      </c>
      <c r="M30" s="464" t="s">
        <v>50</v>
      </c>
      <c r="O30" s="464" t="s">
        <v>50</v>
      </c>
      <c r="P30" s="464" t="s">
        <v>50</v>
      </c>
      <c r="Q30" s="464" t="s">
        <v>50</v>
      </c>
      <c r="R30" s="464" t="s">
        <v>50</v>
      </c>
      <c r="S30" s="464" t="s">
        <v>50</v>
      </c>
      <c r="T30" s="464" t="s">
        <v>50</v>
      </c>
    </row>
    <row r="31" spans="1:20" ht="20.100000000000001" customHeight="1">
      <c r="A31" s="308" t="s">
        <v>978</v>
      </c>
      <c r="B31" s="309"/>
      <c r="C31" s="309"/>
      <c r="D31" s="309"/>
      <c r="E31" s="309"/>
      <c r="F31" s="308" t="s">
        <v>50</v>
      </c>
      <c r="G31" s="464" t="s">
        <v>1864</v>
      </c>
      <c r="H31" s="464" t="s">
        <v>949</v>
      </c>
      <c r="I31" s="464" t="s">
        <v>979</v>
      </c>
      <c r="J31" s="464" t="s">
        <v>50</v>
      </c>
      <c r="K31" s="464" t="s">
        <v>50</v>
      </c>
      <c r="M31" s="464" t="s">
        <v>50</v>
      </c>
      <c r="O31" s="464" t="s">
        <v>50</v>
      </c>
      <c r="P31" s="464" t="s">
        <v>50</v>
      </c>
      <c r="Q31" s="464" t="s">
        <v>50</v>
      </c>
      <c r="R31" s="464" t="s">
        <v>50</v>
      </c>
      <c r="S31" s="464" t="s">
        <v>50</v>
      </c>
      <c r="T31" s="464" t="s">
        <v>50</v>
      </c>
    </row>
    <row r="32" spans="1:20" ht="20.100000000000001" customHeight="1">
      <c r="A32" s="308" t="s">
        <v>980</v>
      </c>
      <c r="B32" s="309"/>
      <c r="C32" s="309"/>
      <c r="D32" s="309"/>
      <c r="E32" s="309"/>
      <c r="F32" s="308" t="s">
        <v>50</v>
      </c>
      <c r="G32" s="464" t="s">
        <v>1864</v>
      </c>
      <c r="H32" s="464" t="s">
        <v>949</v>
      </c>
      <c r="I32" s="464" t="s">
        <v>981</v>
      </c>
      <c r="J32" s="464" t="s">
        <v>50</v>
      </c>
      <c r="K32" s="464" t="s">
        <v>50</v>
      </c>
      <c r="M32" s="464" t="s">
        <v>50</v>
      </c>
      <c r="O32" s="464" t="s">
        <v>50</v>
      </c>
      <c r="P32" s="464" t="s">
        <v>50</v>
      </c>
      <c r="Q32" s="464" t="s">
        <v>50</v>
      </c>
      <c r="R32" s="464" t="s">
        <v>50</v>
      </c>
      <c r="S32" s="464" t="s">
        <v>50</v>
      </c>
      <c r="T32" s="464" t="s">
        <v>50</v>
      </c>
    </row>
    <row r="33" spans="1:20" ht="20.100000000000001" customHeight="1">
      <c r="A33" s="308" t="s">
        <v>982</v>
      </c>
      <c r="B33" s="309"/>
      <c r="C33" s="309"/>
      <c r="D33" s="309"/>
      <c r="E33" s="309"/>
      <c r="F33" s="308" t="s">
        <v>50</v>
      </c>
      <c r="G33" s="464" t="s">
        <v>1864</v>
      </c>
      <c r="H33" s="464" t="s">
        <v>949</v>
      </c>
      <c r="I33" s="464" t="s">
        <v>983</v>
      </c>
      <c r="J33" s="464" t="s">
        <v>50</v>
      </c>
      <c r="K33" s="464" t="s">
        <v>50</v>
      </c>
      <c r="M33" s="464" t="s">
        <v>50</v>
      </c>
      <c r="O33" s="464" t="s">
        <v>50</v>
      </c>
      <c r="P33" s="464" t="s">
        <v>50</v>
      </c>
      <c r="Q33" s="464" t="s">
        <v>50</v>
      </c>
      <c r="R33" s="464" t="s">
        <v>50</v>
      </c>
      <c r="S33" s="464" t="s">
        <v>50</v>
      </c>
      <c r="T33" s="464" t="s">
        <v>50</v>
      </c>
    </row>
    <row r="34" spans="1:20" ht="20.100000000000001" customHeight="1">
      <c r="A34" s="308" t="s">
        <v>984</v>
      </c>
      <c r="B34" s="309"/>
      <c r="C34" s="309"/>
      <c r="D34" s="309"/>
      <c r="E34" s="309"/>
      <c r="F34" s="308" t="s">
        <v>50</v>
      </c>
      <c r="G34" s="464" t="s">
        <v>1864</v>
      </c>
      <c r="H34" s="464" t="s">
        <v>949</v>
      </c>
      <c r="I34" s="464" t="s">
        <v>985</v>
      </c>
      <c r="J34" s="464" t="s">
        <v>50</v>
      </c>
      <c r="K34" s="464" t="s">
        <v>50</v>
      </c>
      <c r="M34" s="464" t="s">
        <v>50</v>
      </c>
      <c r="O34" s="464" t="s">
        <v>50</v>
      </c>
      <c r="P34" s="464" t="s">
        <v>50</v>
      </c>
      <c r="Q34" s="464" t="s">
        <v>50</v>
      </c>
      <c r="R34" s="464" t="s">
        <v>50</v>
      </c>
      <c r="S34" s="464" t="s">
        <v>50</v>
      </c>
      <c r="T34" s="464" t="s">
        <v>50</v>
      </c>
    </row>
    <row r="35" spans="1:20" ht="20.100000000000001" customHeight="1">
      <c r="A35" s="308" t="s">
        <v>948</v>
      </c>
      <c r="B35" s="309"/>
      <c r="C35" s="309"/>
      <c r="D35" s="309"/>
      <c r="E35" s="309"/>
      <c r="F35" s="308" t="s">
        <v>50</v>
      </c>
      <c r="G35" s="464" t="s">
        <v>1864</v>
      </c>
      <c r="H35" s="464" t="s">
        <v>949</v>
      </c>
      <c r="I35" s="464" t="s">
        <v>948</v>
      </c>
      <c r="J35" s="464" t="s">
        <v>50</v>
      </c>
      <c r="K35" s="464" t="s">
        <v>50</v>
      </c>
      <c r="M35" s="464" t="s">
        <v>50</v>
      </c>
      <c r="O35" s="464" t="s">
        <v>50</v>
      </c>
      <c r="P35" s="464" t="s">
        <v>50</v>
      </c>
      <c r="Q35" s="464" t="s">
        <v>50</v>
      </c>
      <c r="R35" s="464" t="s">
        <v>50</v>
      </c>
      <c r="S35" s="464" t="s">
        <v>50</v>
      </c>
      <c r="T35" s="464" t="s">
        <v>50</v>
      </c>
    </row>
    <row r="36" spans="1:20" ht="20.100000000000001" customHeight="1">
      <c r="A36" s="308" t="s">
        <v>1606</v>
      </c>
      <c r="B36" s="309"/>
      <c r="C36" s="309"/>
      <c r="D36" s="309"/>
      <c r="E36" s="309"/>
      <c r="F36" s="308" t="s">
        <v>50</v>
      </c>
      <c r="G36" s="464" t="s">
        <v>1864</v>
      </c>
      <c r="H36" s="464" t="s">
        <v>949</v>
      </c>
      <c r="I36" s="464" t="s">
        <v>986</v>
      </c>
      <c r="J36" s="464" t="s">
        <v>50</v>
      </c>
      <c r="K36" s="464" t="s">
        <v>50</v>
      </c>
      <c r="M36" s="464" t="s">
        <v>50</v>
      </c>
      <c r="O36" s="464" t="s">
        <v>50</v>
      </c>
      <c r="P36" s="464" t="s">
        <v>50</v>
      </c>
      <c r="Q36" s="464" t="s">
        <v>50</v>
      </c>
      <c r="R36" s="464" t="s">
        <v>50</v>
      </c>
      <c r="S36" s="464" t="s">
        <v>50</v>
      </c>
      <c r="T36" s="464" t="s">
        <v>50</v>
      </c>
    </row>
    <row r="37" spans="1:20" ht="20.100000000000001" customHeight="1">
      <c r="A37" s="308" t="s">
        <v>987</v>
      </c>
      <c r="B37" s="309"/>
      <c r="C37" s="309"/>
      <c r="D37" s="309"/>
      <c r="E37" s="309"/>
      <c r="F37" s="308" t="s">
        <v>50</v>
      </c>
      <c r="G37" s="464" t="s">
        <v>1864</v>
      </c>
      <c r="H37" s="464" t="s">
        <v>949</v>
      </c>
      <c r="I37" s="464" t="s">
        <v>988</v>
      </c>
      <c r="J37" s="464" t="s">
        <v>50</v>
      </c>
      <c r="K37" s="464" t="s">
        <v>50</v>
      </c>
      <c r="M37" s="464" t="s">
        <v>50</v>
      </c>
      <c r="O37" s="464" t="s">
        <v>50</v>
      </c>
      <c r="P37" s="464" t="s">
        <v>50</v>
      </c>
      <c r="Q37" s="464" t="s">
        <v>50</v>
      </c>
      <c r="R37" s="464" t="s">
        <v>50</v>
      </c>
      <c r="S37" s="464" t="s">
        <v>50</v>
      </c>
      <c r="T37" s="464" t="s">
        <v>50</v>
      </c>
    </row>
    <row r="38" spans="1:20" ht="20.100000000000001" customHeight="1">
      <c r="A38" s="308" t="s">
        <v>989</v>
      </c>
      <c r="B38" s="309"/>
      <c r="C38" s="309"/>
      <c r="D38" s="309"/>
      <c r="E38" s="309"/>
      <c r="F38" s="308" t="s">
        <v>50</v>
      </c>
      <c r="G38" s="464" t="s">
        <v>1864</v>
      </c>
      <c r="H38" s="464" t="s">
        <v>949</v>
      </c>
      <c r="I38" s="464" t="s">
        <v>990</v>
      </c>
      <c r="J38" s="464" t="s">
        <v>50</v>
      </c>
      <c r="K38" s="464" t="s">
        <v>50</v>
      </c>
      <c r="M38" s="464" t="s">
        <v>50</v>
      </c>
      <c r="O38" s="464" t="s">
        <v>50</v>
      </c>
      <c r="P38" s="464" t="s">
        <v>50</v>
      </c>
      <c r="Q38" s="464" t="s">
        <v>50</v>
      </c>
      <c r="R38" s="464" t="s">
        <v>50</v>
      </c>
      <c r="S38" s="464" t="s">
        <v>50</v>
      </c>
      <c r="T38" s="464" t="s">
        <v>50</v>
      </c>
    </row>
    <row r="39" spans="1:20" ht="20.100000000000001" customHeight="1">
      <c r="A39" s="308" t="s">
        <v>948</v>
      </c>
      <c r="B39" s="309"/>
      <c r="C39" s="309"/>
      <c r="D39" s="309"/>
      <c r="E39" s="309"/>
      <c r="F39" s="308" t="s">
        <v>50</v>
      </c>
      <c r="G39" s="464" t="s">
        <v>1864</v>
      </c>
      <c r="H39" s="464" t="s">
        <v>949</v>
      </c>
      <c r="I39" s="464" t="s">
        <v>948</v>
      </c>
      <c r="J39" s="464" t="s">
        <v>50</v>
      </c>
      <c r="K39" s="464" t="s">
        <v>50</v>
      </c>
      <c r="M39" s="464" t="s">
        <v>50</v>
      </c>
      <c r="O39" s="464" t="s">
        <v>50</v>
      </c>
      <c r="P39" s="464" t="s">
        <v>50</v>
      </c>
      <c r="Q39" s="464" t="s">
        <v>50</v>
      </c>
      <c r="R39" s="464" t="s">
        <v>50</v>
      </c>
      <c r="S39" s="464" t="s">
        <v>50</v>
      </c>
      <c r="T39" s="464" t="s">
        <v>50</v>
      </c>
    </row>
    <row r="40" spans="1:20" ht="20.100000000000001" customHeight="1">
      <c r="A40" s="308" t="s">
        <v>960</v>
      </c>
      <c r="B40" s="309"/>
      <c r="C40" s="309"/>
      <c r="D40" s="309"/>
      <c r="E40" s="309"/>
      <c r="F40" s="308" t="s">
        <v>50</v>
      </c>
      <c r="G40" s="464" t="s">
        <v>1864</v>
      </c>
      <c r="H40" s="464" t="s">
        <v>949</v>
      </c>
      <c r="I40" s="464" t="s">
        <v>961</v>
      </c>
      <c r="J40" s="464" t="s">
        <v>50</v>
      </c>
      <c r="K40" s="464" t="s">
        <v>50</v>
      </c>
      <c r="M40" s="464" t="s">
        <v>50</v>
      </c>
      <c r="O40" s="464" t="s">
        <v>50</v>
      </c>
      <c r="P40" s="464" t="s">
        <v>50</v>
      </c>
      <c r="Q40" s="464" t="s">
        <v>50</v>
      </c>
      <c r="R40" s="464" t="s">
        <v>50</v>
      </c>
      <c r="S40" s="464" t="s">
        <v>50</v>
      </c>
      <c r="T40" s="464" t="s">
        <v>50</v>
      </c>
    </row>
    <row r="41" spans="1:20" ht="20.100000000000001" customHeight="1">
      <c r="A41" s="308" t="s">
        <v>973</v>
      </c>
      <c r="B41" s="306"/>
      <c r="C41" s="306"/>
      <c r="D41" s="306"/>
      <c r="E41" s="306"/>
      <c r="F41" s="310"/>
    </row>
    <row r="42" spans="1:20" ht="20.100000000000001" customHeight="1">
      <c r="A42" s="310"/>
      <c r="B42" s="310"/>
      <c r="C42" s="310"/>
      <c r="D42" s="310"/>
      <c r="E42" s="310"/>
      <c r="F42" s="310"/>
    </row>
    <row r="43" spans="1:20" ht="20.100000000000001" customHeight="1">
      <c r="A43" s="310" t="s">
        <v>991</v>
      </c>
      <c r="B43" s="310"/>
      <c r="C43" s="310"/>
      <c r="D43" s="310"/>
      <c r="E43" s="310"/>
      <c r="F43" s="308" t="s">
        <v>50</v>
      </c>
      <c r="G43" s="464" t="s">
        <v>1866</v>
      </c>
      <c r="I43" s="464" t="s">
        <v>715</v>
      </c>
      <c r="J43" s="464" t="s">
        <v>716</v>
      </c>
      <c r="K43" s="464" t="s">
        <v>678</v>
      </c>
    </row>
    <row r="44" spans="1:20" ht="20.100000000000001" customHeight="1">
      <c r="A44" s="308" t="s">
        <v>50</v>
      </c>
      <c r="B44" s="309"/>
      <c r="C44" s="309"/>
      <c r="D44" s="309"/>
      <c r="E44" s="309"/>
      <c r="F44" s="308" t="s">
        <v>50</v>
      </c>
      <c r="G44" s="464" t="s">
        <v>1866</v>
      </c>
      <c r="H44" s="464" t="s">
        <v>563</v>
      </c>
      <c r="I44" s="464" t="s">
        <v>50</v>
      </c>
      <c r="J44" s="464" t="s">
        <v>50</v>
      </c>
      <c r="K44" s="464" t="s">
        <v>50</v>
      </c>
      <c r="L44">
        <v>1</v>
      </c>
      <c r="M44" s="464" t="s">
        <v>50</v>
      </c>
      <c r="O44" s="464" t="s">
        <v>50</v>
      </c>
      <c r="P44" s="464" t="s">
        <v>50</v>
      </c>
      <c r="Q44" s="464" t="s">
        <v>50</v>
      </c>
      <c r="R44" s="464" t="s">
        <v>50</v>
      </c>
      <c r="S44" s="464" t="s">
        <v>50</v>
      </c>
      <c r="T44" s="464" t="s">
        <v>50</v>
      </c>
    </row>
    <row r="45" spans="1:20" ht="20.100000000000001" customHeight="1">
      <c r="A45" s="308" t="s">
        <v>992</v>
      </c>
      <c r="B45" s="309"/>
      <c r="C45" s="309"/>
      <c r="D45" s="309"/>
      <c r="E45" s="309"/>
      <c r="F45" s="308" t="s">
        <v>50</v>
      </c>
      <c r="G45" s="464" t="s">
        <v>1866</v>
      </c>
      <c r="H45" s="464" t="s">
        <v>949</v>
      </c>
      <c r="I45" s="464" t="s">
        <v>993</v>
      </c>
      <c r="J45" s="464" t="s">
        <v>50</v>
      </c>
      <c r="K45" s="464" t="s">
        <v>50</v>
      </c>
      <c r="M45" s="464" t="s">
        <v>50</v>
      </c>
      <c r="O45" s="464" t="s">
        <v>50</v>
      </c>
      <c r="P45" s="464" t="s">
        <v>50</v>
      </c>
      <c r="Q45" s="464" t="s">
        <v>50</v>
      </c>
      <c r="R45" s="464" t="s">
        <v>50</v>
      </c>
      <c r="S45" s="464" t="s">
        <v>50</v>
      </c>
      <c r="T45" s="464" t="s">
        <v>50</v>
      </c>
    </row>
    <row r="46" spans="1:20" ht="20.100000000000001" customHeight="1">
      <c r="A46" s="308" t="s">
        <v>948</v>
      </c>
      <c r="B46" s="309"/>
      <c r="C46" s="309"/>
      <c r="D46" s="309"/>
      <c r="E46" s="309"/>
      <c r="F46" s="308" t="s">
        <v>50</v>
      </c>
      <c r="G46" s="464" t="s">
        <v>1866</v>
      </c>
      <c r="H46" s="464" t="s">
        <v>949</v>
      </c>
      <c r="I46" s="464" t="s">
        <v>50</v>
      </c>
      <c r="J46" s="464" t="s">
        <v>50</v>
      </c>
      <c r="K46" s="464" t="s">
        <v>50</v>
      </c>
      <c r="M46" s="464" t="s">
        <v>50</v>
      </c>
      <c r="O46" s="464" t="s">
        <v>50</v>
      </c>
      <c r="P46" s="464" t="s">
        <v>50</v>
      </c>
      <c r="Q46" s="464" t="s">
        <v>50</v>
      </c>
      <c r="R46" s="464" t="s">
        <v>50</v>
      </c>
      <c r="S46" s="464" t="s">
        <v>50</v>
      </c>
      <c r="T46" s="464" t="s">
        <v>50</v>
      </c>
    </row>
    <row r="47" spans="1:20" ht="20.100000000000001" customHeight="1">
      <c r="A47" s="308" t="s">
        <v>994</v>
      </c>
      <c r="B47" s="309"/>
      <c r="C47" s="309"/>
      <c r="D47" s="309"/>
      <c r="E47" s="309"/>
      <c r="F47" s="308" t="s">
        <v>50</v>
      </c>
      <c r="G47" s="464" t="s">
        <v>1866</v>
      </c>
      <c r="H47" s="464" t="s">
        <v>949</v>
      </c>
      <c r="I47" s="464" t="s">
        <v>995</v>
      </c>
      <c r="J47" s="464" t="s">
        <v>50</v>
      </c>
      <c r="K47" s="464" t="s">
        <v>50</v>
      </c>
      <c r="M47" s="464" t="s">
        <v>50</v>
      </c>
      <c r="O47" s="464" t="s">
        <v>50</v>
      </c>
      <c r="P47" s="464" t="s">
        <v>50</v>
      </c>
      <c r="Q47" s="464" t="s">
        <v>50</v>
      </c>
      <c r="R47" s="464" t="s">
        <v>50</v>
      </c>
      <c r="S47" s="464" t="s">
        <v>50</v>
      </c>
      <c r="T47" s="464" t="s">
        <v>50</v>
      </c>
    </row>
    <row r="48" spans="1:20" ht="20.100000000000001" customHeight="1">
      <c r="A48" s="308" t="s">
        <v>996</v>
      </c>
      <c r="B48" s="309"/>
      <c r="C48" s="309"/>
      <c r="D48" s="309"/>
      <c r="E48" s="309"/>
      <c r="F48" s="308" t="s">
        <v>50</v>
      </c>
      <c r="G48" s="464" t="s">
        <v>1866</v>
      </c>
      <c r="H48" s="464" t="s">
        <v>949</v>
      </c>
      <c r="I48" s="464" t="s">
        <v>997</v>
      </c>
      <c r="J48" s="464" t="s">
        <v>50</v>
      </c>
      <c r="K48" s="464" t="s">
        <v>50</v>
      </c>
      <c r="M48" s="464" t="s">
        <v>50</v>
      </c>
      <c r="O48" s="464" t="s">
        <v>50</v>
      </c>
      <c r="P48" s="464" t="s">
        <v>50</v>
      </c>
      <c r="Q48" s="464" t="s">
        <v>50</v>
      </c>
      <c r="R48" s="464" t="s">
        <v>50</v>
      </c>
      <c r="S48" s="464" t="s">
        <v>50</v>
      </c>
      <c r="T48" s="464" t="s">
        <v>50</v>
      </c>
    </row>
    <row r="49" spans="1:20" ht="20.100000000000001" customHeight="1">
      <c r="A49" s="308" t="s">
        <v>998</v>
      </c>
      <c r="B49" s="309"/>
      <c r="C49" s="309"/>
      <c r="D49" s="309"/>
      <c r="E49" s="309"/>
      <c r="F49" s="308" t="s">
        <v>50</v>
      </c>
      <c r="G49" s="464" t="s">
        <v>1866</v>
      </c>
      <c r="H49" s="464" t="s">
        <v>949</v>
      </c>
      <c r="I49" s="464" t="s">
        <v>999</v>
      </c>
      <c r="J49" s="464" t="s">
        <v>50</v>
      </c>
      <c r="K49" s="464" t="s">
        <v>50</v>
      </c>
      <c r="M49" s="464" t="s">
        <v>50</v>
      </c>
      <c r="O49" s="464" t="s">
        <v>50</v>
      </c>
      <c r="P49" s="464" t="s">
        <v>50</v>
      </c>
      <c r="Q49" s="464" t="s">
        <v>50</v>
      </c>
      <c r="R49" s="464" t="s">
        <v>50</v>
      </c>
      <c r="S49" s="464" t="s">
        <v>50</v>
      </c>
      <c r="T49" s="464" t="s">
        <v>50</v>
      </c>
    </row>
    <row r="50" spans="1:20" ht="20.100000000000001" customHeight="1">
      <c r="A50" s="308" t="s">
        <v>1000</v>
      </c>
      <c r="B50" s="309"/>
      <c r="C50" s="309"/>
      <c r="D50" s="309"/>
      <c r="E50" s="309"/>
      <c r="F50" s="308" t="s">
        <v>50</v>
      </c>
      <c r="G50" s="464" t="s">
        <v>1866</v>
      </c>
      <c r="H50" s="464" t="s">
        <v>949</v>
      </c>
      <c r="I50" s="464" t="s">
        <v>1001</v>
      </c>
      <c r="J50" s="464" t="s">
        <v>50</v>
      </c>
      <c r="K50" s="464" t="s">
        <v>50</v>
      </c>
      <c r="M50" s="464" t="s">
        <v>50</v>
      </c>
      <c r="O50" s="464" t="s">
        <v>50</v>
      </c>
      <c r="P50" s="464" t="s">
        <v>50</v>
      </c>
      <c r="Q50" s="464" t="s">
        <v>50</v>
      </c>
      <c r="R50" s="464" t="s">
        <v>50</v>
      </c>
      <c r="S50" s="464" t="s">
        <v>50</v>
      </c>
      <c r="T50" s="464" t="s">
        <v>50</v>
      </c>
    </row>
    <row r="51" spans="1:20" ht="20.100000000000001" customHeight="1">
      <c r="A51" s="308" t="s">
        <v>1002</v>
      </c>
      <c r="B51" s="309"/>
      <c r="C51" s="309"/>
      <c r="D51" s="309"/>
      <c r="E51" s="309"/>
      <c r="F51" s="308" t="s">
        <v>50</v>
      </c>
      <c r="G51" s="464" t="s">
        <v>1866</v>
      </c>
      <c r="H51" s="464" t="s">
        <v>949</v>
      </c>
      <c r="I51" s="464" t="s">
        <v>1003</v>
      </c>
      <c r="J51" s="464" t="s">
        <v>50</v>
      </c>
      <c r="K51" s="464" t="s">
        <v>50</v>
      </c>
      <c r="M51" s="464" t="s">
        <v>50</v>
      </c>
      <c r="O51" s="464" t="s">
        <v>50</v>
      </c>
      <c r="P51" s="464" t="s">
        <v>50</v>
      </c>
      <c r="Q51" s="464" t="s">
        <v>50</v>
      </c>
      <c r="R51" s="464" t="s">
        <v>50</v>
      </c>
      <c r="S51" s="464" t="s">
        <v>50</v>
      </c>
      <c r="T51" s="464" t="s">
        <v>50</v>
      </c>
    </row>
    <row r="52" spans="1:20" ht="20.100000000000001" customHeight="1">
      <c r="A52" s="308" t="s">
        <v>1004</v>
      </c>
      <c r="B52" s="309"/>
      <c r="C52" s="309"/>
      <c r="D52" s="309"/>
      <c r="E52" s="309"/>
      <c r="F52" s="308" t="s">
        <v>50</v>
      </c>
      <c r="G52" s="464" t="s">
        <v>1866</v>
      </c>
      <c r="H52" s="464" t="s">
        <v>949</v>
      </c>
      <c r="I52" s="464" t="s">
        <v>1005</v>
      </c>
      <c r="J52" s="464" t="s">
        <v>50</v>
      </c>
      <c r="K52" s="464" t="s">
        <v>50</v>
      </c>
      <c r="M52" s="464" t="s">
        <v>50</v>
      </c>
      <c r="O52" s="464" t="s">
        <v>50</v>
      </c>
      <c r="P52" s="464" t="s">
        <v>50</v>
      </c>
      <c r="Q52" s="464" t="s">
        <v>50</v>
      </c>
      <c r="R52" s="464" t="s">
        <v>50</v>
      </c>
      <c r="S52" s="464" t="s">
        <v>50</v>
      </c>
      <c r="T52" s="464" t="s">
        <v>50</v>
      </c>
    </row>
    <row r="53" spans="1:20" ht="20.100000000000001" customHeight="1">
      <c r="A53" s="308" t="s">
        <v>1006</v>
      </c>
      <c r="B53" s="309"/>
      <c r="C53" s="309"/>
      <c r="D53" s="309"/>
      <c r="E53" s="309"/>
      <c r="F53" s="308" t="s">
        <v>50</v>
      </c>
      <c r="G53" s="464" t="s">
        <v>1866</v>
      </c>
      <c r="H53" s="464" t="s">
        <v>949</v>
      </c>
      <c r="I53" s="464" t="s">
        <v>1007</v>
      </c>
      <c r="J53" s="464" t="s">
        <v>50</v>
      </c>
      <c r="K53" s="464" t="s">
        <v>50</v>
      </c>
      <c r="M53" s="464" t="s">
        <v>50</v>
      </c>
      <c r="O53" s="464" t="s">
        <v>50</v>
      </c>
      <c r="P53" s="464" t="s">
        <v>50</v>
      </c>
      <c r="Q53" s="464" t="s">
        <v>50</v>
      </c>
      <c r="R53" s="464" t="s">
        <v>50</v>
      </c>
      <c r="S53" s="464" t="s">
        <v>50</v>
      </c>
      <c r="T53" s="464" t="s">
        <v>50</v>
      </c>
    </row>
    <row r="54" spans="1:20" ht="20.100000000000001" customHeight="1">
      <c r="A54" s="308" t="s">
        <v>1008</v>
      </c>
      <c r="B54" s="309"/>
      <c r="C54" s="309"/>
      <c r="D54" s="309"/>
      <c r="E54" s="309"/>
      <c r="F54" s="308" t="s">
        <v>50</v>
      </c>
      <c r="G54" s="464" t="s">
        <v>1866</v>
      </c>
      <c r="H54" s="464" t="s">
        <v>949</v>
      </c>
      <c r="I54" s="464" t="s">
        <v>1009</v>
      </c>
      <c r="J54" s="464" t="s">
        <v>50</v>
      </c>
      <c r="K54" s="464" t="s">
        <v>50</v>
      </c>
      <c r="M54" s="464" t="s">
        <v>50</v>
      </c>
      <c r="O54" s="464" t="s">
        <v>50</v>
      </c>
      <c r="P54" s="464" t="s">
        <v>50</v>
      </c>
      <c r="Q54" s="464" t="s">
        <v>50</v>
      </c>
      <c r="R54" s="464" t="s">
        <v>50</v>
      </c>
      <c r="S54" s="464" t="s">
        <v>50</v>
      </c>
      <c r="T54" s="464" t="s">
        <v>50</v>
      </c>
    </row>
    <row r="55" spans="1:20" ht="20.100000000000001" customHeight="1">
      <c r="A55" s="308" t="s">
        <v>1010</v>
      </c>
      <c r="B55" s="309"/>
      <c r="C55" s="309"/>
      <c r="D55" s="309"/>
      <c r="E55" s="309"/>
      <c r="F55" s="308" t="s">
        <v>50</v>
      </c>
      <c r="G55" s="464" t="s">
        <v>1866</v>
      </c>
      <c r="H55" s="464" t="s">
        <v>949</v>
      </c>
      <c r="I55" s="464" t="s">
        <v>1011</v>
      </c>
      <c r="J55" s="464" t="s">
        <v>50</v>
      </c>
      <c r="K55" s="464" t="s">
        <v>50</v>
      </c>
      <c r="M55" s="464" t="s">
        <v>50</v>
      </c>
      <c r="O55" s="464" t="s">
        <v>50</v>
      </c>
      <c r="P55" s="464" t="s">
        <v>50</v>
      </c>
      <c r="Q55" s="464" t="s">
        <v>50</v>
      </c>
      <c r="R55" s="464" t="s">
        <v>50</v>
      </c>
      <c r="S55" s="464" t="s">
        <v>50</v>
      </c>
      <c r="T55" s="464" t="s">
        <v>50</v>
      </c>
    </row>
    <row r="56" spans="1:20" ht="20.100000000000001" customHeight="1">
      <c r="A56" s="308" t="s">
        <v>1012</v>
      </c>
      <c r="B56" s="309"/>
      <c r="C56" s="309"/>
      <c r="D56" s="309"/>
      <c r="E56" s="309"/>
      <c r="F56" s="308" t="s">
        <v>50</v>
      </c>
      <c r="G56" s="464" t="s">
        <v>1866</v>
      </c>
      <c r="H56" s="464" t="s">
        <v>949</v>
      </c>
      <c r="I56" s="464" t="s">
        <v>1013</v>
      </c>
      <c r="J56" s="464" t="s">
        <v>50</v>
      </c>
      <c r="K56" s="464" t="s">
        <v>50</v>
      </c>
      <c r="M56" s="464" t="s">
        <v>50</v>
      </c>
      <c r="O56" s="464" t="s">
        <v>50</v>
      </c>
      <c r="P56" s="464" t="s">
        <v>50</v>
      </c>
      <c r="Q56" s="464" t="s">
        <v>50</v>
      </c>
      <c r="R56" s="464" t="s">
        <v>50</v>
      </c>
      <c r="S56" s="464" t="s">
        <v>50</v>
      </c>
      <c r="T56" s="464" t="s">
        <v>50</v>
      </c>
    </row>
    <row r="57" spans="1:20" ht="20.100000000000001" customHeight="1">
      <c r="A57" s="308" t="s">
        <v>1014</v>
      </c>
      <c r="B57" s="309"/>
      <c r="C57" s="309"/>
      <c r="D57" s="309"/>
      <c r="E57" s="309"/>
      <c r="F57" s="308" t="s">
        <v>50</v>
      </c>
      <c r="G57" s="464" t="s">
        <v>1866</v>
      </c>
      <c r="H57" s="464" t="s">
        <v>949</v>
      </c>
      <c r="I57" s="464" t="s">
        <v>1015</v>
      </c>
      <c r="J57" s="464" t="s">
        <v>50</v>
      </c>
      <c r="K57" s="464" t="s">
        <v>50</v>
      </c>
      <c r="M57" s="464" t="s">
        <v>50</v>
      </c>
      <c r="O57" s="464" t="s">
        <v>50</v>
      </c>
      <c r="P57" s="464" t="s">
        <v>50</v>
      </c>
      <c r="Q57" s="464" t="s">
        <v>50</v>
      </c>
      <c r="R57" s="464" t="s">
        <v>50</v>
      </c>
      <c r="S57" s="464" t="s">
        <v>50</v>
      </c>
      <c r="T57" s="464" t="s">
        <v>50</v>
      </c>
    </row>
    <row r="58" spans="1:20" ht="20.100000000000001" customHeight="1">
      <c r="A58" s="308" t="s">
        <v>948</v>
      </c>
      <c r="B58" s="309"/>
      <c r="C58" s="309"/>
      <c r="D58" s="309"/>
      <c r="E58" s="309"/>
      <c r="F58" s="308" t="s">
        <v>50</v>
      </c>
      <c r="G58" s="464" t="s">
        <v>1866</v>
      </c>
      <c r="H58" s="464" t="s">
        <v>949</v>
      </c>
      <c r="I58" s="464" t="s">
        <v>50</v>
      </c>
      <c r="J58" s="464" t="s">
        <v>50</v>
      </c>
      <c r="K58" s="464" t="s">
        <v>50</v>
      </c>
      <c r="M58" s="464" t="s">
        <v>50</v>
      </c>
      <c r="O58" s="464" t="s">
        <v>50</v>
      </c>
      <c r="P58" s="464" t="s">
        <v>50</v>
      </c>
      <c r="Q58" s="464" t="s">
        <v>50</v>
      </c>
      <c r="R58" s="464" t="s">
        <v>50</v>
      </c>
      <c r="S58" s="464" t="s">
        <v>50</v>
      </c>
      <c r="T58" s="464" t="s">
        <v>50</v>
      </c>
    </row>
    <row r="59" spans="1:20" ht="20.100000000000001" customHeight="1">
      <c r="A59" s="308" t="s">
        <v>1016</v>
      </c>
      <c r="B59" s="309"/>
      <c r="C59" s="309"/>
      <c r="D59" s="309"/>
      <c r="E59" s="309"/>
      <c r="F59" s="308" t="s">
        <v>50</v>
      </c>
      <c r="G59" s="464" t="s">
        <v>1866</v>
      </c>
      <c r="H59" s="464" t="s">
        <v>949</v>
      </c>
      <c r="I59" s="464" t="s">
        <v>1017</v>
      </c>
      <c r="J59" s="464" t="s">
        <v>50</v>
      </c>
      <c r="K59" s="464" t="s">
        <v>50</v>
      </c>
      <c r="M59" s="464" t="s">
        <v>50</v>
      </c>
      <c r="O59" s="464" t="s">
        <v>50</v>
      </c>
      <c r="P59" s="464" t="s">
        <v>50</v>
      </c>
      <c r="Q59" s="464" t="s">
        <v>50</v>
      </c>
      <c r="R59" s="464" t="s">
        <v>50</v>
      </c>
      <c r="S59" s="464" t="s">
        <v>50</v>
      </c>
      <c r="T59" s="464" t="s">
        <v>50</v>
      </c>
    </row>
    <row r="60" spans="1:20" ht="20.100000000000001" customHeight="1">
      <c r="A60" s="308" t="s">
        <v>1018</v>
      </c>
      <c r="B60" s="309"/>
      <c r="C60" s="309"/>
      <c r="D60" s="309"/>
      <c r="E60" s="309"/>
      <c r="F60" s="308" t="s">
        <v>50</v>
      </c>
      <c r="G60" s="464" t="s">
        <v>1866</v>
      </c>
      <c r="H60" s="464" t="s">
        <v>949</v>
      </c>
      <c r="I60" s="464" t="s">
        <v>1019</v>
      </c>
      <c r="J60" s="464" t="s">
        <v>50</v>
      </c>
      <c r="K60" s="464" t="s">
        <v>50</v>
      </c>
      <c r="M60" s="464" t="s">
        <v>50</v>
      </c>
      <c r="O60" s="464" t="s">
        <v>50</v>
      </c>
      <c r="P60" s="464" t="s">
        <v>50</v>
      </c>
      <c r="Q60" s="464" t="s">
        <v>50</v>
      </c>
      <c r="R60" s="464" t="s">
        <v>50</v>
      </c>
      <c r="S60" s="464" t="s">
        <v>50</v>
      </c>
      <c r="T60" s="464" t="s">
        <v>50</v>
      </c>
    </row>
    <row r="61" spans="1:20" ht="20.100000000000001" customHeight="1">
      <c r="A61" s="308" t="s">
        <v>948</v>
      </c>
      <c r="B61" s="309"/>
      <c r="C61" s="309"/>
      <c r="D61" s="309"/>
      <c r="E61" s="309"/>
      <c r="F61" s="308" t="s">
        <v>50</v>
      </c>
      <c r="G61" s="464" t="s">
        <v>1866</v>
      </c>
      <c r="H61" s="464" t="s">
        <v>949</v>
      </c>
      <c r="I61" s="464" t="s">
        <v>50</v>
      </c>
      <c r="J61" s="464" t="s">
        <v>50</v>
      </c>
      <c r="K61" s="464" t="s">
        <v>50</v>
      </c>
      <c r="M61" s="464" t="s">
        <v>50</v>
      </c>
      <c r="O61" s="464" t="s">
        <v>50</v>
      </c>
      <c r="P61" s="464" t="s">
        <v>50</v>
      </c>
      <c r="Q61" s="464" t="s">
        <v>50</v>
      </c>
      <c r="R61" s="464" t="s">
        <v>50</v>
      </c>
      <c r="S61" s="464" t="s">
        <v>50</v>
      </c>
      <c r="T61" s="464" t="s">
        <v>50</v>
      </c>
    </row>
    <row r="62" spans="1:20" ht="20.100000000000001" customHeight="1">
      <c r="A62" s="308" t="s">
        <v>1020</v>
      </c>
      <c r="B62" s="309"/>
      <c r="C62" s="309"/>
      <c r="D62" s="309"/>
      <c r="E62" s="309"/>
      <c r="F62" s="308" t="s">
        <v>50</v>
      </c>
      <c r="G62" s="464" t="s">
        <v>1866</v>
      </c>
      <c r="H62" s="464" t="s">
        <v>949</v>
      </c>
      <c r="I62" s="464" t="s">
        <v>1021</v>
      </c>
      <c r="J62" s="464" t="s">
        <v>50</v>
      </c>
      <c r="K62" s="464" t="s">
        <v>50</v>
      </c>
      <c r="M62" s="464" t="s">
        <v>50</v>
      </c>
      <c r="O62" s="464" t="s">
        <v>50</v>
      </c>
      <c r="P62" s="464" t="s">
        <v>50</v>
      </c>
      <c r="Q62" s="464" t="s">
        <v>50</v>
      </c>
      <c r="R62" s="464" t="s">
        <v>50</v>
      </c>
      <c r="S62" s="464" t="s">
        <v>50</v>
      </c>
      <c r="T62" s="464" t="s">
        <v>50</v>
      </c>
    </row>
    <row r="63" spans="1:20" ht="20.100000000000001" customHeight="1">
      <c r="A63" s="308" t="s">
        <v>1022</v>
      </c>
      <c r="B63" s="309"/>
      <c r="C63" s="309"/>
      <c r="D63" s="309"/>
      <c r="E63" s="309"/>
      <c r="F63" s="308" t="s">
        <v>50</v>
      </c>
      <c r="G63" s="464" t="s">
        <v>1866</v>
      </c>
      <c r="H63" s="464" t="s">
        <v>949</v>
      </c>
      <c r="I63" s="464" t="s">
        <v>1023</v>
      </c>
      <c r="J63" s="464" t="s">
        <v>50</v>
      </c>
      <c r="K63" s="464" t="s">
        <v>50</v>
      </c>
      <c r="M63" s="464" t="s">
        <v>50</v>
      </c>
      <c r="O63" s="464" t="s">
        <v>50</v>
      </c>
      <c r="P63" s="464" t="s">
        <v>50</v>
      </c>
      <c r="Q63" s="464" t="s">
        <v>50</v>
      </c>
      <c r="R63" s="464" t="s">
        <v>50</v>
      </c>
      <c r="S63" s="464" t="s">
        <v>50</v>
      </c>
      <c r="T63" s="464" t="s">
        <v>50</v>
      </c>
    </row>
    <row r="64" spans="1:20" ht="20.100000000000001" customHeight="1">
      <c r="A64" s="308" t="s">
        <v>948</v>
      </c>
      <c r="B64" s="309"/>
      <c r="C64" s="309"/>
      <c r="D64" s="309"/>
      <c r="E64" s="309"/>
      <c r="F64" s="308" t="s">
        <v>50</v>
      </c>
      <c r="G64" s="464" t="s">
        <v>1866</v>
      </c>
      <c r="H64" s="464" t="s">
        <v>949</v>
      </c>
      <c r="I64" s="464" t="s">
        <v>50</v>
      </c>
      <c r="J64" s="464" t="s">
        <v>50</v>
      </c>
      <c r="K64" s="464" t="s">
        <v>50</v>
      </c>
      <c r="M64" s="464" t="s">
        <v>50</v>
      </c>
      <c r="O64" s="464" t="s">
        <v>50</v>
      </c>
      <c r="P64" s="464" t="s">
        <v>50</v>
      </c>
      <c r="Q64" s="464" t="s">
        <v>50</v>
      </c>
      <c r="R64" s="464" t="s">
        <v>50</v>
      </c>
      <c r="S64" s="464" t="s">
        <v>50</v>
      </c>
      <c r="T64" s="464" t="s">
        <v>50</v>
      </c>
    </row>
    <row r="65" spans="1:20" ht="20.100000000000001" customHeight="1">
      <c r="A65" s="308" t="s">
        <v>1607</v>
      </c>
      <c r="B65" s="309"/>
      <c r="C65" s="309"/>
      <c r="D65" s="309"/>
      <c r="E65" s="309"/>
      <c r="F65" s="308" t="s">
        <v>50</v>
      </c>
      <c r="G65" s="464" t="s">
        <v>1866</v>
      </c>
      <c r="H65" s="464" t="s">
        <v>949</v>
      </c>
      <c r="I65" s="464" t="s">
        <v>1024</v>
      </c>
      <c r="J65" s="464" t="s">
        <v>50</v>
      </c>
      <c r="K65" s="464" t="s">
        <v>50</v>
      </c>
      <c r="M65" s="464" t="s">
        <v>50</v>
      </c>
      <c r="O65" s="464" t="s">
        <v>50</v>
      </c>
      <c r="P65" s="464" t="s">
        <v>50</v>
      </c>
      <c r="Q65" s="464" t="s">
        <v>50</v>
      </c>
      <c r="R65" s="464" t="s">
        <v>50</v>
      </c>
      <c r="S65" s="464" t="s">
        <v>50</v>
      </c>
      <c r="T65" s="464" t="s">
        <v>50</v>
      </c>
    </row>
    <row r="66" spans="1:20" ht="20.100000000000001" customHeight="1">
      <c r="A66" s="308" t="s">
        <v>1025</v>
      </c>
      <c r="B66" s="309"/>
      <c r="C66" s="309"/>
      <c r="D66" s="309"/>
      <c r="E66" s="309"/>
      <c r="F66" s="308" t="s">
        <v>50</v>
      </c>
      <c r="G66" s="464" t="s">
        <v>1866</v>
      </c>
      <c r="H66" s="464" t="s">
        <v>949</v>
      </c>
      <c r="I66" s="464" t="s">
        <v>1026</v>
      </c>
      <c r="J66" s="464" t="s">
        <v>50</v>
      </c>
      <c r="K66" s="464" t="s">
        <v>50</v>
      </c>
      <c r="M66" s="464" t="s">
        <v>50</v>
      </c>
      <c r="O66" s="464" t="s">
        <v>50</v>
      </c>
      <c r="P66" s="464" t="s">
        <v>50</v>
      </c>
      <c r="Q66" s="464" t="s">
        <v>50</v>
      </c>
      <c r="R66" s="464" t="s">
        <v>50</v>
      </c>
      <c r="S66" s="464" t="s">
        <v>50</v>
      </c>
      <c r="T66" s="464" t="s">
        <v>50</v>
      </c>
    </row>
    <row r="67" spans="1:20" ht="20.100000000000001" customHeight="1">
      <c r="A67" s="308" t="s">
        <v>1027</v>
      </c>
      <c r="B67" s="309"/>
      <c r="C67" s="309"/>
      <c r="D67" s="309"/>
      <c r="E67" s="309"/>
      <c r="F67" s="308" t="s">
        <v>50</v>
      </c>
      <c r="G67" s="464" t="s">
        <v>1866</v>
      </c>
      <c r="H67" s="464" t="s">
        <v>949</v>
      </c>
      <c r="I67" s="464" t="s">
        <v>1028</v>
      </c>
      <c r="J67" s="464" t="s">
        <v>50</v>
      </c>
      <c r="K67" s="464" t="s">
        <v>50</v>
      </c>
      <c r="M67" s="464" t="s">
        <v>50</v>
      </c>
      <c r="O67" s="464" t="s">
        <v>50</v>
      </c>
      <c r="P67" s="464" t="s">
        <v>50</v>
      </c>
      <c r="Q67" s="464" t="s">
        <v>50</v>
      </c>
      <c r="R67" s="464" t="s">
        <v>50</v>
      </c>
      <c r="S67" s="464" t="s">
        <v>50</v>
      </c>
      <c r="T67" s="464" t="s">
        <v>50</v>
      </c>
    </row>
    <row r="68" spans="1:20" ht="20.100000000000001" customHeight="1">
      <c r="A68" s="308" t="s">
        <v>948</v>
      </c>
      <c r="B68" s="309"/>
      <c r="C68" s="309"/>
      <c r="D68" s="309"/>
      <c r="E68" s="309"/>
      <c r="F68" s="308" t="s">
        <v>50</v>
      </c>
      <c r="G68" s="464" t="s">
        <v>1866</v>
      </c>
      <c r="H68" s="464" t="s">
        <v>949</v>
      </c>
      <c r="I68" s="464" t="s">
        <v>948</v>
      </c>
      <c r="J68" s="464" t="s">
        <v>50</v>
      </c>
      <c r="K68" s="464" t="s">
        <v>50</v>
      </c>
      <c r="M68" s="464" t="s">
        <v>50</v>
      </c>
      <c r="O68" s="464" t="s">
        <v>50</v>
      </c>
      <c r="P68" s="464" t="s">
        <v>50</v>
      </c>
      <c r="Q68" s="464" t="s">
        <v>50</v>
      </c>
      <c r="R68" s="464" t="s">
        <v>50</v>
      </c>
      <c r="S68" s="464" t="s">
        <v>50</v>
      </c>
      <c r="T68" s="464" t="s">
        <v>50</v>
      </c>
    </row>
    <row r="69" spans="1:20" ht="20.100000000000001" customHeight="1">
      <c r="A69" s="308" t="s">
        <v>960</v>
      </c>
      <c r="B69" s="309"/>
      <c r="C69" s="309"/>
      <c r="D69" s="309"/>
      <c r="E69" s="309"/>
      <c r="F69" s="308" t="s">
        <v>50</v>
      </c>
      <c r="G69" s="464" t="s">
        <v>1866</v>
      </c>
      <c r="H69" s="464" t="s">
        <v>949</v>
      </c>
      <c r="I69" s="464" t="s">
        <v>961</v>
      </c>
      <c r="J69" s="464" t="s">
        <v>50</v>
      </c>
      <c r="K69" s="464" t="s">
        <v>50</v>
      </c>
      <c r="M69" s="464" t="s">
        <v>50</v>
      </c>
      <c r="O69" s="464" t="s">
        <v>50</v>
      </c>
      <c r="P69" s="464" t="s">
        <v>50</v>
      </c>
      <c r="Q69" s="464" t="s">
        <v>50</v>
      </c>
      <c r="R69" s="464" t="s">
        <v>50</v>
      </c>
      <c r="S69" s="464" t="s">
        <v>50</v>
      </c>
      <c r="T69" s="464" t="s">
        <v>50</v>
      </c>
    </row>
    <row r="70" spans="1:20" ht="20.100000000000001" customHeight="1">
      <c r="A70" s="308" t="s">
        <v>973</v>
      </c>
      <c r="B70" s="306"/>
      <c r="C70" s="306"/>
      <c r="D70" s="306"/>
      <c r="E70" s="306"/>
      <c r="F70" s="310"/>
    </row>
    <row r="71" spans="1:20" ht="20.100000000000001" customHeight="1">
      <c r="A71" s="310"/>
      <c r="B71" s="310"/>
      <c r="C71" s="310"/>
      <c r="D71" s="310"/>
      <c r="E71" s="310"/>
      <c r="F71" s="310"/>
    </row>
    <row r="72" spans="1:20" ht="20.100000000000001" customHeight="1">
      <c r="A72" s="310" t="s">
        <v>1519</v>
      </c>
      <c r="B72" s="310"/>
      <c r="C72" s="310"/>
      <c r="D72" s="310"/>
      <c r="E72" s="310"/>
      <c r="F72" s="308" t="s">
        <v>50</v>
      </c>
      <c r="G72" s="464" t="s">
        <v>1868</v>
      </c>
      <c r="I72" s="464" t="s">
        <v>721</v>
      </c>
      <c r="J72" s="464" t="s">
        <v>722</v>
      </c>
      <c r="K72" s="464" t="s">
        <v>723</v>
      </c>
    </row>
    <row r="73" spans="1:20" ht="20.100000000000001" customHeight="1">
      <c r="A73" s="308" t="s">
        <v>50</v>
      </c>
      <c r="B73" s="309"/>
      <c r="C73" s="309"/>
      <c r="D73" s="309"/>
      <c r="E73" s="309"/>
      <c r="F73" s="308" t="s">
        <v>50</v>
      </c>
      <c r="G73" s="464" t="s">
        <v>1868</v>
      </c>
      <c r="H73" s="464" t="s">
        <v>563</v>
      </c>
      <c r="I73" s="464" t="s">
        <v>50</v>
      </c>
      <c r="J73" s="464" t="s">
        <v>50</v>
      </c>
      <c r="K73" s="464" t="s">
        <v>50</v>
      </c>
      <c r="L73">
        <v>1</v>
      </c>
      <c r="M73" s="464" t="s">
        <v>50</v>
      </c>
      <c r="O73" s="464" t="s">
        <v>50</v>
      </c>
      <c r="P73" s="464" t="s">
        <v>50</v>
      </c>
      <c r="Q73" s="464" t="s">
        <v>50</v>
      </c>
      <c r="R73" s="464" t="s">
        <v>50</v>
      </c>
      <c r="S73" s="464" t="s">
        <v>50</v>
      </c>
      <c r="T73" s="464" t="s">
        <v>50</v>
      </c>
    </row>
    <row r="74" spans="1:20" ht="20.100000000000001" customHeight="1">
      <c r="A74" s="308" t="s">
        <v>1039</v>
      </c>
      <c r="B74" s="309"/>
      <c r="C74" s="309"/>
      <c r="D74" s="309"/>
      <c r="E74" s="309"/>
      <c r="F74" s="308" t="s">
        <v>50</v>
      </c>
      <c r="G74" s="464" t="s">
        <v>1868</v>
      </c>
      <c r="H74" s="464" t="s">
        <v>949</v>
      </c>
      <c r="I74" s="464" t="s">
        <v>1040</v>
      </c>
      <c r="J74" s="464" t="s">
        <v>50</v>
      </c>
      <c r="K74" s="464" t="s">
        <v>50</v>
      </c>
      <c r="M74" s="464" t="s">
        <v>50</v>
      </c>
      <c r="O74" s="464" t="s">
        <v>50</v>
      </c>
      <c r="P74" s="464" t="s">
        <v>50</v>
      </c>
      <c r="Q74" s="464" t="s">
        <v>50</v>
      </c>
      <c r="R74" s="464" t="s">
        <v>50</v>
      </c>
      <c r="S74" s="464" t="s">
        <v>50</v>
      </c>
      <c r="T74" s="464" t="s">
        <v>50</v>
      </c>
    </row>
    <row r="75" spans="1:20" ht="20.100000000000001" customHeight="1">
      <c r="A75" s="308" t="s">
        <v>948</v>
      </c>
      <c r="B75" s="309"/>
      <c r="C75" s="309"/>
      <c r="D75" s="309"/>
      <c r="E75" s="309"/>
      <c r="F75" s="308" t="s">
        <v>50</v>
      </c>
      <c r="G75" s="464" t="s">
        <v>1868</v>
      </c>
      <c r="H75" s="464" t="s">
        <v>949</v>
      </c>
      <c r="I75" s="464" t="s">
        <v>50</v>
      </c>
      <c r="J75" s="464" t="s">
        <v>50</v>
      </c>
      <c r="K75" s="464" t="s">
        <v>50</v>
      </c>
      <c r="M75" s="464" t="s">
        <v>50</v>
      </c>
      <c r="O75" s="464" t="s">
        <v>50</v>
      </c>
      <c r="P75" s="464" t="s">
        <v>50</v>
      </c>
      <c r="Q75" s="464" t="s">
        <v>50</v>
      </c>
      <c r="R75" s="464" t="s">
        <v>50</v>
      </c>
      <c r="S75" s="464" t="s">
        <v>50</v>
      </c>
      <c r="T75" s="464" t="s">
        <v>50</v>
      </c>
    </row>
    <row r="76" spans="1:20" ht="20.100000000000001" customHeight="1">
      <c r="A76" s="308" t="s">
        <v>1041</v>
      </c>
      <c r="B76" s="309"/>
      <c r="C76" s="309"/>
      <c r="D76" s="309"/>
      <c r="E76" s="309"/>
      <c r="F76" s="308" t="s">
        <v>50</v>
      </c>
      <c r="G76" s="464" t="s">
        <v>1868</v>
      </c>
      <c r="H76" s="464" t="s">
        <v>949</v>
      </c>
      <c r="I76" s="464" t="s">
        <v>1042</v>
      </c>
      <c r="J76" s="464" t="s">
        <v>50</v>
      </c>
      <c r="K76" s="464" t="s">
        <v>50</v>
      </c>
      <c r="M76" s="464" t="s">
        <v>50</v>
      </c>
      <c r="O76" s="464" t="s">
        <v>50</v>
      </c>
      <c r="P76" s="464" t="s">
        <v>50</v>
      </c>
      <c r="Q76" s="464" t="s">
        <v>50</v>
      </c>
      <c r="R76" s="464" t="s">
        <v>50</v>
      </c>
      <c r="S76" s="464" t="s">
        <v>50</v>
      </c>
      <c r="T76" s="464" t="s">
        <v>50</v>
      </c>
    </row>
    <row r="77" spans="1:20" ht="20.100000000000001" customHeight="1">
      <c r="A77" s="308" t="s">
        <v>1043</v>
      </c>
      <c r="B77" s="309"/>
      <c r="C77" s="309"/>
      <c r="D77" s="309"/>
      <c r="E77" s="309"/>
      <c r="F77" s="308" t="s">
        <v>50</v>
      </c>
      <c r="G77" s="464" t="s">
        <v>1868</v>
      </c>
      <c r="H77" s="464" t="s">
        <v>949</v>
      </c>
      <c r="I77" s="464" t="s">
        <v>1044</v>
      </c>
      <c r="J77" s="464" t="s">
        <v>50</v>
      </c>
      <c r="K77" s="464" t="s">
        <v>50</v>
      </c>
      <c r="M77" s="464" t="s">
        <v>50</v>
      </c>
      <c r="O77" s="464" t="s">
        <v>50</v>
      </c>
      <c r="P77" s="464" t="s">
        <v>50</v>
      </c>
      <c r="Q77" s="464" t="s">
        <v>50</v>
      </c>
      <c r="R77" s="464" t="s">
        <v>50</v>
      </c>
      <c r="S77" s="464" t="s">
        <v>50</v>
      </c>
      <c r="T77" s="464" t="s">
        <v>50</v>
      </c>
    </row>
    <row r="78" spans="1:20" ht="20.100000000000001" customHeight="1">
      <c r="A78" s="308" t="s">
        <v>1045</v>
      </c>
      <c r="B78" s="309"/>
      <c r="C78" s="309"/>
      <c r="D78" s="309"/>
      <c r="E78" s="309"/>
      <c r="F78" s="308" t="s">
        <v>50</v>
      </c>
      <c r="G78" s="464" t="s">
        <v>1868</v>
      </c>
      <c r="H78" s="464" t="s">
        <v>949</v>
      </c>
      <c r="I78" s="464" t="s">
        <v>1046</v>
      </c>
      <c r="J78" s="464" t="s">
        <v>50</v>
      </c>
      <c r="K78" s="464" t="s">
        <v>50</v>
      </c>
      <c r="M78" s="464" t="s">
        <v>50</v>
      </c>
      <c r="O78" s="464" t="s">
        <v>50</v>
      </c>
      <c r="P78" s="464" t="s">
        <v>50</v>
      </c>
      <c r="Q78" s="464" t="s">
        <v>50</v>
      </c>
      <c r="R78" s="464" t="s">
        <v>50</v>
      </c>
      <c r="S78" s="464" t="s">
        <v>50</v>
      </c>
      <c r="T78" s="464" t="s">
        <v>50</v>
      </c>
    </row>
    <row r="79" spans="1:20" ht="20.100000000000001" customHeight="1">
      <c r="A79" s="308" t="s">
        <v>948</v>
      </c>
      <c r="B79" s="309"/>
      <c r="C79" s="309"/>
      <c r="D79" s="309"/>
      <c r="E79" s="309"/>
      <c r="F79" s="308" t="s">
        <v>50</v>
      </c>
      <c r="G79" s="464" t="s">
        <v>1868</v>
      </c>
      <c r="H79" s="464" t="s">
        <v>949</v>
      </c>
      <c r="I79" s="464" t="s">
        <v>50</v>
      </c>
      <c r="J79" s="464" t="s">
        <v>50</v>
      </c>
      <c r="K79" s="464" t="s">
        <v>50</v>
      </c>
      <c r="M79" s="464" t="s">
        <v>50</v>
      </c>
      <c r="O79" s="464" t="s">
        <v>50</v>
      </c>
      <c r="P79" s="464" t="s">
        <v>50</v>
      </c>
      <c r="Q79" s="464" t="s">
        <v>50</v>
      </c>
      <c r="R79" s="464" t="s">
        <v>50</v>
      </c>
      <c r="S79" s="464" t="s">
        <v>50</v>
      </c>
      <c r="T79" s="464" t="s">
        <v>50</v>
      </c>
    </row>
    <row r="80" spans="1:20" ht="20.100000000000001" customHeight="1">
      <c r="A80" s="308" t="s">
        <v>1047</v>
      </c>
      <c r="B80" s="309"/>
      <c r="C80" s="309"/>
      <c r="D80" s="309"/>
      <c r="E80" s="309"/>
      <c r="F80" s="308" t="s">
        <v>50</v>
      </c>
      <c r="G80" s="464" t="s">
        <v>1868</v>
      </c>
      <c r="H80" s="464" t="s">
        <v>949</v>
      </c>
      <c r="I80" s="464" t="s">
        <v>1048</v>
      </c>
      <c r="J80" s="464" t="s">
        <v>50</v>
      </c>
      <c r="K80" s="464" t="s">
        <v>50</v>
      </c>
      <c r="M80" s="464" t="s">
        <v>50</v>
      </c>
      <c r="O80" s="464" t="s">
        <v>50</v>
      </c>
      <c r="P80" s="464" t="s">
        <v>50</v>
      </c>
      <c r="Q80" s="464" t="s">
        <v>50</v>
      </c>
      <c r="R80" s="464" t="s">
        <v>50</v>
      </c>
      <c r="S80" s="464" t="s">
        <v>50</v>
      </c>
      <c r="T80" s="464" t="s">
        <v>50</v>
      </c>
    </row>
    <row r="81" spans="1:20" ht="20.100000000000001" customHeight="1">
      <c r="A81" s="308" t="s">
        <v>1049</v>
      </c>
      <c r="B81" s="309"/>
      <c r="C81" s="309"/>
      <c r="D81" s="309"/>
      <c r="E81" s="309"/>
      <c r="F81" s="308" t="s">
        <v>50</v>
      </c>
      <c r="G81" s="464" t="s">
        <v>1868</v>
      </c>
      <c r="H81" s="464" t="s">
        <v>949</v>
      </c>
      <c r="I81" s="464" t="s">
        <v>1050</v>
      </c>
      <c r="J81" s="464" t="s">
        <v>50</v>
      </c>
      <c r="K81" s="464" t="s">
        <v>50</v>
      </c>
      <c r="M81" s="464" t="s">
        <v>50</v>
      </c>
      <c r="O81" s="464" t="s">
        <v>50</v>
      </c>
      <c r="P81" s="464" t="s">
        <v>50</v>
      </c>
      <c r="Q81" s="464" t="s">
        <v>50</v>
      </c>
      <c r="R81" s="464" t="s">
        <v>50</v>
      </c>
      <c r="S81" s="464" t="s">
        <v>50</v>
      </c>
      <c r="T81" s="464" t="s">
        <v>50</v>
      </c>
    </row>
    <row r="82" spans="1:20" ht="20.100000000000001" customHeight="1">
      <c r="A82" s="308" t="s">
        <v>1051</v>
      </c>
      <c r="B82" s="309"/>
      <c r="C82" s="309"/>
      <c r="D82" s="309"/>
      <c r="E82" s="309"/>
      <c r="F82" s="308" t="s">
        <v>50</v>
      </c>
      <c r="G82" s="464" t="s">
        <v>1868</v>
      </c>
      <c r="H82" s="464" t="s">
        <v>949</v>
      </c>
      <c r="I82" s="464" t="s">
        <v>1052</v>
      </c>
      <c r="J82" s="464" t="s">
        <v>50</v>
      </c>
      <c r="K82" s="464" t="s">
        <v>50</v>
      </c>
      <c r="M82" s="464" t="s">
        <v>50</v>
      </c>
      <c r="O82" s="464" t="s">
        <v>50</v>
      </c>
      <c r="P82" s="464" t="s">
        <v>50</v>
      </c>
      <c r="Q82" s="464" t="s">
        <v>50</v>
      </c>
      <c r="R82" s="464" t="s">
        <v>50</v>
      </c>
      <c r="S82" s="464" t="s">
        <v>50</v>
      </c>
      <c r="T82" s="464" t="s">
        <v>50</v>
      </c>
    </row>
    <row r="83" spans="1:20" ht="20.100000000000001" customHeight="1">
      <c r="A83" s="308" t="s">
        <v>1053</v>
      </c>
      <c r="B83" s="309"/>
      <c r="C83" s="309"/>
      <c r="D83" s="309"/>
      <c r="E83" s="309"/>
      <c r="F83" s="308" t="s">
        <v>50</v>
      </c>
      <c r="G83" s="464" t="s">
        <v>1868</v>
      </c>
      <c r="H83" s="464" t="s">
        <v>949</v>
      </c>
      <c r="I83" s="464" t="s">
        <v>1054</v>
      </c>
      <c r="J83" s="464" t="s">
        <v>50</v>
      </c>
      <c r="K83" s="464" t="s">
        <v>50</v>
      </c>
      <c r="M83" s="464" t="s">
        <v>50</v>
      </c>
      <c r="O83" s="464" t="s">
        <v>50</v>
      </c>
      <c r="P83" s="464" t="s">
        <v>50</v>
      </c>
      <c r="Q83" s="464" t="s">
        <v>50</v>
      </c>
      <c r="R83" s="464" t="s">
        <v>50</v>
      </c>
      <c r="S83" s="464" t="s">
        <v>50</v>
      </c>
      <c r="T83" s="464" t="s">
        <v>50</v>
      </c>
    </row>
    <row r="84" spans="1:20" ht="20.100000000000001" customHeight="1">
      <c r="A84" s="308" t="s">
        <v>1055</v>
      </c>
      <c r="B84" s="309"/>
      <c r="C84" s="309"/>
      <c r="D84" s="309"/>
      <c r="E84" s="309"/>
      <c r="F84" s="308" t="s">
        <v>50</v>
      </c>
      <c r="G84" s="464" t="s">
        <v>1868</v>
      </c>
      <c r="H84" s="464" t="s">
        <v>949</v>
      </c>
      <c r="I84" s="464" t="s">
        <v>1056</v>
      </c>
      <c r="J84" s="464" t="s">
        <v>50</v>
      </c>
      <c r="K84" s="464" t="s">
        <v>50</v>
      </c>
      <c r="M84" s="464" t="s">
        <v>50</v>
      </c>
      <c r="O84" s="464" t="s">
        <v>50</v>
      </c>
      <c r="P84" s="464" t="s">
        <v>50</v>
      </c>
      <c r="Q84" s="464" t="s">
        <v>50</v>
      </c>
      <c r="R84" s="464" t="s">
        <v>50</v>
      </c>
      <c r="S84" s="464" t="s">
        <v>50</v>
      </c>
      <c r="T84" s="464" t="s">
        <v>50</v>
      </c>
    </row>
    <row r="85" spans="1:20" ht="20.100000000000001" customHeight="1">
      <c r="A85" s="308" t="s">
        <v>1057</v>
      </c>
      <c r="B85" s="309"/>
      <c r="C85" s="309"/>
      <c r="D85" s="309"/>
      <c r="E85" s="309"/>
      <c r="F85" s="308" t="s">
        <v>50</v>
      </c>
      <c r="G85" s="464" t="s">
        <v>1868</v>
      </c>
      <c r="H85" s="464" t="s">
        <v>949</v>
      </c>
      <c r="I85" s="464" t="s">
        <v>1058</v>
      </c>
      <c r="J85" s="464" t="s">
        <v>50</v>
      </c>
      <c r="K85" s="464" t="s">
        <v>50</v>
      </c>
      <c r="M85" s="464" t="s">
        <v>50</v>
      </c>
      <c r="O85" s="464" t="s">
        <v>50</v>
      </c>
      <c r="P85" s="464" t="s">
        <v>50</v>
      </c>
      <c r="Q85" s="464" t="s">
        <v>50</v>
      </c>
      <c r="R85" s="464" t="s">
        <v>50</v>
      </c>
      <c r="S85" s="464" t="s">
        <v>50</v>
      </c>
      <c r="T85" s="464" t="s">
        <v>50</v>
      </c>
    </row>
    <row r="86" spans="1:20" ht="20.100000000000001" customHeight="1">
      <c r="A86" s="308" t="s">
        <v>1059</v>
      </c>
      <c r="B86" s="309"/>
      <c r="C86" s="309"/>
      <c r="D86" s="309"/>
      <c r="E86" s="309"/>
      <c r="F86" s="308" t="s">
        <v>50</v>
      </c>
      <c r="G86" s="464" t="s">
        <v>1868</v>
      </c>
      <c r="H86" s="464" t="s">
        <v>949</v>
      </c>
      <c r="I86" s="464" t="s">
        <v>1060</v>
      </c>
      <c r="J86" s="464" t="s">
        <v>50</v>
      </c>
      <c r="K86" s="464" t="s">
        <v>50</v>
      </c>
      <c r="M86" s="464" t="s">
        <v>50</v>
      </c>
      <c r="O86" s="464" t="s">
        <v>50</v>
      </c>
      <c r="P86" s="464" t="s">
        <v>50</v>
      </c>
      <c r="Q86" s="464" t="s">
        <v>50</v>
      </c>
      <c r="R86" s="464" t="s">
        <v>50</v>
      </c>
      <c r="S86" s="464" t="s">
        <v>50</v>
      </c>
      <c r="T86" s="464" t="s">
        <v>50</v>
      </c>
    </row>
    <row r="87" spans="1:20" ht="20.100000000000001" customHeight="1">
      <c r="A87" s="308" t="s">
        <v>1061</v>
      </c>
      <c r="B87" s="309"/>
      <c r="C87" s="309"/>
      <c r="D87" s="309"/>
      <c r="E87" s="309"/>
      <c r="F87" s="308" t="s">
        <v>50</v>
      </c>
      <c r="G87" s="464" t="s">
        <v>1868</v>
      </c>
      <c r="H87" s="464" t="s">
        <v>949</v>
      </c>
      <c r="I87" s="464" t="s">
        <v>1062</v>
      </c>
      <c r="J87" s="464" t="s">
        <v>50</v>
      </c>
      <c r="K87" s="464" t="s">
        <v>50</v>
      </c>
      <c r="M87" s="464" t="s">
        <v>50</v>
      </c>
      <c r="O87" s="464" t="s">
        <v>50</v>
      </c>
      <c r="P87" s="464" t="s">
        <v>50</v>
      </c>
      <c r="Q87" s="464" t="s">
        <v>50</v>
      </c>
      <c r="R87" s="464" t="s">
        <v>50</v>
      </c>
      <c r="S87" s="464" t="s">
        <v>50</v>
      </c>
      <c r="T87" s="464" t="s">
        <v>50</v>
      </c>
    </row>
    <row r="88" spans="1:20" ht="20.100000000000001" customHeight="1">
      <c r="A88" s="308" t="s">
        <v>1063</v>
      </c>
      <c r="B88" s="309"/>
      <c r="C88" s="309"/>
      <c r="D88" s="309"/>
      <c r="E88" s="309"/>
      <c r="F88" s="308" t="s">
        <v>50</v>
      </c>
      <c r="G88" s="464" t="s">
        <v>1868</v>
      </c>
      <c r="H88" s="464" t="s">
        <v>949</v>
      </c>
      <c r="I88" s="464" t="s">
        <v>1064</v>
      </c>
      <c r="J88" s="464" t="s">
        <v>50</v>
      </c>
      <c r="K88" s="464" t="s">
        <v>50</v>
      </c>
      <c r="M88" s="464" t="s">
        <v>50</v>
      </c>
      <c r="O88" s="464" t="s">
        <v>50</v>
      </c>
      <c r="P88" s="464" t="s">
        <v>50</v>
      </c>
      <c r="Q88" s="464" t="s">
        <v>50</v>
      </c>
      <c r="R88" s="464" t="s">
        <v>50</v>
      </c>
      <c r="S88" s="464" t="s">
        <v>50</v>
      </c>
      <c r="T88" s="464" t="s">
        <v>50</v>
      </c>
    </row>
    <row r="89" spans="1:20" ht="20.100000000000001" customHeight="1">
      <c r="A89" s="308" t="s">
        <v>1065</v>
      </c>
      <c r="B89" s="309"/>
      <c r="C89" s="309"/>
      <c r="D89" s="309"/>
      <c r="E89" s="309"/>
      <c r="F89" s="308" t="s">
        <v>50</v>
      </c>
      <c r="G89" s="464" t="s">
        <v>1868</v>
      </c>
      <c r="H89" s="464" t="s">
        <v>949</v>
      </c>
      <c r="I89" s="464" t="s">
        <v>1066</v>
      </c>
      <c r="J89" s="464" t="s">
        <v>50</v>
      </c>
      <c r="K89" s="464" t="s">
        <v>50</v>
      </c>
      <c r="M89" s="464" t="s">
        <v>50</v>
      </c>
      <c r="O89" s="464" t="s">
        <v>50</v>
      </c>
      <c r="P89" s="464" t="s">
        <v>50</v>
      </c>
      <c r="Q89" s="464" t="s">
        <v>50</v>
      </c>
      <c r="R89" s="464" t="s">
        <v>50</v>
      </c>
      <c r="S89" s="464" t="s">
        <v>50</v>
      </c>
      <c r="T89" s="464" t="s">
        <v>50</v>
      </c>
    </row>
    <row r="90" spans="1:20" ht="20.100000000000001" customHeight="1">
      <c r="A90" s="308" t="s">
        <v>1067</v>
      </c>
      <c r="B90" s="309"/>
      <c r="C90" s="309"/>
      <c r="D90" s="309"/>
      <c r="E90" s="309"/>
      <c r="F90" s="308" t="s">
        <v>50</v>
      </c>
      <c r="G90" s="464" t="s">
        <v>1868</v>
      </c>
      <c r="H90" s="464" t="s">
        <v>949</v>
      </c>
      <c r="I90" s="464" t="s">
        <v>1068</v>
      </c>
      <c r="J90" s="464" t="s">
        <v>50</v>
      </c>
      <c r="K90" s="464" t="s">
        <v>50</v>
      </c>
      <c r="M90" s="464" t="s">
        <v>50</v>
      </c>
      <c r="O90" s="464" t="s">
        <v>50</v>
      </c>
      <c r="P90" s="464" t="s">
        <v>50</v>
      </c>
      <c r="Q90" s="464" t="s">
        <v>50</v>
      </c>
      <c r="R90" s="464" t="s">
        <v>50</v>
      </c>
      <c r="S90" s="464" t="s">
        <v>50</v>
      </c>
      <c r="T90" s="464" t="s">
        <v>50</v>
      </c>
    </row>
    <row r="91" spans="1:20" ht="20.100000000000001" customHeight="1">
      <c r="A91" s="308" t="s">
        <v>1069</v>
      </c>
      <c r="B91" s="309"/>
      <c r="C91" s="309"/>
      <c r="D91" s="309"/>
      <c r="E91" s="309"/>
      <c r="F91" s="308" t="s">
        <v>50</v>
      </c>
      <c r="G91" s="464" t="s">
        <v>1868</v>
      </c>
      <c r="H91" s="464" t="s">
        <v>949</v>
      </c>
      <c r="I91" s="464" t="s">
        <v>1070</v>
      </c>
      <c r="J91" s="464" t="s">
        <v>50</v>
      </c>
      <c r="K91" s="464" t="s">
        <v>50</v>
      </c>
      <c r="M91" s="464" t="s">
        <v>50</v>
      </c>
      <c r="O91" s="464" t="s">
        <v>50</v>
      </c>
      <c r="P91" s="464" t="s">
        <v>50</v>
      </c>
      <c r="Q91" s="464" t="s">
        <v>50</v>
      </c>
      <c r="R91" s="464" t="s">
        <v>50</v>
      </c>
      <c r="S91" s="464" t="s">
        <v>50</v>
      </c>
      <c r="T91" s="464" t="s">
        <v>50</v>
      </c>
    </row>
    <row r="92" spans="1:20" ht="20.100000000000001" customHeight="1">
      <c r="A92" s="308" t="s">
        <v>948</v>
      </c>
      <c r="B92" s="309"/>
      <c r="C92" s="309"/>
      <c r="D92" s="309"/>
      <c r="E92" s="309"/>
      <c r="F92" s="308" t="s">
        <v>50</v>
      </c>
      <c r="G92" s="464" t="s">
        <v>1868</v>
      </c>
      <c r="H92" s="464" t="s">
        <v>949</v>
      </c>
      <c r="I92" s="464" t="s">
        <v>948</v>
      </c>
      <c r="J92" s="464" t="s">
        <v>50</v>
      </c>
      <c r="K92" s="464" t="s">
        <v>50</v>
      </c>
      <c r="M92" s="464" t="s">
        <v>50</v>
      </c>
      <c r="O92" s="464" t="s">
        <v>50</v>
      </c>
      <c r="P92" s="464" t="s">
        <v>50</v>
      </c>
      <c r="Q92" s="464" t="s">
        <v>50</v>
      </c>
      <c r="R92" s="464" t="s">
        <v>50</v>
      </c>
      <c r="S92" s="464" t="s">
        <v>50</v>
      </c>
      <c r="T92" s="464" t="s">
        <v>50</v>
      </c>
    </row>
    <row r="93" spans="1:20" ht="20.100000000000001" customHeight="1">
      <c r="A93" s="308" t="s">
        <v>1035</v>
      </c>
      <c r="B93" s="309"/>
      <c r="C93" s="309"/>
      <c r="D93" s="309"/>
      <c r="E93" s="309"/>
      <c r="F93" s="308" t="s">
        <v>50</v>
      </c>
      <c r="G93" s="464" t="s">
        <v>1868</v>
      </c>
      <c r="H93" s="464" t="s">
        <v>949</v>
      </c>
      <c r="I93" s="464" t="s">
        <v>1036</v>
      </c>
      <c r="J93" s="464" t="s">
        <v>50</v>
      </c>
      <c r="K93" s="464" t="s">
        <v>50</v>
      </c>
      <c r="M93" s="464" t="s">
        <v>50</v>
      </c>
      <c r="O93" s="464" t="s">
        <v>50</v>
      </c>
      <c r="P93" s="464" t="s">
        <v>50</v>
      </c>
      <c r="Q93" s="464" t="s">
        <v>50</v>
      </c>
      <c r="R93" s="464" t="s">
        <v>50</v>
      </c>
      <c r="S93" s="464" t="s">
        <v>50</v>
      </c>
      <c r="T93" s="464" t="s">
        <v>50</v>
      </c>
    </row>
    <row r="94" spans="1:20" ht="20.100000000000001" customHeight="1">
      <c r="A94" s="308" t="s">
        <v>1071</v>
      </c>
      <c r="B94" s="309"/>
      <c r="C94" s="309"/>
      <c r="D94" s="309"/>
      <c r="E94" s="309"/>
      <c r="F94" s="308" t="s">
        <v>50</v>
      </c>
      <c r="G94" s="464" t="s">
        <v>1868</v>
      </c>
      <c r="H94" s="464" t="s">
        <v>949</v>
      </c>
      <c r="I94" s="464" t="s">
        <v>1072</v>
      </c>
      <c r="J94" s="464" t="s">
        <v>50</v>
      </c>
      <c r="K94" s="464" t="s">
        <v>50</v>
      </c>
      <c r="M94" s="464" t="s">
        <v>50</v>
      </c>
      <c r="O94" s="464" t="s">
        <v>50</v>
      </c>
      <c r="P94" s="464" t="s">
        <v>50</v>
      </c>
      <c r="Q94" s="464" t="s">
        <v>50</v>
      </c>
      <c r="R94" s="464" t="s">
        <v>50</v>
      </c>
      <c r="S94" s="464" t="s">
        <v>50</v>
      </c>
      <c r="T94" s="464" t="s">
        <v>50</v>
      </c>
    </row>
    <row r="95" spans="1:20" ht="20.100000000000001" customHeight="1">
      <c r="A95" s="308" t="s">
        <v>1073</v>
      </c>
      <c r="B95" s="309"/>
      <c r="C95" s="309"/>
      <c r="D95" s="309"/>
      <c r="E95" s="309"/>
      <c r="F95" s="308" t="s">
        <v>50</v>
      </c>
      <c r="G95" s="464" t="s">
        <v>1868</v>
      </c>
      <c r="H95" s="464" t="s">
        <v>949</v>
      </c>
      <c r="I95" s="464" t="s">
        <v>1074</v>
      </c>
      <c r="J95" s="464" t="s">
        <v>50</v>
      </c>
      <c r="K95" s="464" t="s">
        <v>50</v>
      </c>
      <c r="M95" s="464" t="s">
        <v>50</v>
      </c>
      <c r="O95" s="464" t="s">
        <v>50</v>
      </c>
      <c r="P95" s="464" t="s">
        <v>50</v>
      </c>
      <c r="Q95" s="464" t="s">
        <v>50</v>
      </c>
      <c r="R95" s="464" t="s">
        <v>50</v>
      </c>
      <c r="S95" s="464" t="s">
        <v>50</v>
      </c>
      <c r="T95" s="464" t="s">
        <v>50</v>
      </c>
    </row>
    <row r="96" spans="1:20" ht="20.100000000000001" customHeight="1">
      <c r="A96" s="308" t="s">
        <v>948</v>
      </c>
      <c r="B96" s="309"/>
      <c r="C96" s="309"/>
      <c r="D96" s="309"/>
      <c r="E96" s="309"/>
      <c r="F96" s="308" t="s">
        <v>50</v>
      </c>
      <c r="G96" s="464" t="s">
        <v>1868</v>
      </c>
      <c r="H96" s="464" t="s">
        <v>949</v>
      </c>
      <c r="I96" s="464" t="s">
        <v>948</v>
      </c>
      <c r="J96" s="464" t="s">
        <v>50</v>
      </c>
      <c r="K96" s="464" t="s">
        <v>50</v>
      </c>
      <c r="M96" s="464" t="s">
        <v>50</v>
      </c>
      <c r="O96" s="464" t="s">
        <v>50</v>
      </c>
      <c r="P96" s="464" t="s">
        <v>50</v>
      </c>
      <c r="Q96" s="464" t="s">
        <v>50</v>
      </c>
      <c r="R96" s="464" t="s">
        <v>50</v>
      </c>
      <c r="S96" s="464" t="s">
        <v>50</v>
      </c>
      <c r="T96" s="464" t="s">
        <v>50</v>
      </c>
    </row>
    <row r="97" spans="1:20" ht="20.100000000000001" customHeight="1">
      <c r="A97" s="308" t="s">
        <v>1075</v>
      </c>
      <c r="B97" s="309"/>
      <c r="C97" s="309"/>
      <c r="D97" s="309"/>
      <c r="E97" s="309"/>
      <c r="F97" s="308" t="s">
        <v>50</v>
      </c>
      <c r="G97" s="464" t="s">
        <v>1868</v>
      </c>
      <c r="H97" s="464" t="s">
        <v>949</v>
      </c>
      <c r="I97" s="464" t="s">
        <v>1076</v>
      </c>
      <c r="J97" s="464" t="s">
        <v>50</v>
      </c>
      <c r="K97" s="464" t="s">
        <v>50</v>
      </c>
      <c r="M97" s="464" t="s">
        <v>50</v>
      </c>
      <c r="O97" s="464" t="s">
        <v>50</v>
      </c>
      <c r="P97" s="464" t="s">
        <v>50</v>
      </c>
      <c r="Q97" s="464" t="s">
        <v>50</v>
      </c>
      <c r="R97" s="464" t="s">
        <v>50</v>
      </c>
      <c r="S97" s="464" t="s">
        <v>50</v>
      </c>
      <c r="T97" s="464" t="s">
        <v>50</v>
      </c>
    </row>
    <row r="98" spans="1:20" ht="20.100000000000001" customHeight="1">
      <c r="A98" s="308" t="s">
        <v>1077</v>
      </c>
      <c r="B98" s="309"/>
      <c r="C98" s="309"/>
      <c r="D98" s="309"/>
      <c r="E98" s="309"/>
      <c r="F98" s="308" t="s">
        <v>50</v>
      </c>
      <c r="G98" s="464" t="s">
        <v>1868</v>
      </c>
      <c r="H98" s="464" t="s">
        <v>949</v>
      </c>
      <c r="I98" s="464" t="s">
        <v>1078</v>
      </c>
      <c r="J98" s="464" t="s">
        <v>50</v>
      </c>
      <c r="K98" s="464" t="s">
        <v>50</v>
      </c>
      <c r="M98" s="464" t="s">
        <v>50</v>
      </c>
      <c r="O98" s="464" t="s">
        <v>50</v>
      </c>
      <c r="P98" s="464" t="s">
        <v>50</v>
      </c>
      <c r="Q98" s="464" t="s">
        <v>50</v>
      </c>
      <c r="R98" s="464" t="s">
        <v>50</v>
      </c>
      <c r="S98" s="464" t="s">
        <v>50</v>
      </c>
      <c r="T98" s="464" t="s">
        <v>50</v>
      </c>
    </row>
    <row r="99" spans="1:20" ht="20.100000000000001" customHeight="1">
      <c r="A99" s="308" t="s">
        <v>1079</v>
      </c>
      <c r="B99" s="309"/>
      <c r="C99" s="309"/>
      <c r="D99" s="309"/>
      <c r="E99" s="309"/>
      <c r="F99" s="308" t="s">
        <v>50</v>
      </c>
      <c r="G99" s="464" t="s">
        <v>1868</v>
      </c>
      <c r="H99" s="464" t="s">
        <v>949</v>
      </c>
      <c r="I99" s="464" t="s">
        <v>1080</v>
      </c>
      <c r="J99" s="464" t="s">
        <v>50</v>
      </c>
      <c r="K99" s="464" t="s">
        <v>50</v>
      </c>
      <c r="M99" s="464" t="s">
        <v>50</v>
      </c>
      <c r="O99" s="464" t="s">
        <v>50</v>
      </c>
      <c r="P99" s="464" t="s">
        <v>50</v>
      </c>
      <c r="Q99" s="464" t="s">
        <v>50</v>
      </c>
      <c r="R99" s="464" t="s">
        <v>50</v>
      </c>
      <c r="S99" s="464" t="s">
        <v>50</v>
      </c>
      <c r="T99" s="464" t="s">
        <v>50</v>
      </c>
    </row>
    <row r="100" spans="1:20" ht="20.100000000000001" customHeight="1">
      <c r="A100" s="308" t="s">
        <v>1081</v>
      </c>
      <c r="B100" s="309"/>
      <c r="C100" s="309"/>
      <c r="D100" s="309"/>
      <c r="E100" s="309"/>
      <c r="F100" s="308" t="s">
        <v>50</v>
      </c>
      <c r="G100" s="464" t="s">
        <v>1868</v>
      </c>
      <c r="H100" s="464" t="s">
        <v>949</v>
      </c>
      <c r="I100" s="464" t="s">
        <v>1082</v>
      </c>
      <c r="J100" s="464" t="s">
        <v>50</v>
      </c>
      <c r="K100" s="464" t="s">
        <v>50</v>
      </c>
      <c r="M100" s="464" t="s">
        <v>50</v>
      </c>
      <c r="O100" s="464" t="s">
        <v>50</v>
      </c>
      <c r="P100" s="464" t="s">
        <v>50</v>
      </c>
      <c r="Q100" s="464" t="s">
        <v>50</v>
      </c>
      <c r="R100" s="464" t="s">
        <v>50</v>
      </c>
      <c r="S100" s="464" t="s">
        <v>50</v>
      </c>
      <c r="T100" s="464" t="s">
        <v>50</v>
      </c>
    </row>
    <row r="101" spans="1:20" ht="20.100000000000001" customHeight="1">
      <c r="A101" s="308" t="s">
        <v>1083</v>
      </c>
      <c r="B101" s="309"/>
      <c r="C101" s="309"/>
      <c r="D101" s="309"/>
      <c r="E101" s="309"/>
      <c r="F101" s="308" t="s">
        <v>50</v>
      </c>
      <c r="G101" s="464" t="s">
        <v>1868</v>
      </c>
      <c r="H101" s="464" t="s">
        <v>949</v>
      </c>
      <c r="I101" s="464" t="s">
        <v>1084</v>
      </c>
      <c r="J101" s="464" t="s">
        <v>50</v>
      </c>
      <c r="K101" s="464" t="s">
        <v>50</v>
      </c>
      <c r="M101" s="464" t="s">
        <v>50</v>
      </c>
      <c r="O101" s="464" t="s">
        <v>50</v>
      </c>
      <c r="P101" s="464" t="s">
        <v>50</v>
      </c>
      <c r="Q101" s="464" t="s">
        <v>50</v>
      </c>
      <c r="R101" s="464" t="s">
        <v>50</v>
      </c>
      <c r="S101" s="464" t="s">
        <v>50</v>
      </c>
      <c r="T101" s="464" t="s">
        <v>50</v>
      </c>
    </row>
    <row r="102" spans="1:20" ht="20.100000000000001" customHeight="1">
      <c r="A102" s="308" t="s">
        <v>1010</v>
      </c>
      <c r="B102" s="309"/>
      <c r="C102" s="309"/>
      <c r="D102" s="309"/>
      <c r="E102" s="309"/>
      <c r="F102" s="308" t="s">
        <v>50</v>
      </c>
      <c r="G102" s="464" t="s">
        <v>1868</v>
      </c>
      <c r="H102" s="464" t="s">
        <v>949</v>
      </c>
      <c r="I102" s="464" t="s">
        <v>1011</v>
      </c>
      <c r="J102" s="464" t="s">
        <v>50</v>
      </c>
      <c r="K102" s="464" t="s">
        <v>50</v>
      </c>
      <c r="M102" s="464" t="s">
        <v>50</v>
      </c>
      <c r="O102" s="464" t="s">
        <v>50</v>
      </c>
      <c r="P102" s="464" t="s">
        <v>50</v>
      </c>
      <c r="Q102" s="464" t="s">
        <v>50</v>
      </c>
      <c r="R102" s="464" t="s">
        <v>50</v>
      </c>
      <c r="S102" s="464" t="s">
        <v>50</v>
      </c>
      <c r="T102" s="464" t="s">
        <v>50</v>
      </c>
    </row>
    <row r="103" spans="1:20" ht="20.100000000000001" customHeight="1">
      <c r="A103" s="308" t="s">
        <v>948</v>
      </c>
      <c r="B103" s="309"/>
      <c r="C103" s="309"/>
      <c r="D103" s="309"/>
      <c r="E103" s="309"/>
      <c r="F103" s="308" t="s">
        <v>50</v>
      </c>
      <c r="G103" s="464" t="s">
        <v>1868</v>
      </c>
      <c r="H103" s="464" t="s">
        <v>949</v>
      </c>
      <c r="I103" s="464" t="s">
        <v>50</v>
      </c>
      <c r="J103" s="464" t="s">
        <v>50</v>
      </c>
      <c r="K103" s="464" t="s">
        <v>50</v>
      </c>
      <c r="M103" s="464" t="s">
        <v>50</v>
      </c>
      <c r="O103" s="464" t="s">
        <v>50</v>
      </c>
      <c r="P103" s="464" t="s">
        <v>50</v>
      </c>
      <c r="Q103" s="464" t="s">
        <v>50</v>
      </c>
      <c r="R103" s="464" t="s">
        <v>50</v>
      </c>
      <c r="S103" s="464" t="s">
        <v>50</v>
      </c>
      <c r="T103" s="464" t="s">
        <v>50</v>
      </c>
    </row>
    <row r="104" spans="1:20" ht="20.100000000000001" customHeight="1">
      <c r="A104" s="308" t="s">
        <v>1085</v>
      </c>
      <c r="B104" s="309"/>
      <c r="C104" s="309"/>
      <c r="D104" s="309"/>
      <c r="E104" s="309"/>
      <c r="F104" s="308" t="s">
        <v>50</v>
      </c>
      <c r="G104" s="464" t="s">
        <v>1868</v>
      </c>
      <c r="H104" s="464" t="s">
        <v>949</v>
      </c>
      <c r="I104" s="464" t="s">
        <v>1086</v>
      </c>
      <c r="J104" s="464" t="s">
        <v>50</v>
      </c>
      <c r="K104" s="464" t="s">
        <v>50</v>
      </c>
      <c r="M104" s="464" t="s">
        <v>50</v>
      </c>
      <c r="O104" s="464" t="s">
        <v>50</v>
      </c>
      <c r="P104" s="464" t="s">
        <v>50</v>
      </c>
      <c r="Q104" s="464" t="s">
        <v>50</v>
      </c>
      <c r="R104" s="464" t="s">
        <v>50</v>
      </c>
      <c r="S104" s="464" t="s">
        <v>50</v>
      </c>
      <c r="T104" s="464" t="s">
        <v>50</v>
      </c>
    </row>
    <row r="105" spans="1:20" ht="20.100000000000001" customHeight="1">
      <c r="A105" s="308" t="s">
        <v>1087</v>
      </c>
      <c r="B105" s="309"/>
      <c r="C105" s="309"/>
      <c r="D105" s="309"/>
      <c r="E105" s="309"/>
      <c r="F105" s="308" t="s">
        <v>50</v>
      </c>
      <c r="G105" s="464" t="s">
        <v>1868</v>
      </c>
      <c r="H105" s="464" t="s">
        <v>949</v>
      </c>
      <c r="I105" s="464" t="s">
        <v>1088</v>
      </c>
      <c r="J105" s="464" t="s">
        <v>50</v>
      </c>
      <c r="K105" s="464" t="s">
        <v>50</v>
      </c>
      <c r="M105" s="464" t="s">
        <v>50</v>
      </c>
      <c r="O105" s="464" t="s">
        <v>50</v>
      </c>
      <c r="P105" s="464" t="s">
        <v>50</v>
      </c>
      <c r="Q105" s="464" t="s">
        <v>50</v>
      </c>
      <c r="R105" s="464" t="s">
        <v>50</v>
      </c>
      <c r="S105" s="464" t="s">
        <v>50</v>
      </c>
      <c r="T105" s="464" t="s">
        <v>50</v>
      </c>
    </row>
    <row r="106" spans="1:20" ht="20.100000000000001" customHeight="1">
      <c r="A106" s="308" t="s">
        <v>1029</v>
      </c>
      <c r="B106" s="309"/>
      <c r="C106" s="309"/>
      <c r="D106" s="309"/>
      <c r="E106" s="309"/>
      <c r="F106" s="308" t="s">
        <v>50</v>
      </c>
      <c r="G106" s="464" t="s">
        <v>1868</v>
      </c>
      <c r="H106" s="464" t="s">
        <v>949</v>
      </c>
      <c r="I106" s="464" t="s">
        <v>1030</v>
      </c>
      <c r="J106" s="464" t="s">
        <v>50</v>
      </c>
      <c r="K106" s="464" t="s">
        <v>50</v>
      </c>
      <c r="M106" s="464" t="s">
        <v>50</v>
      </c>
      <c r="O106" s="464" t="s">
        <v>50</v>
      </c>
      <c r="P106" s="464" t="s">
        <v>50</v>
      </c>
      <c r="Q106" s="464" t="s">
        <v>50</v>
      </c>
      <c r="R106" s="464" t="s">
        <v>50</v>
      </c>
      <c r="S106" s="464" t="s">
        <v>50</v>
      </c>
      <c r="T106" s="464" t="s">
        <v>50</v>
      </c>
    </row>
    <row r="107" spans="1:20" ht="20.100000000000001" customHeight="1">
      <c r="A107" s="308" t="s">
        <v>1089</v>
      </c>
      <c r="B107" s="309"/>
      <c r="C107" s="309"/>
      <c r="D107" s="309"/>
      <c r="E107" s="309"/>
      <c r="F107" s="308" t="s">
        <v>50</v>
      </c>
      <c r="G107" s="464" t="s">
        <v>1868</v>
      </c>
      <c r="H107" s="464" t="s">
        <v>949</v>
      </c>
      <c r="I107" s="464" t="s">
        <v>1090</v>
      </c>
      <c r="J107" s="464" t="s">
        <v>50</v>
      </c>
      <c r="K107" s="464" t="s">
        <v>50</v>
      </c>
      <c r="M107" s="464" t="s">
        <v>50</v>
      </c>
      <c r="O107" s="464" t="s">
        <v>50</v>
      </c>
      <c r="P107" s="464" t="s">
        <v>50</v>
      </c>
      <c r="Q107" s="464" t="s">
        <v>50</v>
      </c>
      <c r="R107" s="464" t="s">
        <v>50</v>
      </c>
      <c r="S107" s="464" t="s">
        <v>50</v>
      </c>
      <c r="T107" s="464" t="s">
        <v>50</v>
      </c>
    </row>
    <row r="108" spans="1:20" ht="20.100000000000001" customHeight="1">
      <c r="A108" s="308" t="s">
        <v>1091</v>
      </c>
      <c r="B108" s="309"/>
      <c r="C108" s="309"/>
      <c r="D108" s="309"/>
      <c r="E108" s="309"/>
      <c r="F108" s="308" t="s">
        <v>50</v>
      </c>
      <c r="G108" s="464" t="s">
        <v>1868</v>
      </c>
      <c r="H108" s="464" t="s">
        <v>949</v>
      </c>
      <c r="I108" s="464" t="s">
        <v>1092</v>
      </c>
      <c r="J108" s="464" t="s">
        <v>50</v>
      </c>
      <c r="K108" s="464" t="s">
        <v>50</v>
      </c>
      <c r="M108" s="464" t="s">
        <v>50</v>
      </c>
      <c r="O108" s="464" t="s">
        <v>50</v>
      </c>
      <c r="P108" s="464" t="s">
        <v>50</v>
      </c>
      <c r="Q108" s="464" t="s">
        <v>50</v>
      </c>
      <c r="R108" s="464" t="s">
        <v>50</v>
      </c>
      <c r="S108" s="464" t="s">
        <v>50</v>
      </c>
      <c r="T108" s="464" t="s">
        <v>50</v>
      </c>
    </row>
    <row r="109" spans="1:20" ht="20.100000000000001" customHeight="1">
      <c r="A109" s="308" t="s">
        <v>1093</v>
      </c>
      <c r="B109" s="309"/>
      <c r="C109" s="309"/>
      <c r="D109" s="309"/>
      <c r="E109" s="309"/>
      <c r="F109" s="308" t="s">
        <v>50</v>
      </c>
      <c r="G109" s="464" t="s">
        <v>1868</v>
      </c>
      <c r="H109" s="464" t="s">
        <v>949</v>
      </c>
      <c r="I109" s="464" t="s">
        <v>1094</v>
      </c>
      <c r="J109" s="464" t="s">
        <v>50</v>
      </c>
      <c r="K109" s="464" t="s">
        <v>50</v>
      </c>
      <c r="M109" s="464" t="s">
        <v>50</v>
      </c>
      <c r="O109" s="464" t="s">
        <v>50</v>
      </c>
      <c r="P109" s="464" t="s">
        <v>50</v>
      </c>
      <c r="Q109" s="464" t="s">
        <v>50</v>
      </c>
      <c r="R109" s="464" t="s">
        <v>50</v>
      </c>
      <c r="S109" s="464" t="s">
        <v>50</v>
      </c>
      <c r="T109" s="464" t="s">
        <v>50</v>
      </c>
    </row>
    <row r="110" spans="1:20" ht="20.100000000000001" customHeight="1">
      <c r="A110" s="308" t="s">
        <v>1095</v>
      </c>
      <c r="B110" s="309"/>
      <c r="C110" s="309"/>
      <c r="D110" s="309"/>
      <c r="E110" s="309"/>
      <c r="F110" s="308" t="s">
        <v>50</v>
      </c>
      <c r="G110" s="464" t="s">
        <v>1868</v>
      </c>
      <c r="H110" s="464" t="s">
        <v>949</v>
      </c>
      <c r="I110" s="464" t="s">
        <v>1096</v>
      </c>
      <c r="J110" s="464" t="s">
        <v>50</v>
      </c>
      <c r="K110" s="464" t="s">
        <v>50</v>
      </c>
      <c r="M110" s="464" t="s">
        <v>50</v>
      </c>
      <c r="O110" s="464" t="s">
        <v>50</v>
      </c>
      <c r="P110" s="464" t="s">
        <v>50</v>
      </c>
      <c r="Q110" s="464" t="s">
        <v>50</v>
      </c>
      <c r="R110" s="464" t="s">
        <v>50</v>
      </c>
      <c r="S110" s="464" t="s">
        <v>50</v>
      </c>
      <c r="T110" s="464" t="s">
        <v>50</v>
      </c>
    </row>
    <row r="111" spans="1:20" ht="20.100000000000001" customHeight="1">
      <c r="A111" s="308" t="s">
        <v>1097</v>
      </c>
      <c r="B111" s="309"/>
      <c r="C111" s="309"/>
      <c r="D111" s="309"/>
      <c r="E111" s="309"/>
      <c r="F111" s="308" t="s">
        <v>50</v>
      </c>
      <c r="G111" s="464" t="s">
        <v>1868</v>
      </c>
      <c r="H111" s="464" t="s">
        <v>949</v>
      </c>
      <c r="I111" s="464" t="s">
        <v>1098</v>
      </c>
      <c r="J111" s="464" t="s">
        <v>50</v>
      </c>
      <c r="K111" s="464" t="s">
        <v>50</v>
      </c>
      <c r="M111" s="464" t="s">
        <v>50</v>
      </c>
      <c r="O111" s="464" t="s">
        <v>50</v>
      </c>
      <c r="P111" s="464" t="s">
        <v>50</v>
      </c>
      <c r="Q111" s="464" t="s">
        <v>50</v>
      </c>
      <c r="R111" s="464" t="s">
        <v>50</v>
      </c>
      <c r="S111" s="464" t="s">
        <v>50</v>
      </c>
      <c r="T111" s="464" t="s">
        <v>50</v>
      </c>
    </row>
    <row r="112" spans="1:20" ht="20.100000000000001" customHeight="1">
      <c r="A112" s="308" t="s">
        <v>1099</v>
      </c>
      <c r="B112" s="309"/>
      <c r="C112" s="309"/>
      <c r="D112" s="309"/>
      <c r="E112" s="309"/>
      <c r="F112" s="308" t="s">
        <v>50</v>
      </c>
      <c r="G112" s="464" t="s">
        <v>1868</v>
      </c>
      <c r="H112" s="464" t="s">
        <v>949</v>
      </c>
      <c r="I112" s="464" t="s">
        <v>1100</v>
      </c>
      <c r="J112" s="464" t="s">
        <v>50</v>
      </c>
      <c r="K112" s="464" t="s">
        <v>50</v>
      </c>
      <c r="M112" s="464" t="s">
        <v>50</v>
      </c>
      <c r="O112" s="464" t="s">
        <v>50</v>
      </c>
      <c r="P112" s="464" t="s">
        <v>50</v>
      </c>
      <c r="Q112" s="464" t="s">
        <v>50</v>
      </c>
      <c r="R112" s="464" t="s">
        <v>50</v>
      </c>
      <c r="S112" s="464" t="s">
        <v>50</v>
      </c>
      <c r="T112" s="464" t="s">
        <v>50</v>
      </c>
    </row>
    <row r="113" spans="1:20" ht="20.100000000000001" customHeight="1">
      <c r="A113" s="308" t="s">
        <v>948</v>
      </c>
      <c r="B113" s="309"/>
      <c r="C113" s="309"/>
      <c r="D113" s="309"/>
      <c r="E113" s="309"/>
      <c r="F113" s="308" t="s">
        <v>50</v>
      </c>
      <c r="G113" s="464" t="s">
        <v>1868</v>
      </c>
      <c r="H113" s="464" t="s">
        <v>949</v>
      </c>
      <c r="I113" s="464" t="s">
        <v>948</v>
      </c>
      <c r="J113" s="464" t="s">
        <v>50</v>
      </c>
      <c r="K113" s="464" t="s">
        <v>50</v>
      </c>
      <c r="M113" s="464" t="s">
        <v>50</v>
      </c>
      <c r="O113" s="464" t="s">
        <v>50</v>
      </c>
      <c r="P113" s="464" t="s">
        <v>50</v>
      </c>
      <c r="Q113" s="464" t="s">
        <v>50</v>
      </c>
      <c r="R113" s="464" t="s">
        <v>50</v>
      </c>
      <c r="S113" s="464" t="s">
        <v>50</v>
      </c>
      <c r="T113" s="464" t="s">
        <v>50</v>
      </c>
    </row>
    <row r="114" spans="1:20" ht="20.100000000000001" customHeight="1">
      <c r="A114" s="308" t="s">
        <v>1101</v>
      </c>
      <c r="B114" s="309"/>
      <c r="C114" s="309"/>
      <c r="D114" s="309"/>
      <c r="E114" s="309"/>
      <c r="F114" s="308" t="s">
        <v>50</v>
      </c>
      <c r="G114" s="464" t="s">
        <v>1868</v>
      </c>
      <c r="H114" s="464" t="s">
        <v>949</v>
      </c>
      <c r="I114" s="464" t="s">
        <v>1102</v>
      </c>
      <c r="J114" s="464" t="s">
        <v>50</v>
      </c>
      <c r="K114" s="464" t="s">
        <v>50</v>
      </c>
      <c r="M114" s="464" t="s">
        <v>50</v>
      </c>
      <c r="O114" s="464" t="s">
        <v>50</v>
      </c>
      <c r="P114" s="464" t="s">
        <v>50</v>
      </c>
      <c r="Q114" s="464" t="s">
        <v>50</v>
      </c>
      <c r="R114" s="464" t="s">
        <v>50</v>
      </c>
      <c r="S114" s="464" t="s">
        <v>50</v>
      </c>
      <c r="T114" s="464" t="s">
        <v>50</v>
      </c>
    </row>
    <row r="115" spans="1:20" ht="20.100000000000001" customHeight="1">
      <c r="A115" s="308" t="s">
        <v>1103</v>
      </c>
      <c r="B115" s="309"/>
      <c r="C115" s="309"/>
      <c r="D115" s="309"/>
      <c r="E115" s="309"/>
      <c r="F115" s="308" t="s">
        <v>50</v>
      </c>
      <c r="G115" s="464" t="s">
        <v>1868</v>
      </c>
      <c r="H115" s="464" t="s">
        <v>949</v>
      </c>
      <c r="I115" s="464" t="s">
        <v>1104</v>
      </c>
      <c r="J115" s="464" t="s">
        <v>50</v>
      </c>
      <c r="K115" s="464" t="s">
        <v>50</v>
      </c>
      <c r="M115" s="464" t="s">
        <v>50</v>
      </c>
      <c r="O115" s="464" t="s">
        <v>50</v>
      </c>
      <c r="P115" s="464" t="s">
        <v>50</v>
      </c>
      <c r="Q115" s="464" t="s">
        <v>50</v>
      </c>
      <c r="R115" s="464" t="s">
        <v>50</v>
      </c>
      <c r="S115" s="464" t="s">
        <v>50</v>
      </c>
      <c r="T115" s="464" t="s">
        <v>50</v>
      </c>
    </row>
    <row r="116" spans="1:20" ht="20.100000000000001" customHeight="1">
      <c r="A116" s="308" t="s">
        <v>1105</v>
      </c>
      <c r="B116" s="309"/>
      <c r="C116" s="309"/>
      <c r="D116" s="309"/>
      <c r="E116" s="309"/>
      <c r="F116" s="308" t="s">
        <v>50</v>
      </c>
      <c r="G116" s="464" t="s">
        <v>1868</v>
      </c>
      <c r="H116" s="464" t="s">
        <v>949</v>
      </c>
      <c r="I116" s="464" t="s">
        <v>1106</v>
      </c>
      <c r="J116" s="464" t="s">
        <v>50</v>
      </c>
      <c r="K116" s="464" t="s">
        <v>50</v>
      </c>
      <c r="M116" s="464" t="s">
        <v>50</v>
      </c>
      <c r="O116" s="464" t="s">
        <v>50</v>
      </c>
      <c r="P116" s="464" t="s">
        <v>50</v>
      </c>
      <c r="Q116" s="464" t="s">
        <v>50</v>
      </c>
      <c r="R116" s="464" t="s">
        <v>50</v>
      </c>
      <c r="S116" s="464" t="s">
        <v>50</v>
      </c>
      <c r="T116" s="464" t="s">
        <v>50</v>
      </c>
    </row>
    <row r="117" spans="1:20" ht="20.100000000000001" customHeight="1">
      <c r="A117" s="308" t="s">
        <v>1031</v>
      </c>
      <c r="B117" s="309"/>
      <c r="C117" s="309"/>
      <c r="D117" s="309"/>
      <c r="E117" s="309"/>
      <c r="F117" s="308" t="s">
        <v>50</v>
      </c>
      <c r="G117" s="464" t="s">
        <v>1868</v>
      </c>
      <c r="H117" s="464" t="s">
        <v>949</v>
      </c>
      <c r="I117" s="464" t="s">
        <v>1032</v>
      </c>
      <c r="J117" s="464" t="s">
        <v>50</v>
      </c>
      <c r="K117" s="464" t="s">
        <v>50</v>
      </c>
      <c r="M117" s="464" t="s">
        <v>50</v>
      </c>
      <c r="O117" s="464" t="s">
        <v>50</v>
      </c>
      <c r="P117" s="464" t="s">
        <v>50</v>
      </c>
      <c r="Q117" s="464" t="s">
        <v>50</v>
      </c>
      <c r="R117" s="464" t="s">
        <v>50</v>
      </c>
      <c r="S117" s="464" t="s">
        <v>50</v>
      </c>
      <c r="T117" s="464" t="s">
        <v>50</v>
      </c>
    </row>
    <row r="118" spans="1:20" ht="20.100000000000001" customHeight="1">
      <c r="A118" s="308" t="s">
        <v>1107</v>
      </c>
      <c r="B118" s="309"/>
      <c r="C118" s="309"/>
      <c r="D118" s="309"/>
      <c r="E118" s="309"/>
      <c r="F118" s="308" t="s">
        <v>50</v>
      </c>
      <c r="G118" s="464" t="s">
        <v>1868</v>
      </c>
      <c r="H118" s="464" t="s">
        <v>949</v>
      </c>
      <c r="I118" s="464" t="s">
        <v>1108</v>
      </c>
      <c r="J118" s="464" t="s">
        <v>50</v>
      </c>
      <c r="K118" s="464" t="s">
        <v>50</v>
      </c>
      <c r="M118" s="464" t="s">
        <v>50</v>
      </c>
      <c r="O118" s="464" t="s">
        <v>50</v>
      </c>
      <c r="P118" s="464" t="s">
        <v>50</v>
      </c>
      <c r="Q118" s="464" t="s">
        <v>50</v>
      </c>
      <c r="R118" s="464" t="s">
        <v>50</v>
      </c>
      <c r="S118" s="464" t="s">
        <v>50</v>
      </c>
      <c r="T118" s="464" t="s">
        <v>50</v>
      </c>
    </row>
    <row r="119" spans="1:20" ht="20.100000000000001" customHeight="1">
      <c r="A119" s="308" t="s">
        <v>1033</v>
      </c>
      <c r="B119" s="309"/>
      <c r="C119" s="309"/>
      <c r="D119" s="309"/>
      <c r="E119" s="309"/>
      <c r="F119" s="308" t="s">
        <v>50</v>
      </c>
      <c r="G119" s="464" t="s">
        <v>1868</v>
      </c>
      <c r="H119" s="464" t="s">
        <v>949</v>
      </c>
      <c r="I119" s="464" t="s">
        <v>1034</v>
      </c>
      <c r="J119" s="464" t="s">
        <v>50</v>
      </c>
      <c r="K119" s="464" t="s">
        <v>50</v>
      </c>
      <c r="M119" s="464" t="s">
        <v>50</v>
      </c>
      <c r="O119" s="464" t="s">
        <v>50</v>
      </c>
      <c r="P119" s="464" t="s">
        <v>50</v>
      </c>
      <c r="Q119" s="464" t="s">
        <v>50</v>
      </c>
      <c r="R119" s="464" t="s">
        <v>50</v>
      </c>
      <c r="S119" s="464" t="s">
        <v>50</v>
      </c>
      <c r="T119" s="464" t="s">
        <v>50</v>
      </c>
    </row>
    <row r="120" spans="1:20" ht="20.100000000000001" customHeight="1">
      <c r="A120" s="308" t="s">
        <v>948</v>
      </c>
      <c r="B120" s="309"/>
      <c r="C120" s="309"/>
      <c r="D120" s="309"/>
      <c r="E120" s="309"/>
      <c r="F120" s="308" t="s">
        <v>50</v>
      </c>
      <c r="G120" s="464" t="s">
        <v>1868</v>
      </c>
      <c r="H120" s="464" t="s">
        <v>949</v>
      </c>
      <c r="I120" s="464" t="s">
        <v>948</v>
      </c>
      <c r="J120" s="464" t="s">
        <v>50</v>
      </c>
      <c r="K120" s="464" t="s">
        <v>50</v>
      </c>
      <c r="M120" s="464" t="s">
        <v>50</v>
      </c>
      <c r="O120" s="464" t="s">
        <v>50</v>
      </c>
      <c r="P120" s="464" t="s">
        <v>50</v>
      </c>
      <c r="Q120" s="464" t="s">
        <v>50</v>
      </c>
      <c r="R120" s="464" t="s">
        <v>50</v>
      </c>
      <c r="S120" s="464" t="s">
        <v>50</v>
      </c>
      <c r="T120" s="464" t="s">
        <v>50</v>
      </c>
    </row>
    <row r="121" spans="1:20" ht="20.100000000000001" customHeight="1">
      <c r="A121" s="308" t="s">
        <v>1109</v>
      </c>
      <c r="B121" s="309"/>
      <c r="C121" s="309"/>
      <c r="D121" s="309"/>
      <c r="E121" s="309"/>
      <c r="F121" s="308" t="s">
        <v>50</v>
      </c>
      <c r="G121" s="464" t="s">
        <v>1868</v>
      </c>
      <c r="H121" s="464" t="s">
        <v>949</v>
      </c>
      <c r="I121" s="464" t="s">
        <v>1110</v>
      </c>
      <c r="J121" s="464" t="s">
        <v>50</v>
      </c>
      <c r="K121" s="464" t="s">
        <v>50</v>
      </c>
      <c r="M121" s="464" t="s">
        <v>50</v>
      </c>
      <c r="O121" s="464" t="s">
        <v>50</v>
      </c>
      <c r="P121" s="464" t="s">
        <v>50</v>
      </c>
      <c r="Q121" s="464" t="s">
        <v>50</v>
      </c>
      <c r="R121" s="464" t="s">
        <v>50</v>
      </c>
      <c r="S121" s="464" t="s">
        <v>50</v>
      </c>
      <c r="T121" s="464" t="s">
        <v>50</v>
      </c>
    </row>
    <row r="122" spans="1:20" ht="20.100000000000001" customHeight="1">
      <c r="A122" s="308" t="s">
        <v>1111</v>
      </c>
      <c r="B122" s="309"/>
      <c r="C122" s="309"/>
      <c r="D122" s="309"/>
      <c r="E122" s="309"/>
      <c r="F122" s="308" t="s">
        <v>50</v>
      </c>
      <c r="G122" s="464" t="s">
        <v>1868</v>
      </c>
      <c r="H122" s="464" t="s">
        <v>949</v>
      </c>
      <c r="I122" s="464" t="s">
        <v>1112</v>
      </c>
      <c r="J122" s="464" t="s">
        <v>50</v>
      </c>
      <c r="K122" s="464" t="s">
        <v>50</v>
      </c>
      <c r="M122" s="464" t="s">
        <v>50</v>
      </c>
      <c r="O122" s="464" t="s">
        <v>50</v>
      </c>
      <c r="P122" s="464" t="s">
        <v>50</v>
      </c>
      <c r="Q122" s="464" t="s">
        <v>50</v>
      </c>
      <c r="R122" s="464" t="s">
        <v>50</v>
      </c>
      <c r="S122" s="464" t="s">
        <v>50</v>
      </c>
      <c r="T122" s="464" t="s">
        <v>50</v>
      </c>
    </row>
    <row r="123" spans="1:20" ht="20.100000000000001" customHeight="1">
      <c r="A123" s="308" t="s">
        <v>1113</v>
      </c>
      <c r="B123" s="309"/>
      <c r="C123" s="309"/>
      <c r="D123" s="309"/>
      <c r="E123" s="309"/>
      <c r="F123" s="308" t="s">
        <v>50</v>
      </c>
      <c r="G123" s="464" t="s">
        <v>1868</v>
      </c>
      <c r="H123" s="464" t="s">
        <v>949</v>
      </c>
      <c r="I123" s="464" t="s">
        <v>1114</v>
      </c>
      <c r="J123" s="464" t="s">
        <v>50</v>
      </c>
      <c r="K123" s="464" t="s">
        <v>50</v>
      </c>
      <c r="M123" s="464" t="s">
        <v>50</v>
      </c>
      <c r="O123" s="464" t="s">
        <v>50</v>
      </c>
      <c r="P123" s="464" t="s">
        <v>50</v>
      </c>
      <c r="Q123" s="464" t="s">
        <v>50</v>
      </c>
      <c r="R123" s="464" t="s">
        <v>50</v>
      </c>
      <c r="S123" s="464" t="s">
        <v>50</v>
      </c>
      <c r="T123" s="464" t="s">
        <v>50</v>
      </c>
    </row>
    <row r="124" spans="1:20" ht="20.100000000000001" customHeight="1">
      <c r="A124" s="308" t="s">
        <v>1608</v>
      </c>
      <c r="B124" s="309"/>
      <c r="C124" s="309"/>
      <c r="D124" s="309"/>
      <c r="E124" s="309"/>
      <c r="F124" s="308" t="s">
        <v>50</v>
      </c>
      <c r="G124" s="464" t="s">
        <v>1868</v>
      </c>
      <c r="H124" s="464" t="s">
        <v>949</v>
      </c>
      <c r="I124" s="464" t="s">
        <v>1115</v>
      </c>
      <c r="J124" s="464" t="s">
        <v>50</v>
      </c>
      <c r="K124" s="464" t="s">
        <v>50</v>
      </c>
      <c r="M124" s="464" t="s">
        <v>50</v>
      </c>
      <c r="O124" s="464" t="s">
        <v>50</v>
      </c>
      <c r="P124" s="464" t="s">
        <v>50</v>
      </c>
      <c r="Q124" s="464" t="s">
        <v>50</v>
      </c>
      <c r="R124" s="464" t="s">
        <v>50</v>
      </c>
      <c r="S124" s="464" t="s">
        <v>50</v>
      </c>
      <c r="T124" s="464" t="s">
        <v>50</v>
      </c>
    </row>
    <row r="125" spans="1:20" ht="20.100000000000001" customHeight="1">
      <c r="A125" s="308" t="s">
        <v>1116</v>
      </c>
      <c r="B125" s="309"/>
      <c r="C125" s="309"/>
      <c r="D125" s="309"/>
      <c r="E125" s="309"/>
      <c r="F125" s="308" t="s">
        <v>50</v>
      </c>
      <c r="G125" s="464" t="s">
        <v>1868</v>
      </c>
      <c r="H125" s="464" t="s">
        <v>949</v>
      </c>
      <c r="I125" s="464" t="s">
        <v>1117</v>
      </c>
      <c r="J125" s="464" t="s">
        <v>50</v>
      </c>
      <c r="K125" s="464" t="s">
        <v>50</v>
      </c>
      <c r="M125" s="464" t="s">
        <v>50</v>
      </c>
      <c r="O125" s="464" t="s">
        <v>50</v>
      </c>
      <c r="P125" s="464" t="s">
        <v>50</v>
      </c>
      <c r="Q125" s="464" t="s">
        <v>50</v>
      </c>
      <c r="R125" s="464" t="s">
        <v>50</v>
      </c>
      <c r="S125" s="464" t="s">
        <v>50</v>
      </c>
      <c r="T125" s="464" t="s">
        <v>50</v>
      </c>
    </row>
    <row r="126" spans="1:20" ht="20.100000000000001" customHeight="1">
      <c r="A126" s="308" t="s">
        <v>1118</v>
      </c>
      <c r="B126" s="309"/>
      <c r="C126" s="309"/>
      <c r="D126" s="309"/>
      <c r="E126" s="309"/>
      <c r="F126" s="308" t="s">
        <v>50</v>
      </c>
      <c r="G126" s="464" t="s">
        <v>1868</v>
      </c>
      <c r="H126" s="464" t="s">
        <v>949</v>
      </c>
      <c r="I126" s="464" t="s">
        <v>1119</v>
      </c>
      <c r="J126" s="464" t="s">
        <v>50</v>
      </c>
      <c r="K126" s="464" t="s">
        <v>50</v>
      </c>
      <c r="M126" s="464" t="s">
        <v>50</v>
      </c>
      <c r="O126" s="464" t="s">
        <v>50</v>
      </c>
      <c r="P126" s="464" t="s">
        <v>50</v>
      </c>
      <c r="Q126" s="464" t="s">
        <v>50</v>
      </c>
      <c r="R126" s="464" t="s">
        <v>50</v>
      </c>
      <c r="S126" s="464" t="s">
        <v>50</v>
      </c>
      <c r="T126" s="464" t="s">
        <v>50</v>
      </c>
    </row>
    <row r="127" spans="1:20" ht="20.100000000000001" customHeight="1">
      <c r="A127" s="308" t="s">
        <v>960</v>
      </c>
      <c r="B127" s="309"/>
      <c r="C127" s="309"/>
      <c r="D127" s="309"/>
      <c r="E127" s="309"/>
      <c r="F127" s="308" t="s">
        <v>50</v>
      </c>
      <c r="G127" s="464" t="s">
        <v>1868</v>
      </c>
      <c r="H127" s="464" t="s">
        <v>949</v>
      </c>
      <c r="I127" s="464" t="s">
        <v>961</v>
      </c>
      <c r="J127" s="464" t="s">
        <v>50</v>
      </c>
      <c r="K127" s="464" t="s">
        <v>50</v>
      </c>
      <c r="M127" s="464" t="s">
        <v>50</v>
      </c>
      <c r="O127" s="464" t="s">
        <v>50</v>
      </c>
      <c r="P127" s="464" t="s">
        <v>50</v>
      </c>
      <c r="Q127" s="464" t="s">
        <v>50</v>
      </c>
      <c r="R127" s="464" t="s">
        <v>50</v>
      </c>
      <c r="S127" s="464" t="s">
        <v>50</v>
      </c>
      <c r="T127" s="464" t="s">
        <v>50</v>
      </c>
    </row>
    <row r="128" spans="1:20" ht="20.100000000000001" customHeight="1">
      <c r="A128" s="308" t="s">
        <v>948</v>
      </c>
      <c r="B128" s="309"/>
      <c r="C128" s="309"/>
      <c r="D128" s="309"/>
      <c r="E128" s="309"/>
      <c r="F128" s="308" t="s">
        <v>50</v>
      </c>
      <c r="G128" s="464" t="s">
        <v>1868</v>
      </c>
      <c r="H128" s="464" t="s">
        <v>949</v>
      </c>
      <c r="I128" s="464" t="s">
        <v>50</v>
      </c>
      <c r="J128" s="464" t="s">
        <v>50</v>
      </c>
      <c r="K128" s="464" t="s">
        <v>50</v>
      </c>
      <c r="M128" s="464" t="s">
        <v>50</v>
      </c>
      <c r="O128" s="464" t="s">
        <v>50</v>
      </c>
      <c r="P128" s="464" t="s">
        <v>50</v>
      </c>
      <c r="Q128" s="464" t="s">
        <v>50</v>
      </c>
      <c r="R128" s="464" t="s">
        <v>50</v>
      </c>
      <c r="S128" s="464" t="s">
        <v>50</v>
      </c>
      <c r="T128" s="464" t="s">
        <v>50</v>
      </c>
    </row>
    <row r="129" spans="1:20" ht="20.100000000000001" customHeight="1">
      <c r="A129" s="308" t="s">
        <v>1120</v>
      </c>
      <c r="B129" s="309"/>
      <c r="C129" s="309"/>
      <c r="D129" s="309"/>
      <c r="E129" s="309"/>
      <c r="F129" s="308" t="s">
        <v>50</v>
      </c>
      <c r="G129" s="464" t="s">
        <v>1868</v>
      </c>
      <c r="H129" s="464" t="s">
        <v>949</v>
      </c>
      <c r="I129" s="464" t="s">
        <v>1121</v>
      </c>
      <c r="J129" s="464" t="s">
        <v>50</v>
      </c>
      <c r="K129" s="464" t="s">
        <v>50</v>
      </c>
      <c r="M129" s="464" t="s">
        <v>50</v>
      </c>
      <c r="O129" s="464" t="s">
        <v>50</v>
      </c>
      <c r="P129" s="464" t="s">
        <v>50</v>
      </c>
      <c r="Q129" s="464" t="s">
        <v>50</v>
      </c>
      <c r="R129" s="464" t="s">
        <v>50</v>
      </c>
      <c r="S129" s="464" t="s">
        <v>50</v>
      </c>
      <c r="T129" s="464" t="s">
        <v>50</v>
      </c>
    </row>
    <row r="130" spans="1:20" ht="20.100000000000001" customHeight="1">
      <c r="A130" s="308" t="s">
        <v>1049</v>
      </c>
      <c r="B130" s="309"/>
      <c r="C130" s="309"/>
      <c r="D130" s="309"/>
      <c r="E130" s="309"/>
      <c r="F130" s="308" t="s">
        <v>50</v>
      </c>
      <c r="G130" s="464" t="s">
        <v>1868</v>
      </c>
      <c r="H130" s="464" t="s">
        <v>949</v>
      </c>
      <c r="I130" s="464" t="s">
        <v>1050</v>
      </c>
      <c r="J130" s="464" t="s">
        <v>50</v>
      </c>
      <c r="K130" s="464" t="s">
        <v>50</v>
      </c>
      <c r="M130" s="464" t="s">
        <v>50</v>
      </c>
      <c r="O130" s="464" t="s">
        <v>50</v>
      </c>
      <c r="P130" s="464" t="s">
        <v>50</v>
      </c>
      <c r="Q130" s="464" t="s">
        <v>50</v>
      </c>
      <c r="R130" s="464" t="s">
        <v>50</v>
      </c>
      <c r="S130" s="464" t="s">
        <v>50</v>
      </c>
      <c r="T130" s="464" t="s">
        <v>50</v>
      </c>
    </row>
    <row r="131" spans="1:20" ht="20.100000000000001" customHeight="1">
      <c r="A131" s="308" t="s">
        <v>1051</v>
      </c>
      <c r="B131" s="309"/>
      <c r="C131" s="309"/>
      <c r="D131" s="309"/>
      <c r="E131" s="309"/>
      <c r="F131" s="308" t="s">
        <v>50</v>
      </c>
      <c r="G131" s="464" t="s">
        <v>1868</v>
      </c>
      <c r="H131" s="464" t="s">
        <v>949</v>
      </c>
      <c r="I131" s="464" t="s">
        <v>1052</v>
      </c>
      <c r="J131" s="464" t="s">
        <v>50</v>
      </c>
      <c r="K131" s="464" t="s">
        <v>50</v>
      </c>
      <c r="M131" s="464" t="s">
        <v>50</v>
      </c>
      <c r="O131" s="464" t="s">
        <v>50</v>
      </c>
      <c r="P131" s="464" t="s">
        <v>50</v>
      </c>
      <c r="Q131" s="464" t="s">
        <v>50</v>
      </c>
      <c r="R131" s="464" t="s">
        <v>50</v>
      </c>
      <c r="S131" s="464" t="s">
        <v>50</v>
      </c>
      <c r="T131" s="464" t="s">
        <v>50</v>
      </c>
    </row>
    <row r="132" spans="1:20" ht="20.100000000000001" customHeight="1">
      <c r="A132" s="308" t="s">
        <v>1053</v>
      </c>
      <c r="B132" s="309"/>
      <c r="C132" s="309"/>
      <c r="D132" s="309"/>
      <c r="E132" s="309"/>
      <c r="F132" s="308" t="s">
        <v>50</v>
      </c>
      <c r="G132" s="464" t="s">
        <v>1868</v>
      </c>
      <c r="H132" s="464" t="s">
        <v>949</v>
      </c>
      <c r="I132" s="464" t="s">
        <v>1054</v>
      </c>
      <c r="J132" s="464" t="s">
        <v>50</v>
      </c>
      <c r="K132" s="464" t="s">
        <v>50</v>
      </c>
      <c r="M132" s="464" t="s">
        <v>50</v>
      </c>
      <c r="O132" s="464" t="s">
        <v>50</v>
      </c>
      <c r="P132" s="464" t="s">
        <v>50</v>
      </c>
      <c r="Q132" s="464" t="s">
        <v>50</v>
      </c>
      <c r="R132" s="464" t="s">
        <v>50</v>
      </c>
      <c r="S132" s="464" t="s">
        <v>50</v>
      </c>
      <c r="T132" s="464" t="s">
        <v>50</v>
      </c>
    </row>
    <row r="133" spans="1:20" ht="20.100000000000001" customHeight="1">
      <c r="A133" s="308" t="s">
        <v>1055</v>
      </c>
      <c r="B133" s="309"/>
      <c r="C133" s="309"/>
      <c r="D133" s="309"/>
      <c r="E133" s="309"/>
      <c r="F133" s="308" t="s">
        <v>50</v>
      </c>
      <c r="G133" s="464" t="s">
        <v>1868</v>
      </c>
      <c r="H133" s="464" t="s">
        <v>949</v>
      </c>
      <c r="I133" s="464" t="s">
        <v>1056</v>
      </c>
      <c r="J133" s="464" t="s">
        <v>50</v>
      </c>
      <c r="K133" s="464" t="s">
        <v>50</v>
      </c>
      <c r="M133" s="464" t="s">
        <v>50</v>
      </c>
      <c r="O133" s="464" t="s">
        <v>50</v>
      </c>
      <c r="P133" s="464" t="s">
        <v>50</v>
      </c>
      <c r="Q133" s="464" t="s">
        <v>50</v>
      </c>
      <c r="R133" s="464" t="s">
        <v>50</v>
      </c>
      <c r="S133" s="464" t="s">
        <v>50</v>
      </c>
      <c r="T133" s="464" t="s">
        <v>50</v>
      </c>
    </row>
    <row r="134" spans="1:20" ht="20.100000000000001" customHeight="1">
      <c r="A134" s="308" t="s">
        <v>1057</v>
      </c>
      <c r="B134" s="309"/>
      <c r="C134" s="309"/>
      <c r="D134" s="309"/>
      <c r="E134" s="309"/>
      <c r="F134" s="308" t="s">
        <v>50</v>
      </c>
      <c r="G134" s="464" t="s">
        <v>1868</v>
      </c>
      <c r="H134" s="464" t="s">
        <v>949</v>
      </c>
      <c r="I134" s="464" t="s">
        <v>1058</v>
      </c>
      <c r="J134" s="464" t="s">
        <v>50</v>
      </c>
      <c r="K134" s="464" t="s">
        <v>50</v>
      </c>
      <c r="M134" s="464" t="s">
        <v>50</v>
      </c>
      <c r="O134" s="464" t="s">
        <v>50</v>
      </c>
      <c r="P134" s="464" t="s">
        <v>50</v>
      </c>
      <c r="Q134" s="464" t="s">
        <v>50</v>
      </c>
      <c r="R134" s="464" t="s">
        <v>50</v>
      </c>
      <c r="S134" s="464" t="s">
        <v>50</v>
      </c>
      <c r="T134" s="464" t="s">
        <v>50</v>
      </c>
    </row>
    <row r="135" spans="1:20" ht="20.100000000000001" customHeight="1">
      <c r="A135" s="308" t="s">
        <v>1059</v>
      </c>
      <c r="B135" s="309"/>
      <c r="C135" s="309"/>
      <c r="D135" s="309"/>
      <c r="E135" s="309"/>
      <c r="F135" s="308" t="s">
        <v>50</v>
      </c>
      <c r="G135" s="464" t="s">
        <v>1868</v>
      </c>
      <c r="H135" s="464" t="s">
        <v>949</v>
      </c>
      <c r="I135" s="464" t="s">
        <v>1060</v>
      </c>
      <c r="J135" s="464" t="s">
        <v>50</v>
      </c>
      <c r="K135" s="464" t="s">
        <v>50</v>
      </c>
      <c r="M135" s="464" t="s">
        <v>50</v>
      </c>
      <c r="O135" s="464" t="s">
        <v>50</v>
      </c>
      <c r="P135" s="464" t="s">
        <v>50</v>
      </c>
      <c r="Q135" s="464" t="s">
        <v>50</v>
      </c>
      <c r="R135" s="464" t="s">
        <v>50</v>
      </c>
      <c r="S135" s="464" t="s">
        <v>50</v>
      </c>
      <c r="T135" s="464" t="s">
        <v>50</v>
      </c>
    </row>
    <row r="136" spans="1:20" ht="20.100000000000001" customHeight="1">
      <c r="A136" s="308" t="s">
        <v>1061</v>
      </c>
      <c r="B136" s="309"/>
      <c r="C136" s="309"/>
      <c r="D136" s="309"/>
      <c r="E136" s="309"/>
      <c r="F136" s="308" t="s">
        <v>50</v>
      </c>
      <c r="G136" s="464" t="s">
        <v>1868</v>
      </c>
      <c r="H136" s="464" t="s">
        <v>949</v>
      </c>
      <c r="I136" s="464" t="s">
        <v>1062</v>
      </c>
      <c r="J136" s="464" t="s">
        <v>50</v>
      </c>
      <c r="K136" s="464" t="s">
        <v>50</v>
      </c>
      <c r="M136" s="464" t="s">
        <v>50</v>
      </c>
      <c r="O136" s="464" t="s">
        <v>50</v>
      </c>
      <c r="P136" s="464" t="s">
        <v>50</v>
      </c>
      <c r="Q136" s="464" t="s">
        <v>50</v>
      </c>
      <c r="R136" s="464" t="s">
        <v>50</v>
      </c>
      <c r="S136" s="464" t="s">
        <v>50</v>
      </c>
      <c r="T136" s="464" t="s">
        <v>50</v>
      </c>
    </row>
    <row r="137" spans="1:20" ht="20.100000000000001" customHeight="1">
      <c r="A137" s="308" t="s">
        <v>1063</v>
      </c>
      <c r="B137" s="309"/>
      <c r="C137" s="309"/>
      <c r="D137" s="309"/>
      <c r="E137" s="309"/>
      <c r="F137" s="308" t="s">
        <v>50</v>
      </c>
      <c r="G137" s="464" t="s">
        <v>1868</v>
      </c>
      <c r="H137" s="464" t="s">
        <v>949</v>
      </c>
      <c r="I137" s="464" t="s">
        <v>1064</v>
      </c>
      <c r="J137" s="464" t="s">
        <v>50</v>
      </c>
      <c r="K137" s="464" t="s">
        <v>50</v>
      </c>
      <c r="M137" s="464" t="s">
        <v>50</v>
      </c>
      <c r="O137" s="464" t="s">
        <v>50</v>
      </c>
      <c r="P137" s="464" t="s">
        <v>50</v>
      </c>
      <c r="Q137" s="464" t="s">
        <v>50</v>
      </c>
      <c r="R137" s="464" t="s">
        <v>50</v>
      </c>
      <c r="S137" s="464" t="s">
        <v>50</v>
      </c>
      <c r="T137" s="464" t="s">
        <v>50</v>
      </c>
    </row>
    <row r="138" spans="1:20" ht="20.100000000000001" customHeight="1">
      <c r="A138" s="308" t="s">
        <v>1065</v>
      </c>
      <c r="B138" s="309"/>
      <c r="C138" s="309"/>
      <c r="D138" s="309"/>
      <c r="E138" s="309"/>
      <c r="F138" s="308" t="s">
        <v>50</v>
      </c>
      <c r="G138" s="464" t="s">
        <v>1868</v>
      </c>
      <c r="H138" s="464" t="s">
        <v>949</v>
      </c>
      <c r="I138" s="464" t="s">
        <v>1066</v>
      </c>
      <c r="J138" s="464" t="s">
        <v>50</v>
      </c>
      <c r="K138" s="464" t="s">
        <v>50</v>
      </c>
      <c r="M138" s="464" t="s">
        <v>50</v>
      </c>
      <c r="O138" s="464" t="s">
        <v>50</v>
      </c>
      <c r="P138" s="464" t="s">
        <v>50</v>
      </c>
      <c r="Q138" s="464" t="s">
        <v>50</v>
      </c>
      <c r="R138" s="464" t="s">
        <v>50</v>
      </c>
      <c r="S138" s="464" t="s">
        <v>50</v>
      </c>
      <c r="T138" s="464" t="s">
        <v>50</v>
      </c>
    </row>
    <row r="139" spans="1:20" ht="20.100000000000001" customHeight="1">
      <c r="A139" s="308" t="s">
        <v>1067</v>
      </c>
      <c r="B139" s="309"/>
      <c r="C139" s="309"/>
      <c r="D139" s="309"/>
      <c r="E139" s="309"/>
      <c r="F139" s="308" t="s">
        <v>50</v>
      </c>
      <c r="G139" s="464" t="s">
        <v>1868</v>
      </c>
      <c r="H139" s="464" t="s">
        <v>949</v>
      </c>
      <c r="I139" s="464" t="s">
        <v>1068</v>
      </c>
      <c r="J139" s="464" t="s">
        <v>50</v>
      </c>
      <c r="K139" s="464" t="s">
        <v>50</v>
      </c>
      <c r="M139" s="464" t="s">
        <v>50</v>
      </c>
      <c r="O139" s="464" t="s">
        <v>50</v>
      </c>
      <c r="P139" s="464" t="s">
        <v>50</v>
      </c>
      <c r="Q139" s="464" t="s">
        <v>50</v>
      </c>
      <c r="R139" s="464" t="s">
        <v>50</v>
      </c>
      <c r="S139" s="464" t="s">
        <v>50</v>
      </c>
      <c r="T139" s="464" t="s">
        <v>50</v>
      </c>
    </row>
    <row r="140" spans="1:20" ht="20.100000000000001" customHeight="1">
      <c r="A140" s="308" t="s">
        <v>1069</v>
      </c>
      <c r="B140" s="309"/>
      <c r="C140" s="309"/>
      <c r="D140" s="309"/>
      <c r="E140" s="309"/>
      <c r="F140" s="308" t="s">
        <v>50</v>
      </c>
      <c r="G140" s="464" t="s">
        <v>1868</v>
      </c>
      <c r="H140" s="464" t="s">
        <v>949</v>
      </c>
      <c r="I140" s="464" t="s">
        <v>1070</v>
      </c>
      <c r="J140" s="464" t="s">
        <v>50</v>
      </c>
      <c r="K140" s="464" t="s">
        <v>50</v>
      </c>
      <c r="M140" s="464" t="s">
        <v>50</v>
      </c>
      <c r="O140" s="464" t="s">
        <v>50</v>
      </c>
      <c r="P140" s="464" t="s">
        <v>50</v>
      </c>
      <c r="Q140" s="464" t="s">
        <v>50</v>
      </c>
      <c r="R140" s="464" t="s">
        <v>50</v>
      </c>
      <c r="S140" s="464" t="s">
        <v>50</v>
      </c>
      <c r="T140" s="464" t="s">
        <v>50</v>
      </c>
    </row>
    <row r="141" spans="1:20" ht="20.100000000000001" customHeight="1">
      <c r="A141" s="308" t="s">
        <v>948</v>
      </c>
      <c r="B141" s="309"/>
      <c r="C141" s="309"/>
      <c r="D141" s="309"/>
      <c r="E141" s="309"/>
      <c r="F141" s="308" t="s">
        <v>50</v>
      </c>
      <c r="G141" s="464" t="s">
        <v>1868</v>
      </c>
      <c r="H141" s="464" t="s">
        <v>949</v>
      </c>
      <c r="I141" s="464" t="s">
        <v>50</v>
      </c>
      <c r="J141" s="464" t="s">
        <v>50</v>
      </c>
      <c r="K141" s="464" t="s">
        <v>50</v>
      </c>
      <c r="M141" s="464" t="s">
        <v>50</v>
      </c>
      <c r="O141" s="464" t="s">
        <v>50</v>
      </c>
      <c r="P141" s="464" t="s">
        <v>50</v>
      </c>
      <c r="Q141" s="464" t="s">
        <v>50</v>
      </c>
      <c r="R141" s="464" t="s">
        <v>50</v>
      </c>
      <c r="S141" s="464" t="s">
        <v>50</v>
      </c>
      <c r="T141" s="464" t="s">
        <v>50</v>
      </c>
    </row>
    <row r="142" spans="1:20" ht="20.100000000000001" customHeight="1">
      <c r="A142" s="308" t="s">
        <v>1035</v>
      </c>
      <c r="B142" s="309"/>
      <c r="C142" s="309"/>
      <c r="D142" s="309"/>
      <c r="E142" s="309"/>
      <c r="F142" s="308" t="s">
        <v>50</v>
      </c>
      <c r="G142" s="464" t="s">
        <v>1868</v>
      </c>
      <c r="H142" s="464" t="s">
        <v>949</v>
      </c>
      <c r="I142" s="464" t="s">
        <v>1036</v>
      </c>
      <c r="J142" s="464" t="s">
        <v>50</v>
      </c>
      <c r="K142" s="464" t="s">
        <v>50</v>
      </c>
      <c r="M142" s="464" t="s">
        <v>50</v>
      </c>
      <c r="O142" s="464" t="s">
        <v>50</v>
      </c>
      <c r="P142" s="464" t="s">
        <v>50</v>
      </c>
      <c r="Q142" s="464" t="s">
        <v>50</v>
      </c>
      <c r="R142" s="464" t="s">
        <v>50</v>
      </c>
      <c r="S142" s="464" t="s">
        <v>50</v>
      </c>
      <c r="T142" s="464" t="s">
        <v>50</v>
      </c>
    </row>
    <row r="143" spans="1:20" ht="20.100000000000001" customHeight="1">
      <c r="A143" s="308" t="s">
        <v>1071</v>
      </c>
      <c r="B143" s="309"/>
      <c r="C143" s="309"/>
      <c r="D143" s="309"/>
      <c r="E143" s="309"/>
      <c r="F143" s="308" t="s">
        <v>50</v>
      </c>
      <c r="G143" s="464" t="s">
        <v>1868</v>
      </c>
      <c r="H143" s="464" t="s">
        <v>949</v>
      </c>
      <c r="I143" s="464" t="s">
        <v>1072</v>
      </c>
      <c r="J143" s="464" t="s">
        <v>50</v>
      </c>
      <c r="K143" s="464" t="s">
        <v>50</v>
      </c>
      <c r="M143" s="464" t="s">
        <v>50</v>
      </c>
      <c r="O143" s="464" t="s">
        <v>50</v>
      </c>
      <c r="P143" s="464" t="s">
        <v>50</v>
      </c>
      <c r="Q143" s="464" t="s">
        <v>50</v>
      </c>
      <c r="R143" s="464" t="s">
        <v>50</v>
      </c>
      <c r="S143" s="464" t="s">
        <v>50</v>
      </c>
      <c r="T143" s="464" t="s">
        <v>50</v>
      </c>
    </row>
    <row r="144" spans="1:20" ht="20.100000000000001" customHeight="1">
      <c r="A144" s="308" t="s">
        <v>960</v>
      </c>
      <c r="B144" s="309"/>
      <c r="C144" s="309"/>
      <c r="D144" s="309"/>
      <c r="E144" s="309"/>
      <c r="F144" s="308" t="s">
        <v>50</v>
      </c>
      <c r="G144" s="464" t="s">
        <v>1868</v>
      </c>
      <c r="H144" s="464" t="s">
        <v>949</v>
      </c>
      <c r="I144" s="464" t="s">
        <v>961</v>
      </c>
      <c r="J144" s="464" t="s">
        <v>50</v>
      </c>
      <c r="K144" s="464" t="s">
        <v>50</v>
      </c>
      <c r="M144" s="464" t="s">
        <v>50</v>
      </c>
      <c r="O144" s="464" t="s">
        <v>50</v>
      </c>
      <c r="P144" s="464" t="s">
        <v>50</v>
      </c>
      <c r="Q144" s="464" t="s">
        <v>50</v>
      </c>
      <c r="R144" s="464" t="s">
        <v>50</v>
      </c>
      <c r="S144" s="464" t="s">
        <v>50</v>
      </c>
      <c r="T144" s="464" t="s">
        <v>50</v>
      </c>
    </row>
    <row r="145" spans="1:20" ht="20.100000000000001" customHeight="1">
      <c r="A145" s="308" t="s">
        <v>973</v>
      </c>
      <c r="B145" s="306"/>
      <c r="C145" s="306"/>
      <c r="D145" s="306"/>
      <c r="E145" s="306"/>
      <c r="F145" s="310"/>
    </row>
    <row r="146" spans="1:20" ht="20.100000000000001" customHeight="1">
      <c r="A146" s="310"/>
      <c r="B146" s="310"/>
      <c r="C146" s="310"/>
      <c r="D146" s="310"/>
      <c r="E146" s="310"/>
      <c r="F146" s="310"/>
    </row>
    <row r="147" spans="1:20" ht="20.100000000000001" customHeight="1">
      <c r="A147" s="310" t="s">
        <v>1609</v>
      </c>
      <c r="B147" s="310"/>
      <c r="C147" s="310"/>
      <c r="D147" s="310"/>
      <c r="E147" s="310"/>
      <c r="F147" s="308" t="s">
        <v>50</v>
      </c>
      <c r="G147" s="464" t="s">
        <v>2034</v>
      </c>
      <c r="I147" s="464" t="s">
        <v>849</v>
      </c>
      <c r="J147" s="464" t="s">
        <v>850</v>
      </c>
      <c r="K147" s="464" t="s">
        <v>650</v>
      </c>
    </row>
    <row r="148" spans="1:20" ht="20.100000000000001" customHeight="1">
      <c r="A148" s="308" t="s">
        <v>50</v>
      </c>
      <c r="B148" s="309"/>
      <c r="C148" s="309"/>
      <c r="D148" s="309"/>
      <c r="E148" s="309"/>
      <c r="F148" s="308" t="s">
        <v>50</v>
      </c>
      <c r="G148" s="464" t="s">
        <v>2034</v>
      </c>
      <c r="H148" s="464" t="s">
        <v>563</v>
      </c>
      <c r="I148" s="464" t="s">
        <v>50</v>
      </c>
      <c r="J148" s="464" t="s">
        <v>50</v>
      </c>
      <c r="K148" s="464" t="s">
        <v>650</v>
      </c>
      <c r="L148">
        <v>1</v>
      </c>
      <c r="M148" s="464" t="s">
        <v>50</v>
      </c>
      <c r="O148" s="464" t="s">
        <v>50</v>
      </c>
      <c r="P148" s="464" t="s">
        <v>50</v>
      </c>
      <c r="Q148" s="464" t="s">
        <v>50</v>
      </c>
      <c r="R148" s="464" t="s">
        <v>50</v>
      </c>
      <c r="S148" s="464" t="s">
        <v>50</v>
      </c>
      <c r="T148" s="464" t="s">
        <v>50</v>
      </c>
    </row>
    <row r="149" spans="1:20" ht="20.100000000000001" customHeight="1">
      <c r="A149" s="308" t="s">
        <v>1122</v>
      </c>
      <c r="B149" s="309"/>
      <c r="C149" s="309"/>
      <c r="D149" s="309"/>
      <c r="E149" s="309"/>
      <c r="F149" s="308" t="s">
        <v>50</v>
      </c>
      <c r="G149" s="464" t="s">
        <v>2034</v>
      </c>
      <c r="H149" s="464" t="s">
        <v>949</v>
      </c>
      <c r="I149" s="464" t="s">
        <v>1123</v>
      </c>
      <c r="J149" s="464" t="s">
        <v>50</v>
      </c>
      <c r="K149" s="464" t="s">
        <v>50</v>
      </c>
      <c r="M149" s="464" t="s">
        <v>50</v>
      </c>
      <c r="O149" s="464" t="s">
        <v>50</v>
      </c>
      <c r="P149" s="464" t="s">
        <v>50</v>
      </c>
      <c r="Q149" s="464" t="s">
        <v>50</v>
      </c>
      <c r="R149" s="464" t="s">
        <v>50</v>
      </c>
      <c r="S149" s="464" t="s">
        <v>50</v>
      </c>
      <c r="T149" s="464" t="s">
        <v>50</v>
      </c>
    </row>
    <row r="150" spans="1:20" ht="20.100000000000001" customHeight="1">
      <c r="A150" s="308" t="s">
        <v>1124</v>
      </c>
      <c r="B150" s="309"/>
      <c r="C150" s="309"/>
      <c r="D150" s="309"/>
      <c r="E150" s="309"/>
      <c r="F150" s="308" t="s">
        <v>50</v>
      </c>
      <c r="G150" s="464" t="s">
        <v>2034</v>
      </c>
      <c r="H150" s="464" t="s">
        <v>949</v>
      </c>
      <c r="I150" s="464" t="s">
        <v>1125</v>
      </c>
      <c r="J150" s="464" t="s">
        <v>50</v>
      </c>
      <c r="K150" s="464" t="s">
        <v>50</v>
      </c>
      <c r="M150" s="464" t="s">
        <v>50</v>
      </c>
      <c r="O150" s="464" t="s">
        <v>50</v>
      </c>
      <c r="P150" s="464" t="s">
        <v>50</v>
      </c>
      <c r="Q150" s="464" t="s">
        <v>50</v>
      </c>
      <c r="R150" s="464" t="s">
        <v>50</v>
      </c>
      <c r="S150" s="464" t="s">
        <v>50</v>
      </c>
      <c r="T150" s="464" t="s">
        <v>50</v>
      </c>
    </row>
    <row r="151" spans="1:20" ht="20.100000000000001" customHeight="1">
      <c r="A151" s="308" t="s">
        <v>1126</v>
      </c>
      <c r="B151" s="309"/>
      <c r="C151" s="309"/>
      <c r="D151" s="309"/>
      <c r="E151" s="309"/>
      <c r="F151" s="308" t="s">
        <v>50</v>
      </c>
      <c r="G151" s="464" t="s">
        <v>2034</v>
      </c>
      <c r="H151" s="464" t="s">
        <v>949</v>
      </c>
      <c r="I151" s="464" t="s">
        <v>1127</v>
      </c>
      <c r="J151" s="464" t="s">
        <v>50</v>
      </c>
      <c r="K151" s="464" t="s">
        <v>50</v>
      </c>
      <c r="M151" s="464" t="s">
        <v>50</v>
      </c>
      <c r="O151" s="464" t="s">
        <v>50</v>
      </c>
      <c r="P151" s="464" t="s">
        <v>50</v>
      </c>
      <c r="Q151" s="464" t="s">
        <v>50</v>
      </c>
      <c r="R151" s="464" t="s">
        <v>50</v>
      </c>
      <c r="S151" s="464" t="s">
        <v>50</v>
      </c>
      <c r="T151" s="464" t="s">
        <v>50</v>
      </c>
    </row>
    <row r="152" spans="1:20" ht="20.100000000000001" customHeight="1">
      <c r="A152" s="308" t="s">
        <v>1128</v>
      </c>
      <c r="B152" s="309"/>
      <c r="C152" s="309"/>
      <c r="D152" s="309"/>
      <c r="E152" s="309"/>
      <c r="F152" s="308" t="s">
        <v>50</v>
      </c>
      <c r="G152" s="464" t="s">
        <v>2034</v>
      </c>
      <c r="H152" s="464" t="s">
        <v>949</v>
      </c>
      <c r="I152" s="464" t="s">
        <v>1129</v>
      </c>
      <c r="J152" s="464" t="s">
        <v>50</v>
      </c>
      <c r="K152" s="464" t="s">
        <v>50</v>
      </c>
      <c r="M152" s="464" t="s">
        <v>50</v>
      </c>
      <c r="O152" s="464" t="s">
        <v>50</v>
      </c>
      <c r="P152" s="464" t="s">
        <v>50</v>
      </c>
      <c r="Q152" s="464" t="s">
        <v>50</v>
      </c>
      <c r="R152" s="464" t="s">
        <v>50</v>
      </c>
      <c r="S152" s="464" t="s">
        <v>50</v>
      </c>
      <c r="T152" s="464" t="s">
        <v>50</v>
      </c>
    </row>
    <row r="153" spans="1:20" ht="20.100000000000001" customHeight="1">
      <c r="A153" s="308" t="s">
        <v>948</v>
      </c>
      <c r="B153" s="309"/>
      <c r="C153" s="309"/>
      <c r="D153" s="309"/>
      <c r="E153" s="309"/>
      <c r="F153" s="308" t="s">
        <v>50</v>
      </c>
      <c r="G153" s="464" t="s">
        <v>2034</v>
      </c>
      <c r="H153" s="464" t="s">
        <v>949</v>
      </c>
      <c r="I153" s="464" t="s">
        <v>50</v>
      </c>
      <c r="J153" s="464" t="s">
        <v>50</v>
      </c>
      <c r="K153" s="464" t="s">
        <v>50</v>
      </c>
      <c r="M153" s="464" t="s">
        <v>50</v>
      </c>
      <c r="O153" s="464" t="s">
        <v>50</v>
      </c>
      <c r="P153" s="464" t="s">
        <v>50</v>
      </c>
      <c r="Q153" s="464" t="s">
        <v>50</v>
      </c>
      <c r="R153" s="464" t="s">
        <v>50</v>
      </c>
      <c r="S153" s="464" t="s">
        <v>50</v>
      </c>
      <c r="T153" s="464" t="s">
        <v>50</v>
      </c>
    </row>
    <row r="154" spans="1:20" ht="20.100000000000001" customHeight="1">
      <c r="A154" s="308" t="s">
        <v>1130</v>
      </c>
      <c r="B154" s="309"/>
      <c r="C154" s="309"/>
      <c r="D154" s="309"/>
      <c r="E154" s="309"/>
      <c r="F154" s="308" t="s">
        <v>50</v>
      </c>
      <c r="G154" s="464" t="s">
        <v>2034</v>
      </c>
      <c r="H154" s="464" t="s">
        <v>949</v>
      </c>
      <c r="I154" s="464" t="s">
        <v>1131</v>
      </c>
      <c r="J154" s="464" t="s">
        <v>50</v>
      </c>
      <c r="K154" s="464" t="s">
        <v>50</v>
      </c>
      <c r="M154" s="464" t="s">
        <v>50</v>
      </c>
      <c r="O154" s="464" t="s">
        <v>50</v>
      </c>
      <c r="P154" s="464" t="s">
        <v>50</v>
      </c>
      <c r="Q154" s="464" t="s">
        <v>50</v>
      </c>
      <c r="R154" s="464" t="s">
        <v>50</v>
      </c>
      <c r="S154" s="464" t="s">
        <v>50</v>
      </c>
      <c r="T154" s="464" t="s">
        <v>50</v>
      </c>
    </row>
    <row r="155" spans="1:20" ht="20.100000000000001" customHeight="1">
      <c r="A155" s="308" t="s">
        <v>1132</v>
      </c>
      <c r="B155" s="309"/>
      <c r="C155" s="309"/>
      <c r="D155" s="309"/>
      <c r="E155" s="309"/>
      <c r="F155" s="308" t="s">
        <v>50</v>
      </c>
      <c r="G155" s="464" t="s">
        <v>2034</v>
      </c>
      <c r="H155" s="464" t="s">
        <v>949</v>
      </c>
      <c r="I155" s="464" t="s">
        <v>1133</v>
      </c>
      <c r="J155" s="464" t="s">
        <v>50</v>
      </c>
      <c r="K155" s="464" t="s">
        <v>50</v>
      </c>
      <c r="M155" s="464" t="s">
        <v>50</v>
      </c>
      <c r="O155" s="464" t="s">
        <v>50</v>
      </c>
      <c r="P155" s="464" t="s">
        <v>50</v>
      </c>
      <c r="Q155" s="464" t="s">
        <v>50</v>
      </c>
      <c r="R155" s="464" t="s">
        <v>50</v>
      </c>
      <c r="S155" s="464" t="s">
        <v>50</v>
      </c>
      <c r="T155" s="464" t="s">
        <v>50</v>
      </c>
    </row>
    <row r="156" spans="1:20" ht="20.100000000000001" customHeight="1">
      <c r="A156" s="308" t="s">
        <v>1134</v>
      </c>
      <c r="B156" s="309"/>
      <c r="C156" s="309"/>
      <c r="D156" s="309"/>
      <c r="E156" s="309"/>
      <c r="F156" s="308" t="s">
        <v>50</v>
      </c>
      <c r="G156" s="464" t="s">
        <v>2034</v>
      </c>
      <c r="H156" s="464" t="s">
        <v>949</v>
      </c>
      <c r="I156" s="464" t="s">
        <v>1135</v>
      </c>
      <c r="J156" s="464" t="s">
        <v>50</v>
      </c>
      <c r="K156" s="464" t="s">
        <v>50</v>
      </c>
      <c r="M156" s="464" t="s">
        <v>50</v>
      </c>
      <c r="O156" s="464" t="s">
        <v>50</v>
      </c>
      <c r="P156" s="464" t="s">
        <v>50</v>
      </c>
      <c r="Q156" s="464" t="s">
        <v>50</v>
      </c>
      <c r="R156" s="464" t="s">
        <v>50</v>
      </c>
      <c r="S156" s="464" t="s">
        <v>50</v>
      </c>
      <c r="T156" s="464" t="s">
        <v>50</v>
      </c>
    </row>
    <row r="157" spans="1:20" ht="20.100000000000001" customHeight="1">
      <c r="A157" s="308" t="s">
        <v>1136</v>
      </c>
      <c r="B157" s="309"/>
      <c r="C157" s="309"/>
      <c r="D157" s="309"/>
      <c r="E157" s="309"/>
      <c r="F157" s="308" t="s">
        <v>50</v>
      </c>
      <c r="G157" s="464" t="s">
        <v>2034</v>
      </c>
      <c r="H157" s="464" t="s">
        <v>949</v>
      </c>
      <c r="I157" s="464" t="s">
        <v>1137</v>
      </c>
      <c r="J157" s="464" t="s">
        <v>50</v>
      </c>
      <c r="K157" s="464" t="s">
        <v>50</v>
      </c>
      <c r="M157" s="464" t="s">
        <v>50</v>
      </c>
      <c r="O157" s="464" t="s">
        <v>50</v>
      </c>
      <c r="P157" s="464" t="s">
        <v>50</v>
      </c>
      <c r="Q157" s="464" t="s">
        <v>50</v>
      </c>
      <c r="R157" s="464" t="s">
        <v>50</v>
      </c>
      <c r="S157" s="464" t="s">
        <v>50</v>
      </c>
      <c r="T157" s="464" t="s">
        <v>50</v>
      </c>
    </row>
    <row r="158" spans="1:20" ht="20.100000000000001" customHeight="1">
      <c r="A158" s="308" t="s">
        <v>1138</v>
      </c>
      <c r="B158" s="309"/>
      <c r="C158" s="309"/>
      <c r="D158" s="309"/>
      <c r="E158" s="309"/>
      <c r="F158" s="308" t="s">
        <v>50</v>
      </c>
      <c r="G158" s="464" t="s">
        <v>2034</v>
      </c>
      <c r="H158" s="464" t="s">
        <v>949</v>
      </c>
      <c r="I158" s="464" t="s">
        <v>1139</v>
      </c>
      <c r="J158" s="464" t="s">
        <v>50</v>
      </c>
      <c r="K158" s="464" t="s">
        <v>50</v>
      </c>
      <c r="M158" s="464" t="s">
        <v>50</v>
      </c>
      <c r="O158" s="464" t="s">
        <v>50</v>
      </c>
      <c r="P158" s="464" t="s">
        <v>50</v>
      </c>
      <c r="Q158" s="464" t="s">
        <v>50</v>
      </c>
      <c r="R158" s="464" t="s">
        <v>50</v>
      </c>
      <c r="S158" s="464" t="s">
        <v>50</v>
      </c>
      <c r="T158" s="464" t="s">
        <v>50</v>
      </c>
    </row>
    <row r="159" spans="1:20" ht="20.100000000000001" customHeight="1">
      <c r="A159" s="308" t="s">
        <v>1140</v>
      </c>
      <c r="B159" s="309"/>
      <c r="C159" s="309"/>
      <c r="D159" s="309"/>
      <c r="E159" s="309"/>
      <c r="F159" s="308" t="s">
        <v>50</v>
      </c>
      <c r="G159" s="464" t="s">
        <v>2034</v>
      </c>
      <c r="H159" s="464" t="s">
        <v>949</v>
      </c>
      <c r="I159" s="464" t="s">
        <v>1141</v>
      </c>
      <c r="J159" s="464" t="s">
        <v>50</v>
      </c>
      <c r="K159" s="464" t="s">
        <v>50</v>
      </c>
      <c r="M159" s="464" t="s">
        <v>50</v>
      </c>
      <c r="O159" s="464" t="s">
        <v>50</v>
      </c>
      <c r="P159" s="464" t="s">
        <v>50</v>
      </c>
      <c r="Q159" s="464" t="s">
        <v>50</v>
      </c>
      <c r="R159" s="464" t="s">
        <v>50</v>
      </c>
      <c r="S159" s="464" t="s">
        <v>50</v>
      </c>
      <c r="T159" s="464" t="s">
        <v>50</v>
      </c>
    </row>
    <row r="160" spans="1:20" ht="20.100000000000001" customHeight="1">
      <c r="A160" s="308" t="s">
        <v>1142</v>
      </c>
      <c r="B160" s="309"/>
      <c r="C160" s="309"/>
      <c r="D160" s="309"/>
      <c r="E160" s="309"/>
      <c r="F160" s="308" t="s">
        <v>50</v>
      </c>
      <c r="G160" s="464" t="s">
        <v>2034</v>
      </c>
      <c r="H160" s="464" t="s">
        <v>949</v>
      </c>
      <c r="I160" s="464" t="s">
        <v>1143</v>
      </c>
      <c r="J160" s="464" t="s">
        <v>50</v>
      </c>
      <c r="K160" s="464" t="s">
        <v>50</v>
      </c>
      <c r="M160" s="464" t="s">
        <v>50</v>
      </c>
      <c r="O160" s="464" t="s">
        <v>50</v>
      </c>
      <c r="P160" s="464" t="s">
        <v>50</v>
      </c>
      <c r="Q160" s="464" t="s">
        <v>50</v>
      </c>
      <c r="R160" s="464" t="s">
        <v>50</v>
      </c>
      <c r="S160" s="464" t="s">
        <v>50</v>
      </c>
      <c r="T160" s="464" t="s">
        <v>50</v>
      </c>
    </row>
    <row r="161" spans="1:20" ht="20.100000000000001" customHeight="1">
      <c r="A161" s="308" t="s">
        <v>1610</v>
      </c>
      <c r="B161" s="309"/>
      <c r="C161" s="309"/>
      <c r="D161" s="309"/>
      <c r="E161" s="309"/>
      <c r="F161" s="308" t="s">
        <v>50</v>
      </c>
      <c r="G161" s="464" t="s">
        <v>2034</v>
      </c>
      <c r="H161" s="464" t="s">
        <v>949</v>
      </c>
      <c r="I161" s="464" t="s">
        <v>1144</v>
      </c>
      <c r="J161" s="464" t="s">
        <v>50</v>
      </c>
      <c r="K161" s="464" t="s">
        <v>50</v>
      </c>
      <c r="M161" s="464" t="s">
        <v>50</v>
      </c>
      <c r="O161" s="464" t="s">
        <v>50</v>
      </c>
      <c r="P161" s="464" t="s">
        <v>50</v>
      </c>
      <c r="Q161" s="464" t="s">
        <v>50</v>
      </c>
      <c r="R161" s="464" t="s">
        <v>50</v>
      </c>
      <c r="S161" s="464" t="s">
        <v>50</v>
      </c>
      <c r="T161" s="464" t="s">
        <v>50</v>
      </c>
    </row>
    <row r="162" spans="1:20" ht="20.100000000000001" customHeight="1">
      <c r="A162" s="308" t="s">
        <v>1145</v>
      </c>
      <c r="B162" s="309"/>
      <c r="C162" s="309"/>
      <c r="D162" s="309"/>
      <c r="E162" s="309"/>
      <c r="F162" s="308" t="s">
        <v>50</v>
      </c>
      <c r="G162" s="464" t="s">
        <v>2034</v>
      </c>
      <c r="H162" s="464" t="s">
        <v>949</v>
      </c>
      <c r="I162" s="464" t="s">
        <v>1146</v>
      </c>
      <c r="J162" s="464" t="s">
        <v>50</v>
      </c>
      <c r="K162" s="464" t="s">
        <v>50</v>
      </c>
      <c r="M162" s="464" t="s">
        <v>50</v>
      </c>
      <c r="O162" s="464" t="s">
        <v>50</v>
      </c>
      <c r="P162" s="464" t="s">
        <v>50</v>
      </c>
      <c r="Q162" s="464" t="s">
        <v>50</v>
      </c>
      <c r="R162" s="464" t="s">
        <v>50</v>
      </c>
      <c r="S162" s="464" t="s">
        <v>50</v>
      </c>
      <c r="T162" s="464" t="s">
        <v>50</v>
      </c>
    </row>
    <row r="163" spans="1:20" ht="20.100000000000001" customHeight="1">
      <c r="A163" s="308" t="s">
        <v>1147</v>
      </c>
      <c r="B163" s="309"/>
      <c r="C163" s="309"/>
      <c r="D163" s="309"/>
      <c r="E163" s="309"/>
      <c r="F163" s="308" t="s">
        <v>50</v>
      </c>
      <c r="G163" s="464" t="s">
        <v>2034</v>
      </c>
      <c r="H163" s="464" t="s">
        <v>949</v>
      </c>
      <c r="I163" s="464" t="s">
        <v>1148</v>
      </c>
      <c r="J163" s="464" t="s">
        <v>50</v>
      </c>
      <c r="K163" s="464" t="s">
        <v>50</v>
      </c>
      <c r="M163" s="464" t="s">
        <v>50</v>
      </c>
      <c r="O163" s="464" t="s">
        <v>50</v>
      </c>
      <c r="P163" s="464" t="s">
        <v>50</v>
      </c>
      <c r="Q163" s="464" t="s">
        <v>50</v>
      </c>
      <c r="R163" s="464" t="s">
        <v>50</v>
      </c>
      <c r="S163" s="464" t="s">
        <v>50</v>
      </c>
      <c r="T163" s="464" t="s">
        <v>50</v>
      </c>
    </row>
    <row r="164" spans="1:20" ht="20.100000000000001" customHeight="1">
      <c r="A164" s="308" t="s">
        <v>960</v>
      </c>
      <c r="B164" s="309"/>
      <c r="C164" s="309"/>
      <c r="D164" s="309"/>
      <c r="E164" s="309"/>
      <c r="F164" s="308" t="s">
        <v>50</v>
      </c>
      <c r="G164" s="464" t="s">
        <v>2034</v>
      </c>
      <c r="H164" s="464" t="s">
        <v>949</v>
      </c>
      <c r="I164" s="464" t="s">
        <v>961</v>
      </c>
      <c r="J164" s="464" t="s">
        <v>50</v>
      </c>
      <c r="K164" s="464" t="s">
        <v>50</v>
      </c>
      <c r="M164" s="464" t="s">
        <v>50</v>
      </c>
      <c r="O164" s="464" t="s">
        <v>50</v>
      </c>
      <c r="P164" s="464" t="s">
        <v>50</v>
      </c>
      <c r="Q164" s="464" t="s">
        <v>50</v>
      </c>
      <c r="R164" s="464" t="s">
        <v>50</v>
      </c>
      <c r="S164" s="464" t="s">
        <v>50</v>
      </c>
      <c r="T164" s="464" t="s">
        <v>50</v>
      </c>
    </row>
    <row r="165" spans="1:20" ht="20.100000000000001" customHeight="1">
      <c r="A165" s="308" t="s">
        <v>948</v>
      </c>
      <c r="B165" s="309"/>
      <c r="C165" s="309"/>
      <c r="D165" s="309"/>
      <c r="E165" s="309"/>
      <c r="F165" s="308" t="s">
        <v>50</v>
      </c>
      <c r="G165" s="464" t="s">
        <v>2034</v>
      </c>
      <c r="H165" s="464" t="s">
        <v>949</v>
      </c>
      <c r="I165" s="464" t="s">
        <v>50</v>
      </c>
      <c r="J165" s="464" t="s">
        <v>50</v>
      </c>
      <c r="K165" s="464" t="s">
        <v>50</v>
      </c>
      <c r="M165" s="464" t="s">
        <v>50</v>
      </c>
      <c r="O165" s="464" t="s">
        <v>50</v>
      </c>
      <c r="P165" s="464" t="s">
        <v>50</v>
      </c>
      <c r="Q165" s="464" t="s">
        <v>50</v>
      </c>
      <c r="R165" s="464" t="s">
        <v>50</v>
      </c>
      <c r="S165" s="464" t="s">
        <v>50</v>
      </c>
      <c r="T165" s="464" t="s">
        <v>50</v>
      </c>
    </row>
    <row r="166" spans="1:20" ht="20.100000000000001" customHeight="1">
      <c r="A166" s="308" t="s">
        <v>1149</v>
      </c>
      <c r="B166" s="309"/>
      <c r="C166" s="309"/>
      <c r="D166" s="309"/>
      <c r="E166" s="309"/>
      <c r="F166" s="308" t="s">
        <v>50</v>
      </c>
      <c r="G166" s="464" t="s">
        <v>2034</v>
      </c>
      <c r="H166" s="464" t="s">
        <v>949</v>
      </c>
      <c r="I166" s="464" t="s">
        <v>1150</v>
      </c>
      <c r="J166" s="464" t="s">
        <v>50</v>
      </c>
      <c r="K166" s="464" t="s">
        <v>50</v>
      </c>
      <c r="M166" s="464" t="s">
        <v>50</v>
      </c>
      <c r="O166" s="464" t="s">
        <v>50</v>
      </c>
      <c r="P166" s="464" t="s">
        <v>50</v>
      </c>
      <c r="Q166" s="464" t="s">
        <v>50</v>
      </c>
      <c r="R166" s="464" t="s">
        <v>50</v>
      </c>
      <c r="S166" s="464" t="s">
        <v>50</v>
      </c>
      <c r="T166" s="464" t="s">
        <v>50</v>
      </c>
    </row>
    <row r="167" spans="1:20" ht="20.100000000000001" customHeight="1">
      <c r="A167" s="308" t="s">
        <v>1151</v>
      </c>
      <c r="B167" s="309"/>
      <c r="C167" s="309"/>
      <c r="D167" s="309"/>
      <c r="E167" s="309"/>
      <c r="F167" s="308" t="s">
        <v>50</v>
      </c>
      <c r="G167" s="464" t="s">
        <v>2034</v>
      </c>
      <c r="H167" s="464" t="s">
        <v>949</v>
      </c>
      <c r="I167" s="464" t="s">
        <v>1152</v>
      </c>
      <c r="J167" s="464" t="s">
        <v>50</v>
      </c>
      <c r="K167" s="464" t="s">
        <v>50</v>
      </c>
      <c r="M167" s="464" t="s">
        <v>50</v>
      </c>
      <c r="O167" s="464" t="s">
        <v>50</v>
      </c>
      <c r="P167" s="464" t="s">
        <v>50</v>
      </c>
      <c r="Q167" s="464" t="s">
        <v>50</v>
      </c>
      <c r="R167" s="464" t="s">
        <v>50</v>
      </c>
      <c r="S167" s="464" t="s">
        <v>50</v>
      </c>
      <c r="T167" s="464" t="s">
        <v>50</v>
      </c>
    </row>
    <row r="168" spans="1:20" ht="20.100000000000001" customHeight="1">
      <c r="A168" s="308" t="s">
        <v>1153</v>
      </c>
      <c r="B168" s="309"/>
      <c r="C168" s="309"/>
      <c r="D168" s="309"/>
      <c r="E168" s="309"/>
      <c r="F168" s="308" t="s">
        <v>50</v>
      </c>
      <c r="G168" s="464" t="s">
        <v>2034</v>
      </c>
      <c r="H168" s="464" t="s">
        <v>949</v>
      </c>
      <c r="I168" s="464" t="s">
        <v>1154</v>
      </c>
      <c r="J168" s="464" t="s">
        <v>50</v>
      </c>
      <c r="K168" s="464" t="s">
        <v>50</v>
      </c>
      <c r="M168" s="464" t="s">
        <v>50</v>
      </c>
      <c r="O168" s="464" t="s">
        <v>50</v>
      </c>
      <c r="P168" s="464" t="s">
        <v>50</v>
      </c>
      <c r="Q168" s="464" t="s">
        <v>50</v>
      </c>
      <c r="R168" s="464" t="s">
        <v>50</v>
      </c>
      <c r="S168" s="464" t="s">
        <v>50</v>
      </c>
      <c r="T168" s="464" t="s">
        <v>50</v>
      </c>
    </row>
    <row r="169" spans="1:20" ht="20.100000000000001" customHeight="1">
      <c r="A169" s="308" t="s">
        <v>1155</v>
      </c>
      <c r="B169" s="309"/>
      <c r="C169" s="309"/>
      <c r="D169" s="309"/>
      <c r="E169" s="309"/>
      <c r="F169" s="308" t="s">
        <v>50</v>
      </c>
      <c r="G169" s="464" t="s">
        <v>2034</v>
      </c>
      <c r="H169" s="464" t="s">
        <v>949</v>
      </c>
      <c r="I169" s="464" t="s">
        <v>1156</v>
      </c>
      <c r="J169" s="464" t="s">
        <v>50</v>
      </c>
      <c r="K169" s="464" t="s">
        <v>50</v>
      </c>
      <c r="M169" s="464" t="s">
        <v>50</v>
      </c>
      <c r="O169" s="464" t="s">
        <v>50</v>
      </c>
      <c r="P169" s="464" t="s">
        <v>50</v>
      </c>
      <c r="Q169" s="464" t="s">
        <v>50</v>
      </c>
      <c r="R169" s="464" t="s">
        <v>50</v>
      </c>
      <c r="S169" s="464" t="s">
        <v>50</v>
      </c>
      <c r="T169" s="464" t="s">
        <v>50</v>
      </c>
    </row>
    <row r="170" spans="1:20" ht="20.100000000000001" customHeight="1">
      <c r="A170" s="308" t="s">
        <v>1157</v>
      </c>
      <c r="B170" s="309"/>
      <c r="C170" s="309"/>
      <c r="D170" s="309"/>
      <c r="E170" s="309"/>
      <c r="F170" s="308" t="s">
        <v>50</v>
      </c>
      <c r="G170" s="464" t="s">
        <v>2034</v>
      </c>
      <c r="H170" s="464" t="s">
        <v>949</v>
      </c>
      <c r="I170" s="464" t="s">
        <v>1158</v>
      </c>
      <c r="J170" s="464" t="s">
        <v>50</v>
      </c>
      <c r="K170" s="464" t="s">
        <v>50</v>
      </c>
      <c r="M170" s="464" t="s">
        <v>50</v>
      </c>
      <c r="O170" s="464" t="s">
        <v>50</v>
      </c>
      <c r="P170" s="464" t="s">
        <v>50</v>
      </c>
      <c r="Q170" s="464" t="s">
        <v>50</v>
      </c>
      <c r="R170" s="464" t="s">
        <v>50</v>
      </c>
      <c r="S170" s="464" t="s">
        <v>50</v>
      </c>
      <c r="T170" s="464" t="s">
        <v>50</v>
      </c>
    </row>
    <row r="171" spans="1:20" ht="20.100000000000001" customHeight="1">
      <c r="A171" s="308" t="s">
        <v>1159</v>
      </c>
      <c r="B171" s="309"/>
      <c r="C171" s="309"/>
      <c r="D171" s="309"/>
      <c r="E171" s="309"/>
      <c r="F171" s="308" t="s">
        <v>50</v>
      </c>
      <c r="G171" s="464" t="s">
        <v>2034</v>
      </c>
      <c r="H171" s="464" t="s">
        <v>949</v>
      </c>
      <c r="I171" s="464" t="s">
        <v>1160</v>
      </c>
      <c r="J171" s="464" t="s">
        <v>50</v>
      </c>
      <c r="K171" s="464" t="s">
        <v>50</v>
      </c>
      <c r="M171" s="464" t="s">
        <v>50</v>
      </c>
      <c r="O171" s="464" t="s">
        <v>50</v>
      </c>
      <c r="P171" s="464" t="s">
        <v>50</v>
      </c>
      <c r="Q171" s="464" t="s">
        <v>50</v>
      </c>
      <c r="R171" s="464" t="s">
        <v>50</v>
      </c>
      <c r="S171" s="464" t="s">
        <v>50</v>
      </c>
      <c r="T171" s="464" t="s">
        <v>50</v>
      </c>
    </row>
    <row r="172" spans="1:20" ht="20.100000000000001" customHeight="1">
      <c r="A172" s="308" t="s">
        <v>1161</v>
      </c>
      <c r="B172" s="309"/>
      <c r="C172" s="309"/>
      <c r="D172" s="309"/>
      <c r="E172" s="309"/>
      <c r="F172" s="308" t="s">
        <v>50</v>
      </c>
      <c r="G172" s="464" t="s">
        <v>2034</v>
      </c>
      <c r="H172" s="464" t="s">
        <v>949</v>
      </c>
      <c r="I172" s="464" t="s">
        <v>1162</v>
      </c>
      <c r="J172" s="464" t="s">
        <v>50</v>
      </c>
      <c r="K172" s="464" t="s">
        <v>50</v>
      </c>
      <c r="M172" s="464" t="s">
        <v>50</v>
      </c>
      <c r="O172" s="464" t="s">
        <v>50</v>
      </c>
      <c r="P172" s="464" t="s">
        <v>50</v>
      </c>
      <c r="Q172" s="464" t="s">
        <v>50</v>
      </c>
      <c r="R172" s="464" t="s">
        <v>50</v>
      </c>
      <c r="S172" s="464" t="s">
        <v>50</v>
      </c>
      <c r="T172" s="464" t="s">
        <v>50</v>
      </c>
    </row>
    <row r="173" spans="1:20" ht="20.100000000000001" customHeight="1">
      <c r="A173" s="308" t="s">
        <v>1163</v>
      </c>
      <c r="B173" s="309"/>
      <c r="C173" s="309"/>
      <c r="D173" s="309"/>
      <c r="E173" s="309"/>
      <c r="F173" s="308" t="s">
        <v>50</v>
      </c>
      <c r="G173" s="464" t="s">
        <v>2034</v>
      </c>
      <c r="H173" s="464" t="s">
        <v>949</v>
      </c>
      <c r="I173" s="464" t="s">
        <v>1164</v>
      </c>
      <c r="J173" s="464" t="s">
        <v>50</v>
      </c>
      <c r="K173" s="464" t="s">
        <v>50</v>
      </c>
      <c r="M173" s="464" t="s">
        <v>50</v>
      </c>
      <c r="O173" s="464" t="s">
        <v>50</v>
      </c>
      <c r="P173" s="464" t="s">
        <v>50</v>
      </c>
      <c r="Q173" s="464" t="s">
        <v>50</v>
      </c>
      <c r="R173" s="464" t="s">
        <v>50</v>
      </c>
      <c r="S173" s="464" t="s">
        <v>50</v>
      </c>
      <c r="T173" s="464" t="s">
        <v>50</v>
      </c>
    </row>
    <row r="174" spans="1:20" ht="20.100000000000001" customHeight="1">
      <c r="A174" s="308" t="s">
        <v>1165</v>
      </c>
      <c r="B174" s="309"/>
      <c r="C174" s="309"/>
      <c r="D174" s="309"/>
      <c r="E174" s="309"/>
      <c r="F174" s="308" t="s">
        <v>50</v>
      </c>
      <c r="G174" s="464" t="s">
        <v>2034</v>
      </c>
      <c r="H174" s="464" t="s">
        <v>949</v>
      </c>
      <c r="I174" s="464" t="s">
        <v>1166</v>
      </c>
      <c r="J174" s="464" t="s">
        <v>50</v>
      </c>
      <c r="K174" s="464" t="s">
        <v>50</v>
      </c>
      <c r="M174" s="464" t="s">
        <v>50</v>
      </c>
      <c r="O174" s="464" t="s">
        <v>50</v>
      </c>
      <c r="P174" s="464" t="s">
        <v>50</v>
      </c>
      <c r="Q174" s="464" t="s">
        <v>50</v>
      </c>
      <c r="R174" s="464" t="s">
        <v>50</v>
      </c>
      <c r="S174" s="464" t="s">
        <v>50</v>
      </c>
      <c r="T174" s="464" t="s">
        <v>50</v>
      </c>
    </row>
    <row r="175" spans="1:20" ht="20.100000000000001" customHeight="1">
      <c r="A175" s="308" t="s">
        <v>1167</v>
      </c>
      <c r="B175" s="309"/>
      <c r="C175" s="309"/>
      <c r="D175" s="309"/>
      <c r="E175" s="309"/>
      <c r="F175" s="308" t="s">
        <v>50</v>
      </c>
      <c r="G175" s="464" t="s">
        <v>2034</v>
      </c>
      <c r="H175" s="464" t="s">
        <v>949</v>
      </c>
      <c r="I175" s="464" t="s">
        <v>1168</v>
      </c>
      <c r="J175" s="464" t="s">
        <v>50</v>
      </c>
      <c r="K175" s="464" t="s">
        <v>50</v>
      </c>
      <c r="M175" s="464" t="s">
        <v>50</v>
      </c>
      <c r="O175" s="464" t="s">
        <v>50</v>
      </c>
      <c r="P175" s="464" t="s">
        <v>50</v>
      </c>
      <c r="Q175" s="464" t="s">
        <v>50</v>
      </c>
      <c r="R175" s="464" t="s">
        <v>50</v>
      </c>
      <c r="S175" s="464" t="s">
        <v>50</v>
      </c>
      <c r="T175" s="464" t="s">
        <v>50</v>
      </c>
    </row>
    <row r="176" spans="1:20" ht="20.100000000000001" customHeight="1">
      <c r="A176" s="308" t="s">
        <v>1169</v>
      </c>
      <c r="B176" s="309"/>
      <c r="C176" s="309"/>
      <c r="D176" s="309"/>
      <c r="E176" s="309"/>
      <c r="F176" s="308" t="s">
        <v>50</v>
      </c>
      <c r="G176" s="464" t="s">
        <v>2034</v>
      </c>
      <c r="H176" s="464" t="s">
        <v>949</v>
      </c>
      <c r="I176" s="464" t="s">
        <v>1170</v>
      </c>
      <c r="J176" s="464" t="s">
        <v>50</v>
      </c>
      <c r="K176" s="464" t="s">
        <v>50</v>
      </c>
      <c r="M176" s="464" t="s">
        <v>50</v>
      </c>
      <c r="O176" s="464" t="s">
        <v>50</v>
      </c>
      <c r="P176" s="464" t="s">
        <v>50</v>
      </c>
      <c r="Q176" s="464" t="s">
        <v>50</v>
      </c>
      <c r="R176" s="464" t="s">
        <v>50</v>
      </c>
      <c r="S176" s="464" t="s">
        <v>50</v>
      </c>
      <c r="T176" s="464" t="s">
        <v>50</v>
      </c>
    </row>
    <row r="177" spans="1:20" ht="20.100000000000001" customHeight="1">
      <c r="A177" s="308" t="s">
        <v>1171</v>
      </c>
      <c r="B177" s="309"/>
      <c r="C177" s="309"/>
      <c r="D177" s="309"/>
      <c r="E177" s="309"/>
      <c r="F177" s="308" t="s">
        <v>50</v>
      </c>
      <c r="G177" s="464" t="s">
        <v>2034</v>
      </c>
      <c r="H177" s="464" t="s">
        <v>949</v>
      </c>
      <c r="I177" s="464" t="s">
        <v>1172</v>
      </c>
      <c r="J177" s="464" t="s">
        <v>50</v>
      </c>
      <c r="K177" s="464" t="s">
        <v>50</v>
      </c>
      <c r="M177" s="464" t="s">
        <v>50</v>
      </c>
      <c r="O177" s="464" t="s">
        <v>50</v>
      </c>
      <c r="P177" s="464" t="s">
        <v>50</v>
      </c>
      <c r="Q177" s="464" t="s">
        <v>50</v>
      </c>
      <c r="R177" s="464" t="s">
        <v>50</v>
      </c>
      <c r="S177" s="464" t="s">
        <v>50</v>
      </c>
      <c r="T177" s="464" t="s">
        <v>50</v>
      </c>
    </row>
    <row r="178" spans="1:20" ht="20.100000000000001" customHeight="1">
      <c r="A178" s="308" t="s">
        <v>1173</v>
      </c>
      <c r="B178" s="309"/>
      <c r="C178" s="309"/>
      <c r="D178" s="309"/>
      <c r="E178" s="309"/>
      <c r="F178" s="308" t="s">
        <v>50</v>
      </c>
      <c r="G178" s="464" t="s">
        <v>2034</v>
      </c>
      <c r="H178" s="464" t="s">
        <v>949</v>
      </c>
      <c r="I178" s="464" t="s">
        <v>1174</v>
      </c>
      <c r="J178" s="464" t="s">
        <v>50</v>
      </c>
      <c r="K178" s="464" t="s">
        <v>50</v>
      </c>
      <c r="M178" s="464" t="s">
        <v>50</v>
      </c>
      <c r="O178" s="464" t="s">
        <v>50</v>
      </c>
      <c r="P178" s="464" t="s">
        <v>50</v>
      </c>
      <c r="Q178" s="464" t="s">
        <v>50</v>
      </c>
      <c r="R178" s="464" t="s">
        <v>50</v>
      </c>
      <c r="S178" s="464" t="s">
        <v>50</v>
      </c>
      <c r="T178" s="464" t="s">
        <v>50</v>
      </c>
    </row>
    <row r="179" spans="1:20" ht="20.100000000000001" customHeight="1">
      <c r="A179" s="308" t="s">
        <v>1175</v>
      </c>
      <c r="B179" s="309"/>
      <c r="C179" s="309"/>
      <c r="D179" s="309"/>
      <c r="E179" s="309"/>
      <c r="F179" s="308" t="s">
        <v>50</v>
      </c>
      <c r="G179" s="464" t="s">
        <v>2034</v>
      </c>
      <c r="H179" s="464" t="s">
        <v>949</v>
      </c>
      <c r="I179" s="464" t="s">
        <v>1176</v>
      </c>
      <c r="J179" s="464" t="s">
        <v>50</v>
      </c>
      <c r="K179" s="464" t="s">
        <v>50</v>
      </c>
      <c r="M179" s="464" t="s">
        <v>50</v>
      </c>
      <c r="O179" s="464" t="s">
        <v>50</v>
      </c>
      <c r="P179" s="464" t="s">
        <v>50</v>
      </c>
      <c r="Q179" s="464" t="s">
        <v>50</v>
      </c>
      <c r="R179" s="464" t="s">
        <v>50</v>
      </c>
      <c r="S179" s="464" t="s">
        <v>50</v>
      </c>
      <c r="T179" s="464" t="s">
        <v>50</v>
      </c>
    </row>
    <row r="180" spans="1:20" ht="20.100000000000001" customHeight="1">
      <c r="A180" s="308" t="s">
        <v>1177</v>
      </c>
      <c r="B180" s="309"/>
      <c r="C180" s="309"/>
      <c r="D180" s="309"/>
      <c r="E180" s="309"/>
      <c r="F180" s="308" t="s">
        <v>50</v>
      </c>
      <c r="G180" s="464" t="s">
        <v>2034</v>
      </c>
      <c r="H180" s="464" t="s">
        <v>949</v>
      </c>
      <c r="I180" s="464" t="s">
        <v>1178</v>
      </c>
      <c r="J180" s="464" t="s">
        <v>50</v>
      </c>
      <c r="K180" s="464" t="s">
        <v>50</v>
      </c>
      <c r="M180" s="464" t="s">
        <v>50</v>
      </c>
      <c r="O180" s="464" t="s">
        <v>50</v>
      </c>
      <c r="P180" s="464" t="s">
        <v>50</v>
      </c>
      <c r="Q180" s="464" t="s">
        <v>50</v>
      </c>
      <c r="R180" s="464" t="s">
        <v>50</v>
      </c>
      <c r="S180" s="464" t="s">
        <v>50</v>
      </c>
      <c r="T180" s="464" t="s">
        <v>50</v>
      </c>
    </row>
    <row r="181" spans="1:20" ht="20.100000000000001" customHeight="1">
      <c r="A181" s="308" t="s">
        <v>1179</v>
      </c>
      <c r="B181" s="309"/>
      <c r="C181" s="309"/>
      <c r="D181" s="309"/>
      <c r="E181" s="309"/>
      <c r="F181" s="308" t="s">
        <v>50</v>
      </c>
      <c r="G181" s="464" t="s">
        <v>2034</v>
      </c>
      <c r="H181" s="464" t="s">
        <v>949</v>
      </c>
      <c r="I181" s="464" t="s">
        <v>1180</v>
      </c>
      <c r="J181" s="464" t="s">
        <v>50</v>
      </c>
      <c r="K181" s="464" t="s">
        <v>50</v>
      </c>
      <c r="M181" s="464" t="s">
        <v>50</v>
      </c>
      <c r="O181" s="464" t="s">
        <v>50</v>
      </c>
      <c r="P181" s="464" t="s">
        <v>50</v>
      </c>
      <c r="Q181" s="464" t="s">
        <v>50</v>
      </c>
      <c r="R181" s="464" t="s">
        <v>50</v>
      </c>
      <c r="S181" s="464" t="s">
        <v>50</v>
      </c>
      <c r="T181" s="464" t="s">
        <v>50</v>
      </c>
    </row>
    <row r="182" spans="1:20" ht="20.100000000000001" customHeight="1">
      <c r="A182" s="308" t="s">
        <v>1181</v>
      </c>
      <c r="B182" s="309"/>
      <c r="C182" s="309"/>
      <c r="D182" s="309"/>
      <c r="E182" s="309"/>
      <c r="F182" s="308" t="s">
        <v>50</v>
      </c>
      <c r="G182" s="464" t="s">
        <v>2034</v>
      </c>
      <c r="H182" s="464" t="s">
        <v>949</v>
      </c>
      <c r="I182" s="464" t="s">
        <v>1182</v>
      </c>
      <c r="J182" s="464" t="s">
        <v>50</v>
      </c>
      <c r="K182" s="464" t="s">
        <v>50</v>
      </c>
      <c r="M182" s="464" t="s">
        <v>50</v>
      </c>
      <c r="O182" s="464" t="s">
        <v>50</v>
      </c>
      <c r="P182" s="464" t="s">
        <v>50</v>
      </c>
      <c r="Q182" s="464" t="s">
        <v>50</v>
      </c>
      <c r="R182" s="464" t="s">
        <v>50</v>
      </c>
      <c r="S182" s="464" t="s">
        <v>50</v>
      </c>
      <c r="T182" s="464" t="s">
        <v>50</v>
      </c>
    </row>
    <row r="183" spans="1:20" ht="20.100000000000001" customHeight="1">
      <c r="A183" s="308" t="s">
        <v>1183</v>
      </c>
      <c r="B183" s="309"/>
      <c r="C183" s="309"/>
      <c r="D183" s="309"/>
      <c r="E183" s="309"/>
      <c r="F183" s="308" t="s">
        <v>50</v>
      </c>
      <c r="G183" s="464" t="s">
        <v>2034</v>
      </c>
      <c r="H183" s="464" t="s">
        <v>949</v>
      </c>
      <c r="I183" s="464" t="s">
        <v>1184</v>
      </c>
      <c r="J183" s="464" t="s">
        <v>50</v>
      </c>
      <c r="K183" s="464" t="s">
        <v>50</v>
      </c>
      <c r="M183" s="464" t="s">
        <v>50</v>
      </c>
      <c r="O183" s="464" t="s">
        <v>50</v>
      </c>
      <c r="P183" s="464" t="s">
        <v>50</v>
      </c>
      <c r="Q183" s="464" t="s">
        <v>50</v>
      </c>
      <c r="R183" s="464" t="s">
        <v>50</v>
      </c>
      <c r="S183" s="464" t="s">
        <v>50</v>
      </c>
      <c r="T183" s="464" t="s">
        <v>50</v>
      </c>
    </row>
    <row r="184" spans="1:20" ht="20.100000000000001" customHeight="1">
      <c r="A184" s="308" t="s">
        <v>1185</v>
      </c>
      <c r="B184" s="309"/>
      <c r="C184" s="309"/>
      <c r="D184" s="309"/>
      <c r="E184" s="309"/>
      <c r="F184" s="308" t="s">
        <v>50</v>
      </c>
      <c r="G184" s="464" t="s">
        <v>2034</v>
      </c>
      <c r="H184" s="464" t="s">
        <v>949</v>
      </c>
      <c r="I184" s="464" t="s">
        <v>1186</v>
      </c>
      <c r="J184" s="464" t="s">
        <v>50</v>
      </c>
      <c r="K184" s="464" t="s">
        <v>50</v>
      </c>
      <c r="M184" s="464" t="s">
        <v>50</v>
      </c>
      <c r="O184" s="464" t="s">
        <v>50</v>
      </c>
      <c r="P184" s="464" t="s">
        <v>50</v>
      </c>
      <c r="Q184" s="464" t="s">
        <v>50</v>
      </c>
      <c r="R184" s="464" t="s">
        <v>50</v>
      </c>
      <c r="S184" s="464" t="s">
        <v>50</v>
      </c>
      <c r="T184" s="464" t="s">
        <v>50</v>
      </c>
    </row>
    <row r="185" spans="1:20" ht="20.100000000000001" customHeight="1">
      <c r="A185" s="308" t="s">
        <v>1187</v>
      </c>
      <c r="B185" s="309"/>
      <c r="C185" s="309"/>
      <c r="D185" s="309"/>
      <c r="E185" s="309"/>
      <c r="F185" s="308" t="s">
        <v>50</v>
      </c>
      <c r="G185" s="464" t="s">
        <v>2034</v>
      </c>
      <c r="H185" s="464" t="s">
        <v>949</v>
      </c>
      <c r="I185" s="464" t="s">
        <v>1188</v>
      </c>
      <c r="J185" s="464" t="s">
        <v>50</v>
      </c>
      <c r="K185" s="464" t="s">
        <v>50</v>
      </c>
      <c r="M185" s="464" t="s">
        <v>50</v>
      </c>
      <c r="O185" s="464" t="s">
        <v>50</v>
      </c>
      <c r="P185" s="464" t="s">
        <v>50</v>
      </c>
      <c r="Q185" s="464" t="s">
        <v>50</v>
      </c>
      <c r="R185" s="464" t="s">
        <v>50</v>
      </c>
      <c r="S185" s="464" t="s">
        <v>50</v>
      </c>
      <c r="T185" s="464" t="s">
        <v>50</v>
      </c>
    </row>
    <row r="186" spans="1:20" ht="20.100000000000001" customHeight="1">
      <c r="A186" s="308" t="s">
        <v>1189</v>
      </c>
      <c r="B186" s="309"/>
      <c r="C186" s="309"/>
      <c r="D186" s="309"/>
      <c r="E186" s="309"/>
      <c r="F186" s="308" t="s">
        <v>50</v>
      </c>
      <c r="G186" s="464" t="s">
        <v>2034</v>
      </c>
      <c r="H186" s="464" t="s">
        <v>949</v>
      </c>
      <c r="I186" s="464" t="s">
        <v>1190</v>
      </c>
      <c r="J186" s="464" t="s">
        <v>50</v>
      </c>
      <c r="K186" s="464" t="s">
        <v>50</v>
      </c>
      <c r="M186" s="464" t="s">
        <v>50</v>
      </c>
      <c r="O186" s="464" t="s">
        <v>50</v>
      </c>
      <c r="P186" s="464" t="s">
        <v>50</v>
      </c>
      <c r="Q186" s="464" t="s">
        <v>50</v>
      </c>
      <c r="R186" s="464" t="s">
        <v>50</v>
      </c>
      <c r="S186" s="464" t="s">
        <v>50</v>
      </c>
      <c r="T186" s="464" t="s">
        <v>50</v>
      </c>
    </row>
    <row r="187" spans="1:20" ht="20.100000000000001" customHeight="1">
      <c r="A187" s="308" t="s">
        <v>1191</v>
      </c>
      <c r="B187" s="309"/>
      <c r="C187" s="309"/>
      <c r="D187" s="309"/>
      <c r="E187" s="309"/>
      <c r="F187" s="308" t="s">
        <v>50</v>
      </c>
      <c r="G187" s="464" t="s">
        <v>2034</v>
      </c>
      <c r="H187" s="464" t="s">
        <v>949</v>
      </c>
      <c r="I187" s="464" t="s">
        <v>1192</v>
      </c>
      <c r="J187" s="464" t="s">
        <v>50</v>
      </c>
      <c r="K187" s="464" t="s">
        <v>50</v>
      </c>
      <c r="M187" s="464" t="s">
        <v>50</v>
      </c>
      <c r="O187" s="464" t="s">
        <v>50</v>
      </c>
      <c r="P187" s="464" t="s">
        <v>50</v>
      </c>
      <c r="Q187" s="464" t="s">
        <v>50</v>
      </c>
      <c r="R187" s="464" t="s">
        <v>50</v>
      </c>
      <c r="S187" s="464" t="s">
        <v>50</v>
      </c>
      <c r="T187" s="464" t="s">
        <v>50</v>
      </c>
    </row>
    <row r="188" spans="1:20" ht="20.100000000000001" customHeight="1">
      <c r="A188" s="308" t="s">
        <v>1193</v>
      </c>
      <c r="B188" s="309"/>
      <c r="C188" s="309"/>
      <c r="D188" s="309"/>
      <c r="E188" s="309"/>
      <c r="F188" s="308" t="s">
        <v>50</v>
      </c>
      <c r="G188" s="464" t="s">
        <v>2034</v>
      </c>
      <c r="H188" s="464" t="s">
        <v>949</v>
      </c>
      <c r="I188" s="464" t="s">
        <v>1194</v>
      </c>
      <c r="J188" s="464" t="s">
        <v>50</v>
      </c>
      <c r="K188" s="464" t="s">
        <v>50</v>
      </c>
      <c r="M188" s="464" t="s">
        <v>50</v>
      </c>
      <c r="O188" s="464" t="s">
        <v>50</v>
      </c>
      <c r="P188" s="464" t="s">
        <v>50</v>
      </c>
      <c r="Q188" s="464" t="s">
        <v>50</v>
      </c>
      <c r="R188" s="464" t="s">
        <v>50</v>
      </c>
      <c r="S188" s="464" t="s">
        <v>50</v>
      </c>
      <c r="T188" s="464" t="s">
        <v>50</v>
      </c>
    </row>
    <row r="189" spans="1:20" ht="20.100000000000001" customHeight="1">
      <c r="A189" s="308" t="s">
        <v>1195</v>
      </c>
      <c r="B189" s="309"/>
      <c r="C189" s="309"/>
      <c r="D189" s="309"/>
      <c r="E189" s="309"/>
      <c r="F189" s="308" t="s">
        <v>50</v>
      </c>
      <c r="G189" s="464" t="s">
        <v>2034</v>
      </c>
      <c r="H189" s="464" t="s">
        <v>949</v>
      </c>
      <c r="I189" s="464" t="s">
        <v>1196</v>
      </c>
      <c r="J189" s="464" t="s">
        <v>50</v>
      </c>
      <c r="K189" s="464" t="s">
        <v>50</v>
      </c>
      <c r="M189" s="464" t="s">
        <v>50</v>
      </c>
      <c r="O189" s="464" t="s">
        <v>50</v>
      </c>
      <c r="P189" s="464" t="s">
        <v>50</v>
      </c>
      <c r="Q189" s="464" t="s">
        <v>50</v>
      </c>
      <c r="R189" s="464" t="s">
        <v>50</v>
      </c>
      <c r="S189" s="464" t="s">
        <v>50</v>
      </c>
      <c r="T189" s="464" t="s">
        <v>50</v>
      </c>
    </row>
    <row r="190" spans="1:20" ht="20.100000000000001" customHeight="1">
      <c r="A190" s="308" t="s">
        <v>1197</v>
      </c>
      <c r="B190" s="309"/>
      <c r="C190" s="309"/>
      <c r="D190" s="309"/>
      <c r="E190" s="309"/>
      <c r="F190" s="308" t="s">
        <v>50</v>
      </c>
      <c r="G190" s="464" t="s">
        <v>2034</v>
      </c>
      <c r="H190" s="464" t="s">
        <v>949</v>
      </c>
      <c r="I190" s="464" t="s">
        <v>1198</v>
      </c>
      <c r="J190" s="464" t="s">
        <v>50</v>
      </c>
      <c r="K190" s="464" t="s">
        <v>50</v>
      </c>
      <c r="M190" s="464" t="s">
        <v>50</v>
      </c>
      <c r="O190" s="464" t="s">
        <v>50</v>
      </c>
      <c r="P190" s="464" t="s">
        <v>50</v>
      </c>
      <c r="Q190" s="464" t="s">
        <v>50</v>
      </c>
      <c r="R190" s="464" t="s">
        <v>50</v>
      </c>
      <c r="S190" s="464" t="s">
        <v>50</v>
      </c>
      <c r="T190" s="464" t="s">
        <v>50</v>
      </c>
    </row>
    <row r="191" spans="1:20" ht="20.100000000000001" customHeight="1">
      <c r="A191" s="308" t="s">
        <v>1199</v>
      </c>
      <c r="B191" s="309"/>
      <c r="C191" s="309"/>
      <c r="D191" s="309"/>
      <c r="E191" s="309"/>
      <c r="F191" s="308" t="s">
        <v>50</v>
      </c>
      <c r="G191" s="464" t="s">
        <v>2034</v>
      </c>
      <c r="H191" s="464" t="s">
        <v>949</v>
      </c>
      <c r="I191" s="464" t="s">
        <v>1200</v>
      </c>
      <c r="J191" s="464" t="s">
        <v>50</v>
      </c>
      <c r="K191" s="464" t="s">
        <v>50</v>
      </c>
      <c r="M191" s="464" t="s">
        <v>50</v>
      </c>
      <c r="O191" s="464" t="s">
        <v>50</v>
      </c>
      <c r="P191" s="464" t="s">
        <v>50</v>
      </c>
      <c r="Q191" s="464" t="s">
        <v>50</v>
      </c>
      <c r="R191" s="464" t="s">
        <v>50</v>
      </c>
      <c r="S191" s="464" t="s">
        <v>50</v>
      </c>
      <c r="T191" s="464" t="s">
        <v>50</v>
      </c>
    </row>
    <row r="192" spans="1:20" ht="20.100000000000001" customHeight="1">
      <c r="A192" s="308" t="s">
        <v>1611</v>
      </c>
      <c r="B192" s="309"/>
      <c r="C192" s="309"/>
      <c r="D192" s="309"/>
      <c r="E192" s="309"/>
      <c r="F192" s="308" t="s">
        <v>50</v>
      </c>
      <c r="G192" s="464" t="s">
        <v>2034</v>
      </c>
      <c r="H192" s="464" t="s">
        <v>949</v>
      </c>
      <c r="I192" s="464" t="s">
        <v>1201</v>
      </c>
      <c r="J192" s="464" t="s">
        <v>50</v>
      </c>
      <c r="K192" s="464" t="s">
        <v>50</v>
      </c>
      <c r="M192" s="464" t="s">
        <v>50</v>
      </c>
      <c r="O192" s="464" t="s">
        <v>50</v>
      </c>
      <c r="P192" s="464" t="s">
        <v>50</v>
      </c>
      <c r="Q192" s="464" t="s">
        <v>50</v>
      </c>
      <c r="R192" s="464" t="s">
        <v>50</v>
      </c>
      <c r="S192" s="464" t="s">
        <v>50</v>
      </c>
      <c r="T192" s="464" t="s">
        <v>50</v>
      </c>
    </row>
    <row r="193" spans="1:20" ht="20.100000000000001" customHeight="1">
      <c r="A193" s="308" t="s">
        <v>1202</v>
      </c>
      <c r="B193" s="309"/>
      <c r="C193" s="309"/>
      <c r="D193" s="309"/>
      <c r="E193" s="309"/>
      <c r="F193" s="308" t="s">
        <v>50</v>
      </c>
      <c r="G193" s="464" t="s">
        <v>2034</v>
      </c>
      <c r="H193" s="464" t="s">
        <v>949</v>
      </c>
      <c r="I193" s="464" t="s">
        <v>1203</v>
      </c>
      <c r="J193" s="464" t="s">
        <v>50</v>
      </c>
      <c r="K193" s="464" t="s">
        <v>50</v>
      </c>
      <c r="M193" s="464" t="s">
        <v>50</v>
      </c>
      <c r="O193" s="464" t="s">
        <v>50</v>
      </c>
      <c r="P193" s="464" t="s">
        <v>50</v>
      </c>
      <c r="Q193" s="464" t="s">
        <v>50</v>
      </c>
      <c r="R193" s="464" t="s">
        <v>50</v>
      </c>
      <c r="S193" s="464" t="s">
        <v>50</v>
      </c>
      <c r="T193" s="464" t="s">
        <v>50</v>
      </c>
    </row>
    <row r="194" spans="1:20" ht="20.100000000000001" customHeight="1">
      <c r="A194" s="308" t="s">
        <v>1204</v>
      </c>
      <c r="B194" s="309"/>
      <c r="C194" s="309"/>
      <c r="D194" s="309"/>
      <c r="E194" s="309"/>
      <c r="F194" s="308" t="s">
        <v>50</v>
      </c>
      <c r="G194" s="464" t="s">
        <v>2034</v>
      </c>
      <c r="H194" s="464" t="s">
        <v>949</v>
      </c>
      <c r="I194" s="464" t="s">
        <v>1205</v>
      </c>
      <c r="J194" s="464" t="s">
        <v>50</v>
      </c>
      <c r="K194" s="464" t="s">
        <v>50</v>
      </c>
      <c r="M194" s="464" t="s">
        <v>50</v>
      </c>
      <c r="O194" s="464" t="s">
        <v>50</v>
      </c>
      <c r="P194" s="464" t="s">
        <v>50</v>
      </c>
      <c r="Q194" s="464" t="s">
        <v>50</v>
      </c>
      <c r="R194" s="464" t="s">
        <v>50</v>
      </c>
      <c r="S194" s="464" t="s">
        <v>50</v>
      </c>
      <c r="T194" s="464" t="s">
        <v>50</v>
      </c>
    </row>
    <row r="195" spans="1:20" ht="20.100000000000001" customHeight="1">
      <c r="A195" s="308" t="s">
        <v>1206</v>
      </c>
      <c r="B195" s="309"/>
      <c r="C195" s="309"/>
      <c r="D195" s="309"/>
      <c r="E195" s="309"/>
      <c r="F195" s="308" t="s">
        <v>50</v>
      </c>
      <c r="G195" s="464" t="s">
        <v>2034</v>
      </c>
      <c r="H195" s="464" t="s">
        <v>949</v>
      </c>
      <c r="I195" s="464" t="s">
        <v>1207</v>
      </c>
      <c r="J195" s="464" t="s">
        <v>50</v>
      </c>
      <c r="K195" s="464" t="s">
        <v>50</v>
      </c>
      <c r="M195" s="464" t="s">
        <v>50</v>
      </c>
      <c r="O195" s="464" t="s">
        <v>50</v>
      </c>
      <c r="P195" s="464" t="s">
        <v>50</v>
      </c>
      <c r="Q195" s="464" t="s">
        <v>50</v>
      </c>
      <c r="R195" s="464" t="s">
        <v>50</v>
      </c>
      <c r="S195" s="464" t="s">
        <v>50</v>
      </c>
      <c r="T195" s="464" t="s">
        <v>50</v>
      </c>
    </row>
    <row r="196" spans="1:20" ht="20.100000000000001" customHeight="1">
      <c r="A196" s="308" t="s">
        <v>1208</v>
      </c>
      <c r="B196" s="309"/>
      <c r="C196" s="309"/>
      <c r="D196" s="309"/>
      <c r="E196" s="309"/>
      <c r="F196" s="308" t="s">
        <v>50</v>
      </c>
      <c r="G196" s="464" t="s">
        <v>2034</v>
      </c>
      <c r="H196" s="464" t="s">
        <v>949</v>
      </c>
      <c r="I196" s="464" t="s">
        <v>1209</v>
      </c>
      <c r="J196" s="464" t="s">
        <v>50</v>
      </c>
      <c r="K196" s="464" t="s">
        <v>50</v>
      </c>
      <c r="M196" s="464" t="s">
        <v>50</v>
      </c>
      <c r="O196" s="464" t="s">
        <v>50</v>
      </c>
      <c r="P196" s="464" t="s">
        <v>50</v>
      </c>
      <c r="Q196" s="464" t="s">
        <v>50</v>
      </c>
      <c r="R196" s="464" t="s">
        <v>50</v>
      </c>
      <c r="S196" s="464" t="s">
        <v>50</v>
      </c>
      <c r="T196" s="464" t="s">
        <v>50</v>
      </c>
    </row>
    <row r="197" spans="1:20" ht="20.100000000000001" customHeight="1">
      <c r="A197" s="308" t="s">
        <v>1199</v>
      </c>
      <c r="B197" s="309"/>
      <c r="C197" s="309"/>
      <c r="D197" s="309"/>
      <c r="E197" s="309"/>
      <c r="F197" s="308" t="s">
        <v>50</v>
      </c>
      <c r="G197" s="464" t="s">
        <v>2034</v>
      </c>
      <c r="H197" s="464" t="s">
        <v>949</v>
      </c>
      <c r="I197" s="464" t="s">
        <v>1200</v>
      </c>
      <c r="J197" s="464" t="s">
        <v>50</v>
      </c>
      <c r="K197" s="464" t="s">
        <v>50</v>
      </c>
      <c r="M197" s="464" t="s">
        <v>50</v>
      </c>
      <c r="O197" s="464" t="s">
        <v>50</v>
      </c>
      <c r="P197" s="464" t="s">
        <v>50</v>
      </c>
      <c r="Q197" s="464" t="s">
        <v>50</v>
      </c>
      <c r="R197" s="464" t="s">
        <v>50</v>
      </c>
      <c r="S197" s="464" t="s">
        <v>50</v>
      </c>
      <c r="T197" s="464" t="s">
        <v>50</v>
      </c>
    </row>
    <row r="198" spans="1:20" ht="20.100000000000001" customHeight="1">
      <c r="A198" s="308" t="s">
        <v>1210</v>
      </c>
      <c r="B198" s="309"/>
      <c r="C198" s="309"/>
      <c r="D198" s="309"/>
      <c r="E198" s="309"/>
      <c r="F198" s="308" t="s">
        <v>50</v>
      </c>
      <c r="G198" s="464" t="s">
        <v>2034</v>
      </c>
      <c r="H198" s="464" t="s">
        <v>949</v>
      </c>
      <c r="I198" s="464" t="s">
        <v>1211</v>
      </c>
      <c r="J198" s="464" t="s">
        <v>50</v>
      </c>
      <c r="K198" s="464" t="s">
        <v>50</v>
      </c>
      <c r="M198" s="464" t="s">
        <v>50</v>
      </c>
      <c r="O198" s="464" t="s">
        <v>50</v>
      </c>
      <c r="P198" s="464" t="s">
        <v>50</v>
      </c>
      <c r="Q198" s="464" t="s">
        <v>50</v>
      </c>
      <c r="R198" s="464" t="s">
        <v>50</v>
      </c>
      <c r="S198" s="464" t="s">
        <v>50</v>
      </c>
      <c r="T198" s="464" t="s">
        <v>50</v>
      </c>
    </row>
    <row r="199" spans="1:20" ht="20.100000000000001" customHeight="1">
      <c r="A199" s="308" t="s">
        <v>1212</v>
      </c>
      <c r="B199" s="309"/>
      <c r="C199" s="309"/>
      <c r="D199" s="309"/>
      <c r="E199" s="309"/>
      <c r="F199" s="308" t="s">
        <v>50</v>
      </c>
      <c r="G199" s="464" t="s">
        <v>2034</v>
      </c>
      <c r="H199" s="464" t="s">
        <v>949</v>
      </c>
      <c r="I199" s="464" t="s">
        <v>1213</v>
      </c>
      <c r="J199" s="464" t="s">
        <v>50</v>
      </c>
      <c r="K199" s="464" t="s">
        <v>50</v>
      </c>
      <c r="M199" s="464" t="s">
        <v>50</v>
      </c>
      <c r="O199" s="464" t="s">
        <v>50</v>
      </c>
      <c r="P199" s="464" t="s">
        <v>50</v>
      </c>
      <c r="Q199" s="464" t="s">
        <v>50</v>
      </c>
      <c r="R199" s="464" t="s">
        <v>50</v>
      </c>
      <c r="S199" s="464" t="s">
        <v>50</v>
      </c>
      <c r="T199" s="464" t="s">
        <v>50</v>
      </c>
    </row>
    <row r="200" spans="1:20" ht="20.100000000000001" customHeight="1">
      <c r="A200" s="308" t="s">
        <v>1214</v>
      </c>
      <c r="B200" s="309"/>
      <c r="C200" s="309"/>
      <c r="D200" s="309"/>
      <c r="E200" s="309"/>
      <c r="F200" s="308" t="s">
        <v>50</v>
      </c>
      <c r="G200" s="464" t="s">
        <v>2034</v>
      </c>
      <c r="H200" s="464" t="s">
        <v>949</v>
      </c>
      <c r="I200" s="464" t="s">
        <v>1215</v>
      </c>
      <c r="J200" s="464" t="s">
        <v>50</v>
      </c>
      <c r="K200" s="464" t="s">
        <v>50</v>
      </c>
      <c r="M200" s="464" t="s">
        <v>50</v>
      </c>
      <c r="O200" s="464" t="s">
        <v>50</v>
      </c>
      <c r="P200" s="464" t="s">
        <v>50</v>
      </c>
      <c r="Q200" s="464" t="s">
        <v>50</v>
      </c>
      <c r="R200" s="464" t="s">
        <v>50</v>
      </c>
      <c r="S200" s="464" t="s">
        <v>50</v>
      </c>
      <c r="T200" s="464" t="s">
        <v>50</v>
      </c>
    </row>
    <row r="201" spans="1:20" ht="20.100000000000001" customHeight="1">
      <c r="A201" s="308" t="s">
        <v>1206</v>
      </c>
      <c r="B201" s="309"/>
      <c r="C201" s="309"/>
      <c r="D201" s="309"/>
      <c r="E201" s="309"/>
      <c r="F201" s="308" t="s">
        <v>50</v>
      </c>
      <c r="G201" s="464" t="s">
        <v>2034</v>
      </c>
      <c r="H201" s="464" t="s">
        <v>949</v>
      </c>
      <c r="I201" s="464" t="s">
        <v>1207</v>
      </c>
      <c r="J201" s="464" t="s">
        <v>50</v>
      </c>
      <c r="K201" s="464" t="s">
        <v>50</v>
      </c>
      <c r="M201" s="464" t="s">
        <v>50</v>
      </c>
      <c r="O201" s="464" t="s">
        <v>50</v>
      </c>
      <c r="P201" s="464" t="s">
        <v>50</v>
      </c>
      <c r="Q201" s="464" t="s">
        <v>50</v>
      </c>
      <c r="R201" s="464" t="s">
        <v>50</v>
      </c>
      <c r="S201" s="464" t="s">
        <v>50</v>
      </c>
      <c r="T201" s="464" t="s">
        <v>50</v>
      </c>
    </row>
    <row r="202" spans="1:20" ht="20.100000000000001" customHeight="1">
      <c r="A202" s="308" t="s">
        <v>1216</v>
      </c>
      <c r="B202" s="309"/>
      <c r="C202" s="309"/>
      <c r="D202" s="309"/>
      <c r="E202" s="309"/>
      <c r="F202" s="308" t="s">
        <v>50</v>
      </c>
      <c r="G202" s="464" t="s">
        <v>2034</v>
      </c>
      <c r="H202" s="464" t="s">
        <v>949</v>
      </c>
      <c r="I202" s="464" t="s">
        <v>1217</v>
      </c>
      <c r="J202" s="464" t="s">
        <v>50</v>
      </c>
      <c r="K202" s="464" t="s">
        <v>50</v>
      </c>
      <c r="M202" s="464" t="s">
        <v>50</v>
      </c>
      <c r="O202" s="464" t="s">
        <v>50</v>
      </c>
      <c r="P202" s="464" t="s">
        <v>50</v>
      </c>
      <c r="Q202" s="464" t="s">
        <v>50</v>
      </c>
      <c r="R202" s="464" t="s">
        <v>50</v>
      </c>
      <c r="S202" s="464" t="s">
        <v>50</v>
      </c>
      <c r="T202" s="464" t="s">
        <v>50</v>
      </c>
    </row>
    <row r="203" spans="1:20" ht="20.100000000000001" customHeight="1">
      <c r="A203" s="308" t="s">
        <v>973</v>
      </c>
      <c r="B203" s="306"/>
      <c r="C203" s="306"/>
      <c r="D203" s="306"/>
      <c r="E203" s="306"/>
      <c r="F203" s="310"/>
    </row>
    <row r="204" spans="1:20" ht="20.100000000000001" customHeight="1">
      <c r="A204" s="310"/>
      <c r="B204" s="310"/>
      <c r="C204" s="310"/>
      <c r="D204" s="310"/>
      <c r="E204" s="310"/>
      <c r="F204" s="310"/>
    </row>
    <row r="205" spans="1:20" ht="20.100000000000001" customHeight="1">
      <c r="A205" s="310" t="s">
        <v>1783</v>
      </c>
      <c r="B205" s="310"/>
      <c r="C205" s="310"/>
      <c r="D205" s="310"/>
      <c r="E205" s="310"/>
      <c r="F205" s="308" t="s">
        <v>777</v>
      </c>
      <c r="G205" s="464" t="s">
        <v>2213</v>
      </c>
      <c r="I205" s="464" t="s">
        <v>665</v>
      </c>
      <c r="J205" s="464" t="s">
        <v>776</v>
      </c>
      <c r="K205" s="464" t="s">
        <v>644</v>
      </c>
    </row>
    <row r="206" spans="1:20" ht="20.100000000000001" customHeight="1">
      <c r="A206" s="308" t="s">
        <v>50</v>
      </c>
      <c r="B206" s="309"/>
      <c r="C206" s="309"/>
      <c r="D206" s="309"/>
      <c r="E206" s="309"/>
      <c r="F206" s="308" t="s">
        <v>50</v>
      </c>
      <c r="G206" s="464" t="s">
        <v>2213</v>
      </c>
      <c r="H206" s="464" t="s">
        <v>563</v>
      </c>
      <c r="I206" s="464" t="s">
        <v>50</v>
      </c>
      <c r="J206" s="464" t="s">
        <v>50</v>
      </c>
      <c r="K206" s="464" t="s">
        <v>50</v>
      </c>
      <c r="L206">
        <v>1</v>
      </c>
      <c r="M206" s="464" t="s">
        <v>50</v>
      </c>
      <c r="O206" s="464" t="s">
        <v>50</v>
      </c>
      <c r="P206" s="464" t="s">
        <v>50</v>
      </c>
      <c r="Q206" s="464" t="s">
        <v>50</v>
      </c>
      <c r="R206" s="464" t="s">
        <v>50</v>
      </c>
      <c r="S206" s="464" t="s">
        <v>50</v>
      </c>
      <c r="T206" s="464" t="s">
        <v>50</v>
      </c>
    </row>
    <row r="207" spans="1:20" ht="20.100000000000001" customHeight="1">
      <c r="A207" s="308" t="s">
        <v>1218</v>
      </c>
      <c r="B207" s="309"/>
      <c r="C207" s="309"/>
      <c r="D207" s="309"/>
      <c r="E207" s="309"/>
      <c r="F207" s="308" t="s">
        <v>50</v>
      </c>
      <c r="G207" s="464" t="s">
        <v>2213</v>
      </c>
      <c r="H207" s="464" t="s">
        <v>949</v>
      </c>
      <c r="I207" s="464" t="s">
        <v>1219</v>
      </c>
      <c r="J207" s="464" t="s">
        <v>50</v>
      </c>
      <c r="K207" s="464" t="s">
        <v>50</v>
      </c>
      <c r="M207" s="464" t="s">
        <v>50</v>
      </c>
      <c r="O207" s="464" t="s">
        <v>50</v>
      </c>
      <c r="P207" s="464" t="s">
        <v>50</v>
      </c>
      <c r="Q207" s="464" t="s">
        <v>50</v>
      </c>
      <c r="R207" s="464" t="s">
        <v>50</v>
      </c>
      <c r="S207" s="464" t="s">
        <v>50</v>
      </c>
      <c r="T207" s="464" t="s">
        <v>50</v>
      </c>
    </row>
    <row r="208" spans="1:20" ht="20.100000000000001" customHeight="1">
      <c r="A208" s="308" t="s">
        <v>1220</v>
      </c>
      <c r="B208" s="309"/>
      <c r="C208" s="309"/>
      <c r="D208" s="309"/>
      <c r="E208" s="309"/>
      <c r="F208" s="308" t="s">
        <v>50</v>
      </c>
      <c r="G208" s="464" t="s">
        <v>2213</v>
      </c>
      <c r="H208" s="464" t="s">
        <v>949</v>
      </c>
      <c r="I208" s="464" t="s">
        <v>1221</v>
      </c>
      <c r="J208" s="464" t="s">
        <v>50</v>
      </c>
      <c r="K208" s="464" t="s">
        <v>50</v>
      </c>
      <c r="M208" s="464" t="s">
        <v>50</v>
      </c>
      <c r="O208" s="464" t="s">
        <v>50</v>
      </c>
      <c r="P208" s="464" t="s">
        <v>50</v>
      </c>
      <c r="Q208" s="464" t="s">
        <v>50</v>
      </c>
      <c r="R208" s="464" t="s">
        <v>50</v>
      </c>
      <c r="S208" s="464" t="s">
        <v>50</v>
      </c>
      <c r="T208" s="464" t="s">
        <v>50</v>
      </c>
    </row>
    <row r="209" spans="1:20" ht="20.100000000000001" customHeight="1">
      <c r="A209" s="308" t="s">
        <v>1222</v>
      </c>
      <c r="B209" s="309"/>
      <c r="C209" s="309"/>
      <c r="D209" s="309"/>
      <c r="E209" s="309"/>
      <c r="F209" s="308" t="s">
        <v>50</v>
      </c>
      <c r="G209" s="464" t="s">
        <v>2213</v>
      </c>
      <c r="H209" s="464" t="s">
        <v>949</v>
      </c>
      <c r="I209" s="464" t="s">
        <v>1223</v>
      </c>
      <c r="J209" s="464" t="s">
        <v>50</v>
      </c>
      <c r="K209" s="464" t="s">
        <v>50</v>
      </c>
      <c r="M209" s="464" t="s">
        <v>50</v>
      </c>
      <c r="O209" s="464" t="s">
        <v>50</v>
      </c>
      <c r="P209" s="464" t="s">
        <v>50</v>
      </c>
      <c r="Q209" s="464" t="s">
        <v>50</v>
      </c>
      <c r="R209" s="464" t="s">
        <v>50</v>
      </c>
      <c r="S209" s="464" t="s">
        <v>50</v>
      </c>
      <c r="T209" s="464" t="s">
        <v>50</v>
      </c>
    </row>
    <row r="210" spans="1:20" ht="20.100000000000001" customHeight="1">
      <c r="A210" s="308" t="s">
        <v>1224</v>
      </c>
      <c r="B210" s="309"/>
      <c r="C210" s="309"/>
      <c r="D210" s="309"/>
      <c r="E210" s="309"/>
      <c r="F210" s="308" t="s">
        <v>50</v>
      </c>
      <c r="G210" s="464" t="s">
        <v>2213</v>
      </c>
      <c r="H210" s="464" t="s">
        <v>949</v>
      </c>
      <c r="I210" s="464" t="s">
        <v>1225</v>
      </c>
      <c r="J210" s="464" t="s">
        <v>50</v>
      </c>
      <c r="K210" s="464" t="s">
        <v>50</v>
      </c>
      <c r="M210" s="464" t="s">
        <v>50</v>
      </c>
      <c r="O210" s="464" t="s">
        <v>50</v>
      </c>
      <c r="P210" s="464" t="s">
        <v>50</v>
      </c>
      <c r="Q210" s="464" t="s">
        <v>50</v>
      </c>
      <c r="R210" s="464" t="s">
        <v>50</v>
      </c>
      <c r="S210" s="464" t="s">
        <v>50</v>
      </c>
      <c r="T210" s="464" t="s">
        <v>50</v>
      </c>
    </row>
    <row r="211" spans="1:20" ht="20.100000000000001" customHeight="1">
      <c r="A211" s="308" t="s">
        <v>1226</v>
      </c>
      <c r="B211" s="309"/>
      <c r="C211" s="309"/>
      <c r="D211" s="309"/>
      <c r="E211" s="309"/>
      <c r="F211" s="308" t="s">
        <v>50</v>
      </c>
      <c r="G211" s="464" t="s">
        <v>2213</v>
      </c>
      <c r="H211" s="464" t="s">
        <v>949</v>
      </c>
      <c r="I211" s="464" t="s">
        <v>1227</v>
      </c>
      <c r="J211" s="464" t="s">
        <v>50</v>
      </c>
      <c r="K211" s="464" t="s">
        <v>50</v>
      </c>
      <c r="M211" s="464" t="s">
        <v>50</v>
      </c>
      <c r="O211" s="464" t="s">
        <v>50</v>
      </c>
      <c r="P211" s="464" t="s">
        <v>50</v>
      </c>
      <c r="Q211" s="464" t="s">
        <v>50</v>
      </c>
      <c r="R211" s="464" t="s">
        <v>50</v>
      </c>
      <c r="S211" s="464" t="s">
        <v>50</v>
      </c>
      <c r="T211" s="464" t="s">
        <v>50</v>
      </c>
    </row>
    <row r="212" spans="1:20" ht="20.100000000000001" customHeight="1">
      <c r="A212" s="308" t="s">
        <v>1228</v>
      </c>
      <c r="B212" s="309"/>
      <c r="C212" s="309"/>
      <c r="D212" s="309"/>
      <c r="E212" s="309"/>
      <c r="F212" s="308" t="s">
        <v>50</v>
      </c>
      <c r="G212" s="464" t="s">
        <v>2213</v>
      </c>
      <c r="H212" s="464" t="s">
        <v>949</v>
      </c>
      <c r="I212" s="464" t="s">
        <v>1229</v>
      </c>
      <c r="J212" s="464" t="s">
        <v>50</v>
      </c>
      <c r="K212" s="464" t="s">
        <v>50</v>
      </c>
      <c r="M212" s="464" t="s">
        <v>50</v>
      </c>
      <c r="O212" s="464" t="s">
        <v>50</v>
      </c>
      <c r="P212" s="464" t="s">
        <v>50</v>
      </c>
      <c r="Q212" s="464" t="s">
        <v>50</v>
      </c>
      <c r="R212" s="464" t="s">
        <v>50</v>
      </c>
      <c r="S212" s="464" t="s">
        <v>50</v>
      </c>
      <c r="T212" s="464" t="s">
        <v>50</v>
      </c>
    </row>
    <row r="213" spans="1:20" ht="20.100000000000001" customHeight="1">
      <c r="A213" s="308" t="s">
        <v>1230</v>
      </c>
      <c r="B213" s="309"/>
      <c r="C213" s="309"/>
      <c r="D213" s="309"/>
      <c r="E213" s="309"/>
      <c r="F213" s="308" t="s">
        <v>50</v>
      </c>
      <c r="G213" s="464" t="s">
        <v>2213</v>
      </c>
      <c r="H213" s="464" t="s">
        <v>949</v>
      </c>
      <c r="I213" s="464" t="s">
        <v>1231</v>
      </c>
      <c r="J213" s="464" t="s">
        <v>50</v>
      </c>
      <c r="K213" s="464" t="s">
        <v>50</v>
      </c>
      <c r="M213" s="464" t="s">
        <v>50</v>
      </c>
      <c r="O213" s="464" t="s">
        <v>50</v>
      </c>
      <c r="P213" s="464" t="s">
        <v>50</v>
      </c>
      <c r="Q213" s="464" t="s">
        <v>50</v>
      </c>
      <c r="R213" s="464" t="s">
        <v>50</v>
      </c>
      <c r="S213" s="464" t="s">
        <v>50</v>
      </c>
      <c r="T213" s="464" t="s">
        <v>50</v>
      </c>
    </row>
    <row r="214" spans="1:20" ht="20.100000000000001" customHeight="1">
      <c r="A214" s="308" t="s">
        <v>1232</v>
      </c>
      <c r="B214" s="309"/>
      <c r="C214" s="309"/>
      <c r="D214" s="309"/>
      <c r="E214" s="309"/>
      <c r="F214" s="308" t="s">
        <v>50</v>
      </c>
      <c r="G214" s="464" t="s">
        <v>2213</v>
      </c>
      <c r="H214" s="464" t="s">
        <v>949</v>
      </c>
      <c r="I214" s="464" t="s">
        <v>1233</v>
      </c>
      <c r="J214" s="464" t="s">
        <v>50</v>
      </c>
      <c r="K214" s="464" t="s">
        <v>50</v>
      </c>
      <c r="M214" s="464" t="s">
        <v>50</v>
      </c>
      <c r="O214" s="464" t="s">
        <v>50</v>
      </c>
      <c r="P214" s="464" t="s">
        <v>50</v>
      </c>
      <c r="Q214" s="464" t="s">
        <v>50</v>
      </c>
      <c r="R214" s="464" t="s">
        <v>50</v>
      </c>
      <c r="S214" s="464" t="s">
        <v>50</v>
      </c>
      <c r="T214" s="464" t="s">
        <v>50</v>
      </c>
    </row>
    <row r="215" spans="1:20" ht="20.100000000000001" customHeight="1">
      <c r="A215" s="308" t="s">
        <v>1234</v>
      </c>
      <c r="B215" s="309"/>
      <c r="C215" s="309"/>
      <c r="D215" s="309"/>
      <c r="E215" s="309"/>
      <c r="F215" s="308" t="s">
        <v>50</v>
      </c>
      <c r="G215" s="464" t="s">
        <v>2213</v>
      </c>
      <c r="H215" s="464" t="s">
        <v>949</v>
      </c>
      <c r="I215" s="464" t="s">
        <v>1235</v>
      </c>
      <c r="J215" s="464" t="s">
        <v>50</v>
      </c>
      <c r="K215" s="464" t="s">
        <v>50</v>
      </c>
      <c r="M215" s="464" t="s">
        <v>50</v>
      </c>
      <c r="O215" s="464" t="s">
        <v>50</v>
      </c>
      <c r="P215" s="464" t="s">
        <v>50</v>
      </c>
      <c r="Q215" s="464" t="s">
        <v>50</v>
      </c>
      <c r="R215" s="464" t="s">
        <v>50</v>
      </c>
      <c r="S215" s="464" t="s">
        <v>50</v>
      </c>
      <c r="T215" s="464" t="s">
        <v>50</v>
      </c>
    </row>
    <row r="216" spans="1:20" ht="20.100000000000001" customHeight="1">
      <c r="A216" s="308" t="s">
        <v>1236</v>
      </c>
      <c r="B216" s="309"/>
      <c r="C216" s="309"/>
      <c r="D216" s="309"/>
      <c r="E216" s="309"/>
      <c r="F216" s="308" t="s">
        <v>50</v>
      </c>
      <c r="G216" s="464" t="s">
        <v>2213</v>
      </c>
      <c r="H216" s="464" t="s">
        <v>949</v>
      </c>
      <c r="I216" s="464" t="s">
        <v>1237</v>
      </c>
      <c r="J216" s="464" t="s">
        <v>50</v>
      </c>
      <c r="K216" s="464" t="s">
        <v>50</v>
      </c>
      <c r="M216" s="464" t="s">
        <v>50</v>
      </c>
      <c r="O216" s="464" t="s">
        <v>50</v>
      </c>
      <c r="P216" s="464" t="s">
        <v>50</v>
      </c>
      <c r="Q216" s="464" t="s">
        <v>50</v>
      </c>
      <c r="R216" s="464" t="s">
        <v>50</v>
      </c>
      <c r="S216" s="464" t="s">
        <v>50</v>
      </c>
      <c r="T216" s="464" t="s">
        <v>50</v>
      </c>
    </row>
    <row r="217" spans="1:20" ht="20.100000000000001" customHeight="1">
      <c r="A217" s="308" t="s">
        <v>948</v>
      </c>
      <c r="B217" s="309"/>
      <c r="C217" s="309"/>
      <c r="D217" s="309"/>
      <c r="E217" s="309"/>
      <c r="F217" s="308" t="s">
        <v>50</v>
      </c>
      <c r="G217" s="464" t="s">
        <v>2213</v>
      </c>
      <c r="H217" s="464" t="s">
        <v>949</v>
      </c>
      <c r="I217" s="464" t="s">
        <v>50</v>
      </c>
      <c r="J217" s="464" t="s">
        <v>50</v>
      </c>
      <c r="K217" s="464" t="s">
        <v>50</v>
      </c>
      <c r="M217" s="464" t="s">
        <v>50</v>
      </c>
      <c r="O217" s="464" t="s">
        <v>50</v>
      </c>
      <c r="P217" s="464" t="s">
        <v>50</v>
      </c>
      <c r="Q217" s="464" t="s">
        <v>50</v>
      </c>
      <c r="R217" s="464" t="s">
        <v>50</v>
      </c>
      <c r="S217" s="464" t="s">
        <v>50</v>
      </c>
      <c r="T217" s="464" t="s">
        <v>50</v>
      </c>
    </row>
    <row r="218" spans="1:20" ht="20.100000000000001" customHeight="1">
      <c r="A218" s="308" t="s">
        <v>1238</v>
      </c>
      <c r="B218" s="309"/>
      <c r="C218" s="309"/>
      <c r="D218" s="309"/>
      <c r="E218" s="309"/>
      <c r="F218" s="308" t="s">
        <v>50</v>
      </c>
      <c r="G218" s="464" t="s">
        <v>2213</v>
      </c>
      <c r="H218" s="464" t="s">
        <v>949</v>
      </c>
      <c r="I218" s="464" t="s">
        <v>1239</v>
      </c>
      <c r="J218" s="464" t="s">
        <v>50</v>
      </c>
      <c r="K218" s="464" t="s">
        <v>50</v>
      </c>
      <c r="M218" s="464" t="s">
        <v>50</v>
      </c>
      <c r="O218" s="464" t="s">
        <v>50</v>
      </c>
      <c r="P218" s="464" t="s">
        <v>50</v>
      </c>
      <c r="Q218" s="464" t="s">
        <v>50</v>
      </c>
      <c r="R218" s="464" t="s">
        <v>50</v>
      </c>
      <c r="S218" s="464" t="s">
        <v>50</v>
      </c>
      <c r="T218" s="464" t="s">
        <v>50</v>
      </c>
    </row>
    <row r="219" spans="1:20" ht="20.100000000000001" customHeight="1">
      <c r="A219" s="308" t="s">
        <v>1240</v>
      </c>
      <c r="B219" s="309"/>
      <c r="C219" s="309"/>
      <c r="D219" s="309"/>
      <c r="E219" s="309"/>
      <c r="F219" s="308" t="s">
        <v>50</v>
      </c>
      <c r="G219" s="464" t="s">
        <v>2213</v>
      </c>
      <c r="H219" s="464" t="s">
        <v>949</v>
      </c>
      <c r="I219" s="464" t="s">
        <v>1241</v>
      </c>
      <c r="J219" s="464" t="s">
        <v>50</v>
      </c>
      <c r="K219" s="464" t="s">
        <v>50</v>
      </c>
      <c r="M219" s="464" t="s">
        <v>50</v>
      </c>
      <c r="O219" s="464" t="s">
        <v>50</v>
      </c>
      <c r="P219" s="464" t="s">
        <v>50</v>
      </c>
      <c r="Q219" s="464" t="s">
        <v>50</v>
      </c>
      <c r="R219" s="464" t="s">
        <v>50</v>
      </c>
      <c r="S219" s="464" t="s">
        <v>50</v>
      </c>
      <c r="T219" s="464" t="s">
        <v>50</v>
      </c>
    </row>
    <row r="220" spans="1:20" ht="20.100000000000001" customHeight="1">
      <c r="A220" s="308" t="s">
        <v>948</v>
      </c>
      <c r="B220" s="309"/>
      <c r="C220" s="309"/>
      <c r="D220" s="309"/>
      <c r="E220" s="309"/>
      <c r="F220" s="308" t="s">
        <v>50</v>
      </c>
      <c r="G220" s="464" t="s">
        <v>2213</v>
      </c>
      <c r="H220" s="464" t="s">
        <v>949</v>
      </c>
      <c r="I220" s="464" t="s">
        <v>948</v>
      </c>
      <c r="J220" s="464" t="s">
        <v>50</v>
      </c>
      <c r="K220" s="464" t="s">
        <v>50</v>
      </c>
      <c r="M220" s="464" t="s">
        <v>50</v>
      </c>
      <c r="O220" s="464" t="s">
        <v>50</v>
      </c>
      <c r="P220" s="464" t="s">
        <v>50</v>
      </c>
      <c r="Q220" s="464" t="s">
        <v>50</v>
      </c>
      <c r="R220" s="464" t="s">
        <v>50</v>
      </c>
      <c r="S220" s="464" t="s">
        <v>50</v>
      </c>
      <c r="T220" s="464" t="s">
        <v>50</v>
      </c>
    </row>
    <row r="221" spans="1:20" ht="20.100000000000001" customHeight="1">
      <c r="A221" s="308" t="s">
        <v>1242</v>
      </c>
      <c r="B221" s="309"/>
      <c r="C221" s="309"/>
      <c r="D221" s="309"/>
      <c r="E221" s="309"/>
      <c r="F221" s="308" t="s">
        <v>50</v>
      </c>
      <c r="G221" s="464" t="s">
        <v>2213</v>
      </c>
      <c r="H221" s="464" t="s">
        <v>949</v>
      </c>
      <c r="I221" s="464" t="s">
        <v>1243</v>
      </c>
      <c r="J221" s="464" t="s">
        <v>50</v>
      </c>
      <c r="K221" s="464" t="s">
        <v>50</v>
      </c>
      <c r="M221" s="464" t="s">
        <v>50</v>
      </c>
      <c r="O221" s="464" t="s">
        <v>50</v>
      </c>
      <c r="P221" s="464" t="s">
        <v>50</v>
      </c>
      <c r="Q221" s="464" t="s">
        <v>50</v>
      </c>
      <c r="R221" s="464" t="s">
        <v>50</v>
      </c>
      <c r="S221" s="464" t="s">
        <v>50</v>
      </c>
      <c r="T221" s="464" t="s">
        <v>50</v>
      </c>
    </row>
    <row r="222" spans="1:20" ht="20.100000000000001" customHeight="1">
      <c r="A222" s="308" t="s">
        <v>1244</v>
      </c>
      <c r="B222" s="309"/>
      <c r="C222" s="309"/>
      <c r="D222" s="309"/>
      <c r="E222" s="309"/>
      <c r="F222" s="308" t="s">
        <v>50</v>
      </c>
      <c r="G222" s="464" t="s">
        <v>2213</v>
      </c>
      <c r="H222" s="464" t="s">
        <v>949</v>
      </c>
      <c r="I222" s="464" t="s">
        <v>1245</v>
      </c>
      <c r="J222" s="464" t="s">
        <v>50</v>
      </c>
      <c r="K222" s="464" t="s">
        <v>50</v>
      </c>
      <c r="M222" s="464" t="s">
        <v>50</v>
      </c>
      <c r="O222" s="464" t="s">
        <v>50</v>
      </c>
      <c r="P222" s="464" t="s">
        <v>50</v>
      </c>
      <c r="Q222" s="464" t="s">
        <v>50</v>
      </c>
      <c r="R222" s="464" t="s">
        <v>50</v>
      </c>
      <c r="S222" s="464" t="s">
        <v>50</v>
      </c>
      <c r="T222" s="464" t="s">
        <v>50</v>
      </c>
    </row>
    <row r="223" spans="1:20" ht="20.100000000000001" customHeight="1">
      <c r="A223" s="308" t="s">
        <v>1246</v>
      </c>
      <c r="B223" s="309"/>
      <c r="C223" s="309"/>
      <c r="D223" s="309"/>
      <c r="E223" s="309"/>
      <c r="F223" s="308" t="s">
        <v>50</v>
      </c>
      <c r="G223" s="464" t="s">
        <v>2213</v>
      </c>
      <c r="H223" s="464" t="s">
        <v>949</v>
      </c>
      <c r="I223" s="464" t="s">
        <v>1247</v>
      </c>
      <c r="J223" s="464" t="s">
        <v>50</v>
      </c>
      <c r="K223" s="464" t="s">
        <v>50</v>
      </c>
      <c r="M223" s="464" t="s">
        <v>50</v>
      </c>
      <c r="O223" s="464" t="s">
        <v>50</v>
      </c>
      <c r="P223" s="464" t="s">
        <v>50</v>
      </c>
      <c r="Q223" s="464" t="s">
        <v>50</v>
      </c>
      <c r="R223" s="464" t="s">
        <v>50</v>
      </c>
      <c r="S223" s="464" t="s">
        <v>50</v>
      </c>
      <c r="T223" s="464" t="s">
        <v>50</v>
      </c>
    </row>
    <row r="224" spans="1:20" ht="20.100000000000001" customHeight="1">
      <c r="A224" s="308" t="s">
        <v>1248</v>
      </c>
      <c r="B224" s="309"/>
      <c r="C224" s="309"/>
      <c r="D224" s="309"/>
      <c r="E224" s="309"/>
      <c r="F224" s="308" t="s">
        <v>50</v>
      </c>
      <c r="G224" s="464" t="s">
        <v>2213</v>
      </c>
      <c r="H224" s="464" t="s">
        <v>949</v>
      </c>
      <c r="I224" s="464" t="s">
        <v>1249</v>
      </c>
      <c r="J224" s="464" t="s">
        <v>50</v>
      </c>
      <c r="K224" s="464" t="s">
        <v>50</v>
      </c>
      <c r="M224" s="464" t="s">
        <v>50</v>
      </c>
      <c r="O224" s="464" t="s">
        <v>50</v>
      </c>
      <c r="P224" s="464" t="s">
        <v>50</v>
      </c>
      <c r="Q224" s="464" t="s">
        <v>50</v>
      </c>
      <c r="R224" s="464" t="s">
        <v>50</v>
      </c>
      <c r="S224" s="464" t="s">
        <v>50</v>
      </c>
      <c r="T224" s="464" t="s">
        <v>50</v>
      </c>
    </row>
    <row r="225" spans="1:20" ht="20.100000000000001" customHeight="1">
      <c r="A225" s="308" t="s">
        <v>1250</v>
      </c>
      <c r="B225" s="309"/>
      <c r="C225" s="309"/>
      <c r="D225" s="309"/>
      <c r="E225" s="309"/>
      <c r="F225" s="308" t="s">
        <v>50</v>
      </c>
      <c r="G225" s="464" t="s">
        <v>2213</v>
      </c>
      <c r="H225" s="464" t="s">
        <v>949</v>
      </c>
      <c r="I225" s="464" t="s">
        <v>1251</v>
      </c>
      <c r="J225" s="464" t="s">
        <v>50</v>
      </c>
      <c r="K225" s="464" t="s">
        <v>50</v>
      </c>
      <c r="M225" s="464" t="s">
        <v>50</v>
      </c>
      <c r="O225" s="464" t="s">
        <v>50</v>
      </c>
      <c r="P225" s="464" t="s">
        <v>50</v>
      </c>
      <c r="Q225" s="464" t="s">
        <v>50</v>
      </c>
      <c r="R225" s="464" t="s">
        <v>50</v>
      </c>
      <c r="S225" s="464" t="s">
        <v>50</v>
      </c>
      <c r="T225" s="464" t="s">
        <v>50</v>
      </c>
    </row>
    <row r="226" spans="1:20" ht="20.100000000000001" customHeight="1">
      <c r="A226" s="308" t="s">
        <v>1252</v>
      </c>
      <c r="B226" s="309"/>
      <c r="C226" s="309"/>
      <c r="D226" s="309"/>
      <c r="E226" s="309"/>
      <c r="F226" s="308" t="s">
        <v>50</v>
      </c>
      <c r="G226" s="464" t="s">
        <v>2213</v>
      </c>
      <c r="H226" s="464" t="s">
        <v>949</v>
      </c>
      <c r="I226" s="464" t="s">
        <v>1253</v>
      </c>
      <c r="J226" s="464" t="s">
        <v>50</v>
      </c>
      <c r="K226" s="464" t="s">
        <v>50</v>
      </c>
      <c r="M226" s="464" t="s">
        <v>50</v>
      </c>
      <c r="O226" s="464" t="s">
        <v>50</v>
      </c>
      <c r="P226" s="464" t="s">
        <v>50</v>
      </c>
      <c r="Q226" s="464" t="s">
        <v>50</v>
      </c>
      <c r="R226" s="464" t="s">
        <v>50</v>
      </c>
      <c r="S226" s="464" t="s">
        <v>50</v>
      </c>
      <c r="T226" s="464" t="s">
        <v>50</v>
      </c>
    </row>
    <row r="227" spans="1:20" ht="20.100000000000001" customHeight="1">
      <c r="A227" s="308" t="s">
        <v>1254</v>
      </c>
      <c r="B227" s="309"/>
      <c r="C227" s="309"/>
      <c r="D227" s="309"/>
      <c r="E227" s="309"/>
      <c r="F227" s="308" t="s">
        <v>50</v>
      </c>
      <c r="G227" s="464" t="s">
        <v>2213</v>
      </c>
      <c r="H227" s="464" t="s">
        <v>949</v>
      </c>
      <c r="I227" s="464" t="s">
        <v>1255</v>
      </c>
      <c r="J227" s="464" t="s">
        <v>50</v>
      </c>
      <c r="K227" s="464" t="s">
        <v>50</v>
      </c>
      <c r="M227" s="464" t="s">
        <v>50</v>
      </c>
      <c r="O227" s="464" t="s">
        <v>50</v>
      </c>
      <c r="P227" s="464" t="s">
        <v>50</v>
      </c>
      <c r="Q227" s="464" t="s">
        <v>50</v>
      </c>
      <c r="R227" s="464" t="s">
        <v>50</v>
      </c>
      <c r="S227" s="464" t="s">
        <v>50</v>
      </c>
      <c r="T227" s="464" t="s">
        <v>50</v>
      </c>
    </row>
    <row r="228" spans="1:20" ht="20.100000000000001" customHeight="1">
      <c r="A228" s="308" t="s">
        <v>1256</v>
      </c>
      <c r="B228" s="309"/>
      <c r="C228" s="309"/>
      <c r="D228" s="309"/>
      <c r="E228" s="309"/>
      <c r="F228" s="308" t="s">
        <v>50</v>
      </c>
      <c r="G228" s="464" t="s">
        <v>2213</v>
      </c>
      <c r="H228" s="464" t="s">
        <v>949</v>
      </c>
      <c r="I228" s="464" t="s">
        <v>1257</v>
      </c>
      <c r="J228" s="464" t="s">
        <v>50</v>
      </c>
      <c r="K228" s="464" t="s">
        <v>50</v>
      </c>
      <c r="M228" s="464" t="s">
        <v>50</v>
      </c>
      <c r="O228" s="464" t="s">
        <v>50</v>
      </c>
      <c r="P228" s="464" t="s">
        <v>50</v>
      </c>
      <c r="Q228" s="464" t="s">
        <v>50</v>
      </c>
      <c r="R228" s="464" t="s">
        <v>50</v>
      </c>
      <c r="S228" s="464" t="s">
        <v>50</v>
      </c>
      <c r="T228" s="464" t="s">
        <v>50</v>
      </c>
    </row>
    <row r="229" spans="1:20" ht="20.100000000000001" customHeight="1">
      <c r="A229" s="308" t="s">
        <v>1258</v>
      </c>
      <c r="B229" s="309"/>
      <c r="C229" s="309"/>
      <c r="D229" s="309"/>
      <c r="E229" s="309"/>
      <c r="F229" s="308" t="s">
        <v>50</v>
      </c>
      <c r="G229" s="464" t="s">
        <v>2213</v>
      </c>
      <c r="H229" s="464" t="s">
        <v>949</v>
      </c>
      <c r="I229" s="464" t="s">
        <v>1259</v>
      </c>
      <c r="J229" s="464" t="s">
        <v>50</v>
      </c>
      <c r="K229" s="464" t="s">
        <v>50</v>
      </c>
      <c r="M229" s="464" t="s">
        <v>50</v>
      </c>
      <c r="O229" s="464" t="s">
        <v>50</v>
      </c>
      <c r="P229" s="464" t="s">
        <v>50</v>
      </c>
      <c r="Q229" s="464" t="s">
        <v>50</v>
      </c>
      <c r="R229" s="464" t="s">
        <v>50</v>
      </c>
      <c r="S229" s="464" t="s">
        <v>50</v>
      </c>
      <c r="T229" s="464" t="s">
        <v>50</v>
      </c>
    </row>
    <row r="230" spans="1:20" ht="20.100000000000001" customHeight="1">
      <c r="A230" s="308" t="s">
        <v>1260</v>
      </c>
      <c r="B230" s="309"/>
      <c r="C230" s="309"/>
      <c r="D230" s="309"/>
      <c r="E230" s="309"/>
      <c r="F230" s="308" t="s">
        <v>50</v>
      </c>
      <c r="G230" s="464" t="s">
        <v>2213</v>
      </c>
      <c r="H230" s="464" t="s">
        <v>949</v>
      </c>
      <c r="I230" s="464" t="s">
        <v>1261</v>
      </c>
      <c r="J230" s="464" t="s">
        <v>50</v>
      </c>
      <c r="K230" s="464" t="s">
        <v>50</v>
      </c>
      <c r="M230" s="464" t="s">
        <v>50</v>
      </c>
      <c r="O230" s="464" t="s">
        <v>50</v>
      </c>
      <c r="P230" s="464" t="s">
        <v>50</v>
      </c>
      <c r="Q230" s="464" t="s">
        <v>50</v>
      </c>
      <c r="R230" s="464" t="s">
        <v>50</v>
      </c>
      <c r="S230" s="464" t="s">
        <v>50</v>
      </c>
      <c r="T230" s="464" t="s">
        <v>50</v>
      </c>
    </row>
    <row r="231" spans="1:20" ht="20.100000000000001" customHeight="1">
      <c r="A231" s="308" t="s">
        <v>1262</v>
      </c>
      <c r="B231" s="309"/>
      <c r="C231" s="309"/>
      <c r="D231" s="309"/>
      <c r="E231" s="309"/>
      <c r="F231" s="308" t="s">
        <v>50</v>
      </c>
      <c r="G231" s="464" t="s">
        <v>2213</v>
      </c>
      <c r="H231" s="464" t="s">
        <v>949</v>
      </c>
      <c r="I231" s="464" t="s">
        <v>1263</v>
      </c>
      <c r="J231" s="464" t="s">
        <v>50</v>
      </c>
      <c r="K231" s="464" t="s">
        <v>50</v>
      </c>
      <c r="M231" s="464" t="s">
        <v>50</v>
      </c>
      <c r="O231" s="464" t="s">
        <v>50</v>
      </c>
      <c r="P231" s="464" t="s">
        <v>50</v>
      </c>
      <c r="Q231" s="464" t="s">
        <v>50</v>
      </c>
      <c r="R231" s="464" t="s">
        <v>50</v>
      </c>
      <c r="S231" s="464" t="s">
        <v>50</v>
      </c>
      <c r="T231" s="464" t="s">
        <v>50</v>
      </c>
    </row>
    <row r="232" spans="1:20" ht="20.100000000000001" customHeight="1">
      <c r="A232" s="308" t="s">
        <v>960</v>
      </c>
      <c r="B232" s="309"/>
      <c r="C232" s="309"/>
      <c r="D232" s="309"/>
      <c r="E232" s="309"/>
      <c r="F232" s="308" t="s">
        <v>50</v>
      </c>
      <c r="G232" s="464" t="s">
        <v>2213</v>
      </c>
      <c r="H232" s="464" t="s">
        <v>949</v>
      </c>
      <c r="I232" s="464" t="s">
        <v>961</v>
      </c>
      <c r="J232" s="464" t="s">
        <v>50</v>
      </c>
      <c r="K232" s="464" t="s">
        <v>50</v>
      </c>
      <c r="M232" s="464" t="s">
        <v>50</v>
      </c>
      <c r="O232" s="464" t="s">
        <v>50</v>
      </c>
      <c r="P232" s="464" t="s">
        <v>50</v>
      </c>
      <c r="Q232" s="464" t="s">
        <v>50</v>
      </c>
      <c r="R232" s="464" t="s">
        <v>50</v>
      </c>
      <c r="S232" s="464" t="s">
        <v>50</v>
      </c>
      <c r="T232" s="464" t="s">
        <v>50</v>
      </c>
    </row>
    <row r="233" spans="1:20" ht="20.100000000000001" customHeight="1">
      <c r="A233" s="308" t="s">
        <v>948</v>
      </c>
      <c r="B233" s="309"/>
      <c r="C233" s="309"/>
      <c r="D233" s="309"/>
      <c r="E233" s="309"/>
      <c r="F233" s="308" t="s">
        <v>50</v>
      </c>
      <c r="G233" s="464" t="s">
        <v>2213</v>
      </c>
      <c r="H233" s="464" t="s">
        <v>949</v>
      </c>
      <c r="I233" s="464" t="s">
        <v>50</v>
      </c>
      <c r="J233" s="464" t="s">
        <v>50</v>
      </c>
      <c r="K233" s="464" t="s">
        <v>50</v>
      </c>
      <c r="M233" s="464" t="s">
        <v>50</v>
      </c>
      <c r="O233" s="464" t="s">
        <v>50</v>
      </c>
      <c r="P233" s="464" t="s">
        <v>50</v>
      </c>
      <c r="Q233" s="464" t="s">
        <v>50</v>
      </c>
      <c r="R233" s="464" t="s">
        <v>50</v>
      </c>
      <c r="S233" s="464" t="s">
        <v>50</v>
      </c>
      <c r="T233" s="464" t="s">
        <v>50</v>
      </c>
    </row>
    <row r="234" spans="1:20" ht="20.100000000000001" customHeight="1">
      <c r="A234" s="308" t="s">
        <v>1264</v>
      </c>
      <c r="B234" s="309"/>
      <c r="C234" s="309"/>
      <c r="D234" s="309"/>
      <c r="E234" s="309"/>
      <c r="F234" s="308" t="s">
        <v>50</v>
      </c>
      <c r="G234" s="464" t="s">
        <v>2213</v>
      </c>
      <c r="H234" s="464" t="s">
        <v>949</v>
      </c>
      <c r="I234" s="464" t="s">
        <v>1265</v>
      </c>
      <c r="J234" s="464" t="s">
        <v>50</v>
      </c>
      <c r="K234" s="464" t="s">
        <v>50</v>
      </c>
      <c r="M234" s="464" t="s">
        <v>50</v>
      </c>
      <c r="O234" s="464" t="s">
        <v>50</v>
      </c>
      <c r="P234" s="464" t="s">
        <v>50</v>
      </c>
      <c r="Q234" s="464" t="s">
        <v>50</v>
      </c>
      <c r="R234" s="464" t="s">
        <v>50</v>
      </c>
      <c r="S234" s="464" t="s">
        <v>50</v>
      </c>
      <c r="T234" s="464" t="s">
        <v>50</v>
      </c>
    </row>
    <row r="235" spans="1:20" ht="20.100000000000001" customHeight="1">
      <c r="A235" s="308" t="s">
        <v>1266</v>
      </c>
      <c r="B235" s="309"/>
      <c r="C235" s="309"/>
      <c r="D235" s="309"/>
      <c r="E235" s="309"/>
      <c r="F235" s="308" t="s">
        <v>50</v>
      </c>
      <c r="G235" s="464" t="s">
        <v>2213</v>
      </c>
      <c r="H235" s="464" t="s">
        <v>949</v>
      </c>
      <c r="I235" s="464" t="s">
        <v>1267</v>
      </c>
      <c r="J235" s="464" t="s">
        <v>50</v>
      </c>
      <c r="K235" s="464" t="s">
        <v>50</v>
      </c>
      <c r="M235" s="464" t="s">
        <v>50</v>
      </c>
      <c r="O235" s="464" t="s">
        <v>50</v>
      </c>
      <c r="P235" s="464" t="s">
        <v>50</v>
      </c>
      <c r="Q235" s="464" t="s">
        <v>50</v>
      </c>
      <c r="R235" s="464" t="s">
        <v>50</v>
      </c>
      <c r="S235" s="464" t="s">
        <v>50</v>
      </c>
      <c r="T235" s="464" t="s">
        <v>50</v>
      </c>
    </row>
    <row r="236" spans="1:20" ht="20.100000000000001" customHeight="1">
      <c r="A236" s="308" t="s">
        <v>960</v>
      </c>
      <c r="B236" s="309"/>
      <c r="C236" s="309"/>
      <c r="D236" s="309"/>
      <c r="E236" s="309"/>
      <c r="F236" s="308" t="s">
        <v>50</v>
      </c>
      <c r="G236" s="464" t="s">
        <v>2213</v>
      </c>
      <c r="H236" s="464" t="s">
        <v>949</v>
      </c>
      <c r="I236" s="464" t="s">
        <v>961</v>
      </c>
      <c r="J236" s="464" t="s">
        <v>50</v>
      </c>
      <c r="K236" s="464" t="s">
        <v>50</v>
      </c>
      <c r="M236" s="464" t="s">
        <v>50</v>
      </c>
      <c r="O236" s="464" t="s">
        <v>50</v>
      </c>
      <c r="P236" s="464" t="s">
        <v>50</v>
      </c>
      <c r="Q236" s="464" t="s">
        <v>50</v>
      </c>
      <c r="R236" s="464" t="s">
        <v>50</v>
      </c>
      <c r="S236" s="464" t="s">
        <v>50</v>
      </c>
      <c r="T236" s="464" t="s">
        <v>50</v>
      </c>
    </row>
    <row r="237" spans="1:20" ht="20.100000000000001" customHeight="1">
      <c r="A237" s="308" t="s">
        <v>948</v>
      </c>
      <c r="B237" s="309"/>
      <c r="C237" s="309"/>
      <c r="D237" s="309"/>
      <c r="E237" s="309"/>
      <c r="F237" s="308" t="s">
        <v>50</v>
      </c>
      <c r="G237" s="464" t="s">
        <v>2213</v>
      </c>
      <c r="H237" s="464" t="s">
        <v>949</v>
      </c>
      <c r="I237" s="464" t="s">
        <v>50</v>
      </c>
      <c r="J237" s="464" t="s">
        <v>50</v>
      </c>
      <c r="K237" s="464" t="s">
        <v>50</v>
      </c>
      <c r="M237" s="464" t="s">
        <v>50</v>
      </c>
      <c r="O237" s="464" t="s">
        <v>50</v>
      </c>
      <c r="P237" s="464" t="s">
        <v>50</v>
      </c>
      <c r="Q237" s="464" t="s">
        <v>50</v>
      </c>
      <c r="R237" s="464" t="s">
        <v>50</v>
      </c>
      <c r="S237" s="464" t="s">
        <v>50</v>
      </c>
      <c r="T237" s="464" t="s">
        <v>50</v>
      </c>
    </row>
    <row r="238" spans="1:20" ht="20.100000000000001" customHeight="1">
      <c r="A238" s="308" t="s">
        <v>1268</v>
      </c>
      <c r="B238" s="309"/>
      <c r="C238" s="309"/>
      <c r="D238" s="309"/>
      <c r="E238" s="309"/>
      <c r="F238" s="308" t="s">
        <v>50</v>
      </c>
      <c r="G238" s="464" t="s">
        <v>2213</v>
      </c>
      <c r="H238" s="464" t="s">
        <v>949</v>
      </c>
      <c r="I238" s="464" t="s">
        <v>1269</v>
      </c>
      <c r="J238" s="464" t="s">
        <v>50</v>
      </c>
      <c r="K238" s="464" t="s">
        <v>50</v>
      </c>
      <c r="M238" s="464" t="s">
        <v>50</v>
      </c>
      <c r="O238" s="464" t="s">
        <v>50</v>
      </c>
      <c r="P238" s="464" t="s">
        <v>50</v>
      </c>
      <c r="Q238" s="464" t="s">
        <v>50</v>
      </c>
      <c r="R238" s="464" t="s">
        <v>50</v>
      </c>
      <c r="S238" s="464" t="s">
        <v>50</v>
      </c>
      <c r="T238" s="464" t="s">
        <v>50</v>
      </c>
    </row>
    <row r="239" spans="1:20" ht="20.100000000000001" customHeight="1">
      <c r="A239" s="308" t="s">
        <v>1270</v>
      </c>
      <c r="B239" s="309"/>
      <c r="C239" s="309"/>
      <c r="D239" s="309"/>
      <c r="E239" s="309"/>
      <c r="F239" s="308" t="s">
        <v>50</v>
      </c>
      <c r="G239" s="464" t="s">
        <v>2213</v>
      </c>
      <c r="H239" s="464" t="s">
        <v>949</v>
      </c>
      <c r="I239" s="464" t="s">
        <v>1271</v>
      </c>
      <c r="J239" s="464" t="s">
        <v>50</v>
      </c>
      <c r="K239" s="464" t="s">
        <v>50</v>
      </c>
      <c r="M239" s="464" t="s">
        <v>50</v>
      </c>
      <c r="O239" s="464" t="s">
        <v>50</v>
      </c>
      <c r="P239" s="464" t="s">
        <v>50</v>
      </c>
      <c r="Q239" s="464" t="s">
        <v>50</v>
      </c>
      <c r="R239" s="464" t="s">
        <v>50</v>
      </c>
      <c r="S239" s="464" t="s">
        <v>50</v>
      </c>
      <c r="T239" s="464" t="s">
        <v>50</v>
      </c>
    </row>
    <row r="240" spans="1:20" ht="20.100000000000001" customHeight="1">
      <c r="A240" s="308" t="s">
        <v>1272</v>
      </c>
      <c r="B240" s="309"/>
      <c r="C240" s="309"/>
      <c r="D240" s="309"/>
      <c r="E240" s="309"/>
      <c r="F240" s="308" t="s">
        <v>50</v>
      </c>
      <c r="G240" s="464" t="s">
        <v>2213</v>
      </c>
      <c r="H240" s="464" t="s">
        <v>949</v>
      </c>
      <c r="I240" s="464" t="s">
        <v>1273</v>
      </c>
      <c r="J240" s="464" t="s">
        <v>50</v>
      </c>
      <c r="K240" s="464" t="s">
        <v>50</v>
      </c>
      <c r="M240" s="464" t="s">
        <v>50</v>
      </c>
      <c r="O240" s="464" t="s">
        <v>50</v>
      </c>
      <c r="P240" s="464" t="s">
        <v>50</v>
      </c>
      <c r="Q240" s="464" t="s">
        <v>50</v>
      </c>
      <c r="R240" s="464" t="s">
        <v>50</v>
      </c>
      <c r="S240" s="464" t="s">
        <v>50</v>
      </c>
      <c r="T240" s="464" t="s">
        <v>50</v>
      </c>
    </row>
    <row r="241" spans="1:20" ht="20.100000000000001" customHeight="1">
      <c r="A241" s="308" t="s">
        <v>960</v>
      </c>
      <c r="B241" s="309"/>
      <c r="C241" s="309"/>
      <c r="D241" s="309"/>
      <c r="E241" s="309"/>
      <c r="F241" s="308" t="s">
        <v>50</v>
      </c>
      <c r="G241" s="464" t="s">
        <v>2213</v>
      </c>
      <c r="H241" s="464" t="s">
        <v>949</v>
      </c>
      <c r="I241" s="464" t="s">
        <v>961</v>
      </c>
      <c r="J241" s="464" t="s">
        <v>50</v>
      </c>
      <c r="K241" s="464" t="s">
        <v>50</v>
      </c>
      <c r="M241" s="464" t="s">
        <v>50</v>
      </c>
      <c r="O241" s="464" t="s">
        <v>50</v>
      </c>
      <c r="P241" s="464" t="s">
        <v>50</v>
      </c>
      <c r="Q241" s="464" t="s">
        <v>50</v>
      </c>
      <c r="R241" s="464" t="s">
        <v>50</v>
      </c>
      <c r="S241" s="464" t="s">
        <v>50</v>
      </c>
      <c r="T241" s="464" t="s">
        <v>50</v>
      </c>
    </row>
    <row r="242" spans="1:20" ht="20.100000000000001" customHeight="1">
      <c r="A242" s="308" t="s">
        <v>948</v>
      </c>
      <c r="B242" s="309"/>
      <c r="C242" s="309"/>
      <c r="D242" s="309"/>
      <c r="E242" s="309"/>
      <c r="F242" s="308" t="s">
        <v>50</v>
      </c>
      <c r="G242" s="464" t="s">
        <v>2213</v>
      </c>
      <c r="H242" s="464" t="s">
        <v>949</v>
      </c>
      <c r="I242" s="464" t="s">
        <v>50</v>
      </c>
      <c r="J242" s="464" t="s">
        <v>50</v>
      </c>
      <c r="K242" s="464" t="s">
        <v>50</v>
      </c>
      <c r="M242" s="464" t="s">
        <v>50</v>
      </c>
      <c r="O242" s="464" t="s">
        <v>50</v>
      </c>
      <c r="P242" s="464" t="s">
        <v>50</v>
      </c>
      <c r="Q242" s="464" t="s">
        <v>50</v>
      </c>
      <c r="R242" s="464" t="s">
        <v>50</v>
      </c>
      <c r="S242" s="464" t="s">
        <v>50</v>
      </c>
      <c r="T242" s="464" t="s">
        <v>50</v>
      </c>
    </row>
    <row r="243" spans="1:20" ht="20.100000000000001" customHeight="1">
      <c r="A243" s="308" t="s">
        <v>1274</v>
      </c>
      <c r="B243" s="309"/>
      <c r="C243" s="309"/>
      <c r="D243" s="309"/>
      <c r="E243" s="309"/>
      <c r="F243" s="308" t="s">
        <v>50</v>
      </c>
      <c r="G243" s="464" t="s">
        <v>2213</v>
      </c>
      <c r="H243" s="464" t="s">
        <v>949</v>
      </c>
      <c r="I243" s="464" t="s">
        <v>1275</v>
      </c>
      <c r="J243" s="464" t="s">
        <v>50</v>
      </c>
      <c r="K243" s="464" t="s">
        <v>50</v>
      </c>
      <c r="M243" s="464" t="s">
        <v>50</v>
      </c>
      <c r="O243" s="464" t="s">
        <v>50</v>
      </c>
      <c r="P243" s="464" t="s">
        <v>50</v>
      </c>
      <c r="Q243" s="464" t="s">
        <v>50</v>
      </c>
      <c r="R243" s="464" t="s">
        <v>50</v>
      </c>
      <c r="S243" s="464" t="s">
        <v>50</v>
      </c>
      <c r="T243" s="464" t="s">
        <v>50</v>
      </c>
    </row>
    <row r="244" spans="1:20" ht="20.100000000000001" customHeight="1">
      <c r="A244" s="308" t="s">
        <v>948</v>
      </c>
      <c r="B244" s="309"/>
      <c r="C244" s="309"/>
      <c r="D244" s="309"/>
      <c r="E244" s="309"/>
      <c r="F244" s="308" t="s">
        <v>50</v>
      </c>
      <c r="G244" s="464" t="s">
        <v>2213</v>
      </c>
      <c r="H244" s="464" t="s">
        <v>949</v>
      </c>
      <c r="I244" s="464" t="s">
        <v>50</v>
      </c>
      <c r="J244" s="464" t="s">
        <v>50</v>
      </c>
      <c r="K244" s="464" t="s">
        <v>50</v>
      </c>
      <c r="M244" s="464" t="s">
        <v>50</v>
      </c>
      <c r="O244" s="464" t="s">
        <v>50</v>
      </c>
      <c r="P244" s="464" t="s">
        <v>50</v>
      </c>
      <c r="Q244" s="464" t="s">
        <v>50</v>
      </c>
      <c r="R244" s="464" t="s">
        <v>50</v>
      </c>
      <c r="S244" s="464" t="s">
        <v>50</v>
      </c>
      <c r="T244" s="464" t="s">
        <v>50</v>
      </c>
    </row>
    <row r="245" spans="1:20" ht="20.100000000000001" customHeight="1">
      <c r="A245" s="308" t="s">
        <v>1276</v>
      </c>
      <c r="B245" s="309"/>
      <c r="C245" s="309"/>
      <c r="D245" s="309"/>
      <c r="E245" s="309"/>
      <c r="F245" s="308" t="s">
        <v>50</v>
      </c>
      <c r="G245" s="464" t="s">
        <v>2213</v>
      </c>
      <c r="H245" s="464" t="s">
        <v>949</v>
      </c>
      <c r="I245" s="464" t="s">
        <v>1277</v>
      </c>
      <c r="J245" s="464" t="s">
        <v>50</v>
      </c>
      <c r="K245" s="464" t="s">
        <v>50</v>
      </c>
      <c r="M245" s="464" t="s">
        <v>50</v>
      </c>
      <c r="O245" s="464" t="s">
        <v>50</v>
      </c>
      <c r="P245" s="464" t="s">
        <v>50</v>
      </c>
      <c r="Q245" s="464" t="s">
        <v>50</v>
      </c>
      <c r="R245" s="464" t="s">
        <v>50</v>
      </c>
      <c r="S245" s="464" t="s">
        <v>50</v>
      </c>
      <c r="T245" s="464" t="s">
        <v>50</v>
      </c>
    </row>
    <row r="246" spans="1:20" ht="20.100000000000001" customHeight="1">
      <c r="A246" s="308" t="s">
        <v>1612</v>
      </c>
      <c r="B246" s="309"/>
      <c r="C246" s="309"/>
      <c r="D246" s="309"/>
      <c r="E246" s="309"/>
      <c r="F246" s="308" t="s">
        <v>50</v>
      </c>
      <c r="G246" s="464" t="s">
        <v>2213</v>
      </c>
      <c r="H246" s="464" t="s">
        <v>949</v>
      </c>
      <c r="I246" s="464" t="s">
        <v>1278</v>
      </c>
      <c r="J246" s="464" t="s">
        <v>50</v>
      </c>
      <c r="K246" s="464" t="s">
        <v>50</v>
      </c>
      <c r="M246" s="464" t="s">
        <v>50</v>
      </c>
      <c r="O246" s="464" t="s">
        <v>50</v>
      </c>
      <c r="P246" s="464" t="s">
        <v>50</v>
      </c>
      <c r="Q246" s="464" t="s">
        <v>50</v>
      </c>
      <c r="R246" s="464" t="s">
        <v>50</v>
      </c>
      <c r="S246" s="464" t="s">
        <v>50</v>
      </c>
      <c r="T246" s="464" t="s">
        <v>50</v>
      </c>
    </row>
    <row r="247" spans="1:20" ht="20.100000000000001" customHeight="1">
      <c r="A247" s="308" t="s">
        <v>1279</v>
      </c>
      <c r="B247" s="309"/>
      <c r="C247" s="309"/>
      <c r="D247" s="309"/>
      <c r="E247" s="309"/>
      <c r="F247" s="308" t="s">
        <v>50</v>
      </c>
      <c r="G247" s="464" t="s">
        <v>2213</v>
      </c>
      <c r="H247" s="464" t="s">
        <v>949</v>
      </c>
      <c r="I247" s="464" t="s">
        <v>1280</v>
      </c>
      <c r="J247" s="464" t="s">
        <v>50</v>
      </c>
      <c r="K247" s="464" t="s">
        <v>50</v>
      </c>
      <c r="M247" s="464" t="s">
        <v>50</v>
      </c>
      <c r="O247" s="464" t="s">
        <v>50</v>
      </c>
      <c r="P247" s="464" t="s">
        <v>50</v>
      </c>
      <c r="Q247" s="464" t="s">
        <v>50</v>
      </c>
      <c r="R247" s="464" t="s">
        <v>50</v>
      </c>
      <c r="S247" s="464" t="s">
        <v>50</v>
      </c>
      <c r="T247" s="464" t="s">
        <v>50</v>
      </c>
    </row>
    <row r="248" spans="1:20" ht="20.100000000000001" customHeight="1">
      <c r="A248" s="308" t="s">
        <v>1281</v>
      </c>
      <c r="B248" s="309"/>
      <c r="C248" s="309"/>
      <c r="D248" s="309"/>
      <c r="E248" s="309"/>
      <c r="F248" s="308" t="s">
        <v>50</v>
      </c>
      <c r="G248" s="464" t="s">
        <v>2213</v>
      </c>
      <c r="H248" s="464" t="s">
        <v>949</v>
      </c>
      <c r="I248" s="464" t="s">
        <v>1282</v>
      </c>
      <c r="J248" s="464" t="s">
        <v>50</v>
      </c>
      <c r="K248" s="464" t="s">
        <v>50</v>
      </c>
      <c r="M248" s="464" t="s">
        <v>50</v>
      </c>
      <c r="O248" s="464" t="s">
        <v>50</v>
      </c>
      <c r="P248" s="464" t="s">
        <v>50</v>
      </c>
      <c r="Q248" s="464" t="s">
        <v>50</v>
      </c>
      <c r="R248" s="464" t="s">
        <v>50</v>
      </c>
      <c r="S248" s="464" t="s">
        <v>50</v>
      </c>
      <c r="T248" s="464" t="s">
        <v>50</v>
      </c>
    </row>
    <row r="249" spans="1:20" ht="20.100000000000001" customHeight="1">
      <c r="A249" s="308" t="s">
        <v>960</v>
      </c>
      <c r="B249" s="309"/>
      <c r="C249" s="309"/>
      <c r="D249" s="309"/>
      <c r="E249" s="309"/>
      <c r="F249" s="308" t="s">
        <v>50</v>
      </c>
      <c r="G249" s="464" t="s">
        <v>2213</v>
      </c>
      <c r="H249" s="464" t="s">
        <v>949</v>
      </c>
      <c r="I249" s="464" t="s">
        <v>961</v>
      </c>
      <c r="J249" s="464" t="s">
        <v>50</v>
      </c>
      <c r="K249" s="464" t="s">
        <v>50</v>
      </c>
      <c r="M249" s="464" t="s">
        <v>50</v>
      </c>
      <c r="O249" s="464" t="s">
        <v>50</v>
      </c>
      <c r="P249" s="464" t="s">
        <v>50</v>
      </c>
      <c r="Q249" s="464" t="s">
        <v>50</v>
      </c>
      <c r="R249" s="464" t="s">
        <v>50</v>
      </c>
      <c r="S249" s="464" t="s">
        <v>50</v>
      </c>
      <c r="T249" s="464" t="s">
        <v>50</v>
      </c>
    </row>
    <row r="250" spans="1:20" ht="20.100000000000001" customHeight="1">
      <c r="A250" s="308" t="s">
        <v>948</v>
      </c>
      <c r="B250" s="309"/>
      <c r="C250" s="309"/>
      <c r="D250" s="309"/>
      <c r="E250" s="309"/>
      <c r="F250" s="308" t="s">
        <v>50</v>
      </c>
      <c r="G250" s="464" t="s">
        <v>2213</v>
      </c>
      <c r="H250" s="464" t="s">
        <v>949</v>
      </c>
      <c r="I250" s="464" t="s">
        <v>50</v>
      </c>
      <c r="J250" s="464" t="s">
        <v>50</v>
      </c>
      <c r="K250" s="464" t="s">
        <v>50</v>
      </c>
      <c r="M250" s="464" t="s">
        <v>50</v>
      </c>
      <c r="O250" s="464" t="s">
        <v>50</v>
      </c>
      <c r="P250" s="464" t="s">
        <v>50</v>
      </c>
      <c r="Q250" s="464" t="s">
        <v>50</v>
      </c>
      <c r="R250" s="464" t="s">
        <v>50</v>
      </c>
      <c r="S250" s="464" t="s">
        <v>50</v>
      </c>
      <c r="T250" s="464" t="s">
        <v>50</v>
      </c>
    </row>
    <row r="251" spans="1:20" ht="20.100000000000001" customHeight="1">
      <c r="A251" s="308" t="s">
        <v>1283</v>
      </c>
      <c r="B251" s="309"/>
      <c r="C251" s="309"/>
      <c r="D251" s="309"/>
      <c r="E251" s="309"/>
      <c r="F251" s="308" t="s">
        <v>50</v>
      </c>
      <c r="G251" s="464" t="s">
        <v>2213</v>
      </c>
      <c r="H251" s="464" t="s">
        <v>949</v>
      </c>
      <c r="I251" s="464" t="s">
        <v>1284</v>
      </c>
      <c r="J251" s="464" t="s">
        <v>50</v>
      </c>
      <c r="K251" s="464" t="s">
        <v>50</v>
      </c>
      <c r="M251" s="464" t="s">
        <v>50</v>
      </c>
      <c r="O251" s="464" t="s">
        <v>50</v>
      </c>
      <c r="P251" s="464" t="s">
        <v>50</v>
      </c>
      <c r="Q251" s="464" t="s">
        <v>50</v>
      </c>
      <c r="R251" s="464" t="s">
        <v>50</v>
      </c>
      <c r="S251" s="464" t="s">
        <v>50</v>
      </c>
      <c r="T251" s="464" t="s">
        <v>50</v>
      </c>
    </row>
    <row r="252" spans="1:20" ht="20.100000000000001" customHeight="1">
      <c r="A252" s="308" t="s">
        <v>1285</v>
      </c>
      <c r="B252" s="309"/>
      <c r="C252" s="309"/>
      <c r="D252" s="309"/>
      <c r="E252" s="309"/>
      <c r="F252" s="308" t="s">
        <v>50</v>
      </c>
      <c r="G252" s="464" t="s">
        <v>2213</v>
      </c>
      <c r="H252" s="464" t="s">
        <v>949</v>
      </c>
      <c r="I252" s="464" t="s">
        <v>1286</v>
      </c>
      <c r="J252" s="464" t="s">
        <v>50</v>
      </c>
      <c r="K252" s="464" t="s">
        <v>50</v>
      </c>
      <c r="M252" s="464" t="s">
        <v>50</v>
      </c>
      <c r="O252" s="464" t="s">
        <v>50</v>
      </c>
      <c r="P252" s="464" t="s">
        <v>50</v>
      </c>
      <c r="Q252" s="464" t="s">
        <v>50</v>
      </c>
      <c r="R252" s="464" t="s">
        <v>50</v>
      </c>
      <c r="S252" s="464" t="s">
        <v>50</v>
      </c>
      <c r="T252" s="464" t="s">
        <v>50</v>
      </c>
    </row>
    <row r="253" spans="1:20" ht="20.100000000000001" customHeight="1">
      <c r="A253" s="308" t="s">
        <v>1287</v>
      </c>
      <c r="B253" s="309"/>
      <c r="C253" s="309"/>
      <c r="D253" s="309"/>
      <c r="E253" s="309"/>
      <c r="F253" s="308" t="s">
        <v>50</v>
      </c>
      <c r="G253" s="464" t="s">
        <v>2213</v>
      </c>
      <c r="H253" s="464" t="s">
        <v>949</v>
      </c>
      <c r="I253" s="464" t="s">
        <v>1288</v>
      </c>
      <c r="J253" s="464" t="s">
        <v>50</v>
      </c>
      <c r="K253" s="464" t="s">
        <v>50</v>
      </c>
      <c r="M253" s="464" t="s">
        <v>50</v>
      </c>
      <c r="O253" s="464" t="s">
        <v>50</v>
      </c>
      <c r="P253" s="464" t="s">
        <v>50</v>
      </c>
      <c r="Q253" s="464" t="s">
        <v>50</v>
      </c>
      <c r="R253" s="464" t="s">
        <v>50</v>
      </c>
      <c r="S253" s="464" t="s">
        <v>50</v>
      </c>
      <c r="T253" s="464" t="s">
        <v>50</v>
      </c>
    </row>
    <row r="254" spans="1:20" ht="20.100000000000001" customHeight="1">
      <c r="A254" s="308" t="s">
        <v>1289</v>
      </c>
      <c r="B254" s="309"/>
      <c r="C254" s="309"/>
      <c r="D254" s="309"/>
      <c r="E254" s="309"/>
      <c r="F254" s="308" t="s">
        <v>50</v>
      </c>
      <c r="G254" s="464" t="s">
        <v>2213</v>
      </c>
      <c r="H254" s="464" t="s">
        <v>949</v>
      </c>
      <c r="I254" s="464" t="s">
        <v>1290</v>
      </c>
      <c r="J254" s="464" t="s">
        <v>50</v>
      </c>
      <c r="K254" s="464" t="s">
        <v>50</v>
      </c>
      <c r="M254" s="464" t="s">
        <v>50</v>
      </c>
      <c r="O254" s="464" t="s">
        <v>50</v>
      </c>
      <c r="P254" s="464" t="s">
        <v>50</v>
      </c>
      <c r="Q254" s="464" t="s">
        <v>50</v>
      </c>
      <c r="R254" s="464" t="s">
        <v>50</v>
      </c>
      <c r="S254" s="464" t="s">
        <v>50</v>
      </c>
      <c r="T254" s="464" t="s">
        <v>50</v>
      </c>
    </row>
    <row r="255" spans="1:20" ht="20.100000000000001" customHeight="1">
      <c r="A255" s="308" t="s">
        <v>960</v>
      </c>
      <c r="B255" s="309"/>
      <c r="C255" s="309"/>
      <c r="D255" s="309"/>
      <c r="E255" s="309"/>
      <c r="F255" s="308" t="s">
        <v>50</v>
      </c>
      <c r="G255" s="464" t="s">
        <v>2213</v>
      </c>
      <c r="H255" s="464" t="s">
        <v>949</v>
      </c>
      <c r="I255" s="464" t="s">
        <v>961</v>
      </c>
      <c r="J255" s="464" t="s">
        <v>50</v>
      </c>
      <c r="K255" s="464" t="s">
        <v>50</v>
      </c>
      <c r="M255" s="464" t="s">
        <v>50</v>
      </c>
      <c r="O255" s="464" t="s">
        <v>50</v>
      </c>
      <c r="P255" s="464" t="s">
        <v>50</v>
      </c>
      <c r="Q255" s="464" t="s">
        <v>50</v>
      </c>
      <c r="R255" s="464" t="s">
        <v>50</v>
      </c>
      <c r="S255" s="464" t="s">
        <v>50</v>
      </c>
      <c r="T255" s="464" t="s">
        <v>50</v>
      </c>
    </row>
    <row r="256" spans="1:20" ht="20.100000000000001" customHeight="1">
      <c r="A256" s="308" t="s">
        <v>948</v>
      </c>
      <c r="B256" s="309"/>
      <c r="C256" s="309"/>
      <c r="D256" s="309"/>
      <c r="E256" s="309"/>
      <c r="F256" s="308" t="s">
        <v>50</v>
      </c>
      <c r="G256" s="464" t="s">
        <v>2213</v>
      </c>
      <c r="H256" s="464" t="s">
        <v>949</v>
      </c>
      <c r="I256" s="464" t="s">
        <v>50</v>
      </c>
      <c r="J256" s="464" t="s">
        <v>50</v>
      </c>
      <c r="K256" s="464" t="s">
        <v>50</v>
      </c>
      <c r="M256" s="464" t="s">
        <v>50</v>
      </c>
      <c r="O256" s="464" t="s">
        <v>50</v>
      </c>
      <c r="P256" s="464" t="s">
        <v>50</v>
      </c>
      <c r="Q256" s="464" t="s">
        <v>50</v>
      </c>
      <c r="R256" s="464" t="s">
        <v>50</v>
      </c>
      <c r="S256" s="464" t="s">
        <v>50</v>
      </c>
      <c r="T256" s="464" t="s">
        <v>50</v>
      </c>
    </row>
    <row r="257" spans="1:20" ht="20.100000000000001" customHeight="1">
      <c r="A257" s="308" t="s">
        <v>1291</v>
      </c>
      <c r="B257" s="309"/>
      <c r="C257" s="309"/>
      <c r="D257" s="309"/>
      <c r="E257" s="309"/>
      <c r="F257" s="308" t="s">
        <v>50</v>
      </c>
      <c r="G257" s="464" t="s">
        <v>2213</v>
      </c>
      <c r="H257" s="464" t="s">
        <v>949</v>
      </c>
      <c r="I257" s="464" t="s">
        <v>1292</v>
      </c>
      <c r="J257" s="464" t="s">
        <v>50</v>
      </c>
      <c r="K257" s="464" t="s">
        <v>50</v>
      </c>
      <c r="M257" s="464" t="s">
        <v>50</v>
      </c>
      <c r="O257" s="464" t="s">
        <v>50</v>
      </c>
      <c r="P257" s="464" t="s">
        <v>50</v>
      </c>
      <c r="Q257" s="464" t="s">
        <v>50</v>
      </c>
      <c r="R257" s="464" t="s">
        <v>50</v>
      </c>
      <c r="S257" s="464" t="s">
        <v>50</v>
      </c>
      <c r="T257" s="464" t="s">
        <v>50</v>
      </c>
    </row>
    <row r="258" spans="1:20" ht="20.100000000000001" customHeight="1">
      <c r="A258" s="308" t="s">
        <v>1613</v>
      </c>
      <c r="B258" s="309"/>
      <c r="C258" s="309"/>
      <c r="D258" s="309"/>
      <c r="E258" s="309"/>
      <c r="F258" s="308" t="s">
        <v>50</v>
      </c>
      <c r="G258" s="464" t="s">
        <v>2213</v>
      </c>
      <c r="H258" s="464" t="s">
        <v>949</v>
      </c>
      <c r="I258" s="464" t="s">
        <v>1293</v>
      </c>
      <c r="J258" s="464" t="s">
        <v>50</v>
      </c>
      <c r="K258" s="464" t="s">
        <v>50</v>
      </c>
      <c r="M258" s="464" t="s">
        <v>50</v>
      </c>
      <c r="O258" s="464" t="s">
        <v>50</v>
      </c>
      <c r="P258" s="464" t="s">
        <v>50</v>
      </c>
      <c r="Q258" s="464" t="s">
        <v>50</v>
      </c>
      <c r="R258" s="464" t="s">
        <v>50</v>
      </c>
      <c r="S258" s="464" t="s">
        <v>50</v>
      </c>
      <c r="T258" s="464" t="s">
        <v>50</v>
      </c>
    </row>
    <row r="259" spans="1:20" ht="20.100000000000001" customHeight="1">
      <c r="A259" s="308" t="s">
        <v>1294</v>
      </c>
      <c r="B259" s="309"/>
      <c r="C259" s="309"/>
      <c r="D259" s="309"/>
      <c r="E259" s="309"/>
      <c r="F259" s="308" t="s">
        <v>50</v>
      </c>
      <c r="G259" s="464" t="s">
        <v>2213</v>
      </c>
      <c r="H259" s="464" t="s">
        <v>949</v>
      </c>
      <c r="I259" s="464" t="s">
        <v>1295</v>
      </c>
      <c r="J259" s="464" t="s">
        <v>50</v>
      </c>
      <c r="K259" s="464" t="s">
        <v>50</v>
      </c>
      <c r="M259" s="464" t="s">
        <v>50</v>
      </c>
      <c r="O259" s="464" t="s">
        <v>50</v>
      </c>
      <c r="P259" s="464" t="s">
        <v>50</v>
      </c>
      <c r="Q259" s="464" t="s">
        <v>50</v>
      </c>
      <c r="R259" s="464" t="s">
        <v>50</v>
      </c>
      <c r="S259" s="464" t="s">
        <v>50</v>
      </c>
      <c r="T259" s="464" t="s">
        <v>50</v>
      </c>
    </row>
    <row r="260" spans="1:20" ht="20.100000000000001" customHeight="1">
      <c r="A260" s="308" t="s">
        <v>1296</v>
      </c>
      <c r="B260" s="309"/>
      <c r="C260" s="309"/>
      <c r="D260" s="309"/>
      <c r="E260" s="309"/>
      <c r="F260" s="308" t="s">
        <v>50</v>
      </c>
      <c r="G260" s="464" t="s">
        <v>2213</v>
      </c>
      <c r="H260" s="464" t="s">
        <v>949</v>
      </c>
      <c r="I260" s="464" t="s">
        <v>1297</v>
      </c>
      <c r="J260" s="464" t="s">
        <v>50</v>
      </c>
      <c r="K260" s="464" t="s">
        <v>50</v>
      </c>
      <c r="M260" s="464" t="s">
        <v>50</v>
      </c>
      <c r="O260" s="464" t="s">
        <v>50</v>
      </c>
      <c r="P260" s="464" t="s">
        <v>50</v>
      </c>
      <c r="Q260" s="464" t="s">
        <v>50</v>
      </c>
      <c r="R260" s="464" t="s">
        <v>50</v>
      </c>
      <c r="S260" s="464" t="s">
        <v>50</v>
      </c>
      <c r="T260" s="464" t="s">
        <v>50</v>
      </c>
    </row>
    <row r="261" spans="1:20" ht="20.100000000000001" customHeight="1">
      <c r="A261" s="308" t="s">
        <v>960</v>
      </c>
      <c r="B261" s="309"/>
      <c r="C261" s="309"/>
      <c r="D261" s="309"/>
      <c r="E261" s="309"/>
      <c r="F261" s="308" t="s">
        <v>50</v>
      </c>
      <c r="G261" s="464" t="s">
        <v>2213</v>
      </c>
      <c r="H261" s="464" t="s">
        <v>949</v>
      </c>
      <c r="I261" s="464" t="s">
        <v>961</v>
      </c>
      <c r="J261" s="464" t="s">
        <v>50</v>
      </c>
      <c r="K261" s="464" t="s">
        <v>50</v>
      </c>
      <c r="M261" s="464" t="s">
        <v>50</v>
      </c>
      <c r="O261" s="464" t="s">
        <v>50</v>
      </c>
      <c r="P261" s="464" t="s">
        <v>50</v>
      </c>
      <c r="Q261" s="464" t="s">
        <v>50</v>
      </c>
      <c r="R261" s="464" t="s">
        <v>50</v>
      </c>
      <c r="S261" s="464" t="s">
        <v>50</v>
      </c>
      <c r="T261" s="464" t="s">
        <v>50</v>
      </c>
    </row>
    <row r="262" spans="1:20" ht="20.100000000000001" customHeight="1">
      <c r="A262" s="308" t="s">
        <v>948</v>
      </c>
      <c r="B262" s="309"/>
      <c r="C262" s="309"/>
      <c r="D262" s="309"/>
      <c r="E262" s="309"/>
      <c r="F262" s="308" t="s">
        <v>50</v>
      </c>
      <c r="G262" s="464" t="s">
        <v>2213</v>
      </c>
      <c r="H262" s="464" t="s">
        <v>949</v>
      </c>
      <c r="I262" s="464" t="s">
        <v>50</v>
      </c>
      <c r="J262" s="464" t="s">
        <v>50</v>
      </c>
      <c r="K262" s="464" t="s">
        <v>50</v>
      </c>
      <c r="M262" s="464" t="s">
        <v>50</v>
      </c>
      <c r="O262" s="464" t="s">
        <v>50</v>
      </c>
      <c r="P262" s="464" t="s">
        <v>50</v>
      </c>
      <c r="Q262" s="464" t="s">
        <v>50</v>
      </c>
      <c r="R262" s="464" t="s">
        <v>50</v>
      </c>
      <c r="S262" s="464" t="s">
        <v>50</v>
      </c>
      <c r="T262" s="464" t="s">
        <v>50</v>
      </c>
    </row>
    <row r="263" spans="1:20" ht="20.100000000000001" customHeight="1">
      <c r="A263" s="308" t="s">
        <v>1298</v>
      </c>
      <c r="B263" s="309"/>
      <c r="C263" s="309"/>
      <c r="D263" s="309"/>
      <c r="E263" s="309"/>
      <c r="F263" s="308" t="s">
        <v>50</v>
      </c>
      <c r="G263" s="464" t="s">
        <v>2213</v>
      </c>
      <c r="H263" s="464" t="s">
        <v>949</v>
      </c>
      <c r="I263" s="464" t="s">
        <v>1299</v>
      </c>
      <c r="J263" s="464" t="s">
        <v>50</v>
      </c>
      <c r="K263" s="464" t="s">
        <v>50</v>
      </c>
      <c r="M263" s="464" t="s">
        <v>50</v>
      </c>
      <c r="O263" s="464" t="s">
        <v>50</v>
      </c>
      <c r="P263" s="464" t="s">
        <v>50</v>
      </c>
      <c r="Q263" s="464" t="s">
        <v>50</v>
      </c>
      <c r="R263" s="464" t="s">
        <v>50</v>
      </c>
      <c r="S263" s="464" t="s">
        <v>50</v>
      </c>
      <c r="T263" s="464" t="s">
        <v>50</v>
      </c>
    </row>
    <row r="264" spans="1:20" ht="20.100000000000001" customHeight="1">
      <c r="A264" s="308" t="s">
        <v>1614</v>
      </c>
      <c r="B264" s="309"/>
      <c r="C264" s="309"/>
      <c r="D264" s="309"/>
      <c r="E264" s="309"/>
      <c r="F264" s="308" t="s">
        <v>50</v>
      </c>
      <c r="G264" s="464" t="s">
        <v>2213</v>
      </c>
      <c r="H264" s="464" t="s">
        <v>949</v>
      </c>
      <c r="I264" s="464" t="s">
        <v>1300</v>
      </c>
      <c r="J264" s="464" t="s">
        <v>50</v>
      </c>
      <c r="K264" s="464" t="s">
        <v>50</v>
      </c>
      <c r="M264" s="464" t="s">
        <v>50</v>
      </c>
      <c r="O264" s="464" t="s">
        <v>50</v>
      </c>
      <c r="P264" s="464" t="s">
        <v>50</v>
      </c>
      <c r="Q264" s="464" t="s">
        <v>50</v>
      </c>
      <c r="R264" s="464" t="s">
        <v>50</v>
      </c>
      <c r="S264" s="464" t="s">
        <v>50</v>
      </c>
      <c r="T264" s="464" t="s">
        <v>50</v>
      </c>
    </row>
    <row r="265" spans="1:20" ht="20.100000000000001" customHeight="1">
      <c r="A265" s="308" t="s">
        <v>1294</v>
      </c>
      <c r="B265" s="309"/>
      <c r="C265" s="309"/>
      <c r="D265" s="309"/>
      <c r="E265" s="309"/>
      <c r="F265" s="308" t="s">
        <v>50</v>
      </c>
      <c r="G265" s="464" t="s">
        <v>2213</v>
      </c>
      <c r="H265" s="464" t="s">
        <v>949</v>
      </c>
      <c r="I265" s="464" t="s">
        <v>1301</v>
      </c>
      <c r="J265" s="464" t="s">
        <v>50</v>
      </c>
      <c r="K265" s="464" t="s">
        <v>50</v>
      </c>
      <c r="M265" s="464" t="s">
        <v>50</v>
      </c>
      <c r="O265" s="464" t="s">
        <v>50</v>
      </c>
      <c r="P265" s="464" t="s">
        <v>50</v>
      </c>
      <c r="Q265" s="464" t="s">
        <v>50</v>
      </c>
      <c r="R265" s="464" t="s">
        <v>50</v>
      </c>
      <c r="S265" s="464" t="s">
        <v>50</v>
      </c>
      <c r="T265" s="464" t="s">
        <v>50</v>
      </c>
    </row>
    <row r="266" spans="1:20" ht="20.100000000000001" customHeight="1">
      <c r="A266" s="308" t="s">
        <v>1302</v>
      </c>
      <c r="B266" s="309"/>
      <c r="C266" s="309"/>
      <c r="D266" s="309"/>
      <c r="E266" s="309"/>
      <c r="F266" s="308" t="s">
        <v>50</v>
      </c>
      <c r="G266" s="464" t="s">
        <v>2213</v>
      </c>
      <c r="H266" s="464" t="s">
        <v>949</v>
      </c>
      <c r="I266" s="464" t="s">
        <v>1303</v>
      </c>
      <c r="J266" s="464" t="s">
        <v>50</v>
      </c>
      <c r="K266" s="464" t="s">
        <v>50</v>
      </c>
      <c r="M266" s="464" t="s">
        <v>50</v>
      </c>
      <c r="O266" s="464" t="s">
        <v>50</v>
      </c>
      <c r="P266" s="464" t="s">
        <v>50</v>
      </c>
      <c r="Q266" s="464" t="s">
        <v>50</v>
      </c>
      <c r="R266" s="464" t="s">
        <v>50</v>
      </c>
      <c r="S266" s="464" t="s">
        <v>50</v>
      </c>
      <c r="T266" s="464" t="s">
        <v>50</v>
      </c>
    </row>
    <row r="267" spans="1:20" ht="20.100000000000001" customHeight="1">
      <c r="A267" s="308" t="s">
        <v>960</v>
      </c>
      <c r="B267" s="309"/>
      <c r="C267" s="309"/>
      <c r="D267" s="309"/>
      <c r="E267" s="309"/>
      <c r="F267" s="308" t="s">
        <v>50</v>
      </c>
      <c r="G267" s="464" t="s">
        <v>2213</v>
      </c>
      <c r="H267" s="464" t="s">
        <v>949</v>
      </c>
      <c r="I267" s="464" t="s">
        <v>961</v>
      </c>
      <c r="J267" s="464" t="s">
        <v>50</v>
      </c>
      <c r="K267" s="464" t="s">
        <v>50</v>
      </c>
      <c r="M267" s="464" t="s">
        <v>50</v>
      </c>
      <c r="O267" s="464" t="s">
        <v>50</v>
      </c>
      <c r="P267" s="464" t="s">
        <v>50</v>
      </c>
      <c r="Q267" s="464" t="s">
        <v>50</v>
      </c>
      <c r="R267" s="464" t="s">
        <v>50</v>
      </c>
      <c r="S267" s="464" t="s">
        <v>50</v>
      </c>
      <c r="T267" s="464" t="s">
        <v>50</v>
      </c>
    </row>
    <row r="268" spans="1:20" ht="20.100000000000001" customHeight="1">
      <c r="A268" s="308" t="s">
        <v>948</v>
      </c>
      <c r="B268" s="309"/>
      <c r="C268" s="309"/>
      <c r="D268" s="309"/>
      <c r="E268" s="309"/>
      <c r="F268" s="308" t="s">
        <v>50</v>
      </c>
      <c r="G268" s="464" t="s">
        <v>2213</v>
      </c>
      <c r="H268" s="464" t="s">
        <v>949</v>
      </c>
      <c r="I268" s="464" t="s">
        <v>50</v>
      </c>
      <c r="J268" s="464" t="s">
        <v>50</v>
      </c>
      <c r="K268" s="464" t="s">
        <v>50</v>
      </c>
      <c r="M268" s="464" t="s">
        <v>50</v>
      </c>
      <c r="O268" s="464" t="s">
        <v>50</v>
      </c>
      <c r="P268" s="464" t="s">
        <v>50</v>
      </c>
      <c r="Q268" s="464" t="s">
        <v>50</v>
      </c>
      <c r="R268" s="464" t="s">
        <v>50</v>
      </c>
      <c r="S268" s="464" t="s">
        <v>50</v>
      </c>
      <c r="T268" s="464" t="s">
        <v>50</v>
      </c>
    </row>
    <row r="269" spans="1:20" ht="20.100000000000001" customHeight="1">
      <c r="A269" s="308" t="s">
        <v>1304</v>
      </c>
      <c r="B269" s="309"/>
      <c r="C269" s="309"/>
      <c r="D269" s="309"/>
      <c r="E269" s="309"/>
      <c r="F269" s="308" t="s">
        <v>50</v>
      </c>
      <c r="G269" s="464" t="s">
        <v>2213</v>
      </c>
      <c r="H269" s="464" t="s">
        <v>949</v>
      </c>
      <c r="I269" s="464" t="s">
        <v>1305</v>
      </c>
      <c r="J269" s="464" t="s">
        <v>50</v>
      </c>
      <c r="K269" s="464" t="s">
        <v>50</v>
      </c>
      <c r="M269" s="464" t="s">
        <v>50</v>
      </c>
      <c r="O269" s="464" t="s">
        <v>50</v>
      </c>
      <c r="P269" s="464" t="s">
        <v>50</v>
      </c>
      <c r="Q269" s="464" t="s">
        <v>50</v>
      </c>
      <c r="R269" s="464" t="s">
        <v>50</v>
      </c>
      <c r="S269" s="464" t="s">
        <v>50</v>
      </c>
      <c r="T269" s="464" t="s">
        <v>50</v>
      </c>
    </row>
    <row r="270" spans="1:20" ht="20.100000000000001" customHeight="1">
      <c r="A270" s="308" t="s">
        <v>1615</v>
      </c>
      <c r="B270" s="309"/>
      <c r="C270" s="309"/>
      <c r="D270" s="309"/>
      <c r="E270" s="309"/>
      <c r="F270" s="308" t="s">
        <v>50</v>
      </c>
      <c r="G270" s="464" t="s">
        <v>2213</v>
      </c>
      <c r="H270" s="464" t="s">
        <v>949</v>
      </c>
      <c r="I270" s="464" t="s">
        <v>1306</v>
      </c>
      <c r="J270" s="464" t="s">
        <v>50</v>
      </c>
      <c r="K270" s="464" t="s">
        <v>50</v>
      </c>
      <c r="M270" s="464" t="s">
        <v>50</v>
      </c>
      <c r="O270" s="464" t="s">
        <v>50</v>
      </c>
      <c r="P270" s="464" t="s">
        <v>50</v>
      </c>
      <c r="Q270" s="464" t="s">
        <v>50</v>
      </c>
      <c r="R270" s="464" t="s">
        <v>50</v>
      </c>
      <c r="S270" s="464" t="s">
        <v>50</v>
      </c>
      <c r="T270" s="464" t="s">
        <v>50</v>
      </c>
    </row>
    <row r="271" spans="1:20" ht="20.100000000000001" customHeight="1">
      <c r="A271" s="308" t="s">
        <v>1279</v>
      </c>
      <c r="B271" s="309"/>
      <c r="C271" s="309"/>
      <c r="D271" s="309"/>
      <c r="E271" s="309"/>
      <c r="F271" s="308" t="s">
        <v>50</v>
      </c>
      <c r="G271" s="464" t="s">
        <v>2213</v>
      </c>
      <c r="H271" s="464" t="s">
        <v>949</v>
      </c>
      <c r="I271" s="464" t="s">
        <v>1307</v>
      </c>
      <c r="J271" s="464" t="s">
        <v>50</v>
      </c>
      <c r="K271" s="464" t="s">
        <v>50</v>
      </c>
      <c r="M271" s="464" t="s">
        <v>50</v>
      </c>
      <c r="O271" s="464" t="s">
        <v>50</v>
      </c>
      <c r="P271" s="464" t="s">
        <v>50</v>
      </c>
      <c r="Q271" s="464" t="s">
        <v>50</v>
      </c>
      <c r="R271" s="464" t="s">
        <v>50</v>
      </c>
      <c r="S271" s="464" t="s">
        <v>50</v>
      </c>
      <c r="T271" s="464" t="s">
        <v>50</v>
      </c>
    </row>
    <row r="272" spans="1:20" ht="20.100000000000001" customHeight="1">
      <c r="A272" s="308" t="s">
        <v>1308</v>
      </c>
      <c r="B272" s="309"/>
      <c r="C272" s="309"/>
      <c r="D272" s="309"/>
      <c r="E272" s="309"/>
      <c r="F272" s="308" t="s">
        <v>50</v>
      </c>
      <c r="G272" s="464" t="s">
        <v>2213</v>
      </c>
      <c r="H272" s="464" t="s">
        <v>949</v>
      </c>
      <c r="I272" s="464" t="s">
        <v>1309</v>
      </c>
      <c r="J272" s="464" t="s">
        <v>50</v>
      </c>
      <c r="K272" s="464" t="s">
        <v>50</v>
      </c>
      <c r="M272" s="464" t="s">
        <v>50</v>
      </c>
      <c r="O272" s="464" t="s">
        <v>50</v>
      </c>
      <c r="P272" s="464" t="s">
        <v>50</v>
      </c>
      <c r="Q272" s="464" t="s">
        <v>50</v>
      </c>
      <c r="R272" s="464" t="s">
        <v>50</v>
      </c>
      <c r="S272" s="464" t="s">
        <v>50</v>
      </c>
      <c r="T272" s="464" t="s">
        <v>50</v>
      </c>
    </row>
    <row r="273" spans="1:20" ht="20.100000000000001" customHeight="1">
      <c r="A273" s="308" t="s">
        <v>960</v>
      </c>
      <c r="B273" s="309"/>
      <c r="C273" s="309"/>
      <c r="D273" s="309"/>
      <c r="E273" s="309"/>
      <c r="F273" s="308" t="s">
        <v>50</v>
      </c>
      <c r="G273" s="464" t="s">
        <v>2213</v>
      </c>
      <c r="H273" s="464" t="s">
        <v>949</v>
      </c>
      <c r="I273" s="464" t="s">
        <v>961</v>
      </c>
      <c r="J273" s="464" t="s">
        <v>50</v>
      </c>
      <c r="K273" s="464" t="s">
        <v>50</v>
      </c>
      <c r="M273" s="464" t="s">
        <v>50</v>
      </c>
      <c r="O273" s="464" t="s">
        <v>50</v>
      </c>
      <c r="P273" s="464" t="s">
        <v>50</v>
      </c>
      <c r="Q273" s="464" t="s">
        <v>50</v>
      </c>
      <c r="R273" s="464" t="s">
        <v>50</v>
      </c>
      <c r="S273" s="464" t="s">
        <v>50</v>
      </c>
      <c r="T273" s="464" t="s">
        <v>50</v>
      </c>
    </row>
    <row r="274" spans="1:20" ht="20.100000000000001" customHeight="1">
      <c r="A274" s="308" t="s">
        <v>948</v>
      </c>
      <c r="B274" s="309"/>
      <c r="C274" s="309"/>
      <c r="D274" s="309"/>
      <c r="E274" s="309"/>
      <c r="F274" s="308" t="s">
        <v>50</v>
      </c>
      <c r="G274" s="464" t="s">
        <v>2213</v>
      </c>
      <c r="H274" s="464" t="s">
        <v>949</v>
      </c>
      <c r="I274" s="464" t="s">
        <v>50</v>
      </c>
      <c r="J274" s="464" t="s">
        <v>50</v>
      </c>
      <c r="K274" s="464" t="s">
        <v>50</v>
      </c>
      <c r="M274" s="464" t="s">
        <v>50</v>
      </c>
      <c r="O274" s="464" t="s">
        <v>50</v>
      </c>
      <c r="P274" s="464" t="s">
        <v>50</v>
      </c>
      <c r="Q274" s="464" t="s">
        <v>50</v>
      </c>
      <c r="R274" s="464" t="s">
        <v>50</v>
      </c>
      <c r="S274" s="464" t="s">
        <v>50</v>
      </c>
      <c r="T274" s="464" t="s">
        <v>50</v>
      </c>
    </row>
    <row r="275" spans="1:20" ht="20.100000000000001" customHeight="1">
      <c r="A275" s="308" t="s">
        <v>1310</v>
      </c>
      <c r="B275" s="309"/>
      <c r="C275" s="309"/>
      <c r="D275" s="309"/>
      <c r="E275" s="309"/>
      <c r="F275" s="308" t="s">
        <v>50</v>
      </c>
      <c r="G275" s="464" t="s">
        <v>2213</v>
      </c>
      <c r="H275" s="464" t="s">
        <v>949</v>
      </c>
      <c r="I275" s="464" t="s">
        <v>1311</v>
      </c>
      <c r="J275" s="464" t="s">
        <v>50</v>
      </c>
      <c r="K275" s="464" t="s">
        <v>50</v>
      </c>
      <c r="M275" s="464" t="s">
        <v>50</v>
      </c>
      <c r="O275" s="464" t="s">
        <v>50</v>
      </c>
      <c r="P275" s="464" t="s">
        <v>50</v>
      </c>
      <c r="Q275" s="464" t="s">
        <v>50</v>
      </c>
      <c r="R275" s="464" t="s">
        <v>50</v>
      </c>
      <c r="S275" s="464" t="s">
        <v>50</v>
      </c>
      <c r="T275" s="464" t="s">
        <v>50</v>
      </c>
    </row>
    <row r="276" spans="1:20" ht="20.100000000000001" customHeight="1">
      <c r="A276" s="308" t="s">
        <v>1616</v>
      </c>
      <c r="B276" s="309"/>
      <c r="C276" s="309"/>
      <c r="D276" s="309"/>
      <c r="E276" s="309"/>
      <c r="F276" s="308" t="s">
        <v>50</v>
      </c>
      <c r="G276" s="464" t="s">
        <v>2213</v>
      </c>
      <c r="H276" s="464" t="s">
        <v>949</v>
      </c>
      <c r="I276" s="464" t="s">
        <v>1312</v>
      </c>
      <c r="J276" s="464" t="s">
        <v>50</v>
      </c>
      <c r="K276" s="464" t="s">
        <v>50</v>
      </c>
      <c r="M276" s="464" t="s">
        <v>50</v>
      </c>
      <c r="O276" s="464" t="s">
        <v>50</v>
      </c>
      <c r="P276" s="464" t="s">
        <v>50</v>
      </c>
      <c r="Q276" s="464" t="s">
        <v>50</v>
      </c>
      <c r="R276" s="464" t="s">
        <v>50</v>
      </c>
      <c r="S276" s="464" t="s">
        <v>50</v>
      </c>
      <c r="T276" s="464" t="s">
        <v>50</v>
      </c>
    </row>
    <row r="277" spans="1:20" ht="20.100000000000001" customHeight="1">
      <c r="A277" s="308" t="s">
        <v>1313</v>
      </c>
      <c r="B277" s="309"/>
      <c r="C277" s="309"/>
      <c r="D277" s="309"/>
      <c r="E277" s="309"/>
      <c r="F277" s="308" t="s">
        <v>50</v>
      </c>
      <c r="G277" s="464" t="s">
        <v>2213</v>
      </c>
      <c r="H277" s="464" t="s">
        <v>949</v>
      </c>
      <c r="I277" s="464" t="s">
        <v>1314</v>
      </c>
      <c r="J277" s="464" t="s">
        <v>50</v>
      </c>
      <c r="K277" s="464" t="s">
        <v>50</v>
      </c>
      <c r="M277" s="464" t="s">
        <v>50</v>
      </c>
      <c r="O277" s="464" t="s">
        <v>50</v>
      </c>
      <c r="P277" s="464" t="s">
        <v>50</v>
      </c>
      <c r="Q277" s="464" t="s">
        <v>50</v>
      </c>
      <c r="R277" s="464" t="s">
        <v>50</v>
      </c>
      <c r="S277" s="464" t="s">
        <v>50</v>
      </c>
      <c r="T277" s="464" t="s">
        <v>50</v>
      </c>
    </row>
    <row r="278" spans="1:20" ht="20.100000000000001" customHeight="1">
      <c r="A278" s="308" t="s">
        <v>1315</v>
      </c>
      <c r="B278" s="309"/>
      <c r="C278" s="309"/>
      <c r="D278" s="309"/>
      <c r="E278" s="309"/>
      <c r="F278" s="308" t="s">
        <v>50</v>
      </c>
      <c r="G278" s="464" t="s">
        <v>2213</v>
      </c>
      <c r="H278" s="464" t="s">
        <v>949</v>
      </c>
      <c r="I278" s="464" t="s">
        <v>1316</v>
      </c>
      <c r="J278" s="464" t="s">
        <v>50</v>
      </c>
      <c r="K278" s="464" t="s">
        <v>50</v>
      </c>
      <c r="M278" s="464" t="s">
        <v>50</v>
      </c>
      <c r="O278" s="464" t="s">
        <v>50</v>
      </c>
      <c r="P278" s="464" t="s">
        <v>50</v>
      </c>
      <c r="Q278" s="464" t="s">
        <v>50</v>
      </c>
      <c r="R278" s="464" t="s">
        <v>50</v>
      </c>
      <c r="S278" s="464" t="s">
        <v>50</v>
      </c>
      <c r="T278" s="464" t="s">
        <v>50</v>
      </c>
    </row>
    <row r="279" spans="1:20" ht="20.100000000000001" customHeight="1">
      <c r="A279" s="308" t="s">
        <v>960</v>
      </c>
      <c r="B279" s="309"/>
      <c r="C279" s="309"/>
      <c r="D279" s="309"/>
      <c r="E279" s="309"/>
      <c r="F279" s="308" t="s">
        <v>50</v>
      </c>
      <c r="G279" s="464" t="s">
        <v>2213</v>
      </c>
      <c r="H279" s="464" t="s">
        <v>949</v>
      </c>
      <c r="I279" s="464" t="s">
        <v>961</v>
      </c>
      <c r="J279" s="464" t="s">
        <v>50</v>
      </c>
      <c r="K279" s="464" t="s">
        <v>50</v>
      </c>
      <c r="M279" s="464" t="s">
        <v>50</v>
      </c>
      <c r="O279" s="464" t="s">
        <v>50</v>
      </c>
      <c r="P279" s="464" t="s">
        <v>50</v>
      </c>
      <c r="Q279" s="464" t="s">
        <v>50</v>
      </c>
      <c r="R279" s="464" t="s">
        <v>50</v>
      </c>
      <c r="S279" s="464" t="s">
        <v>50</v>
      </c>
      <c r="T279" s="464" t="s">
        <v>50</v>
      </c>
    </row>
    <row r="280" spans="1:20" ht="20.100000000000001" customHeight="1">
      <c r="A280" s="308" t="s">
        <v>948</v>
      </c>
      <c r="B280" s="309"/>
      <c r="C280" s="309"/>
      <c r="D280" s="309"/>
      <c r="E280" s="309"/>
      <c r="F280" s="308" t="s">
        <v>50</v>
      </c>
      <c r="G280" s="464" t="s">
        <v>2213</v>
      </c>
      <c r="H280" s="464" t="s">
        <v>949</v>
      </c>
      <c r="I280" s="464" t="s">
        <v>50</v>
      </c>
      <c r="J280" s="464" t="s">
        <v>50</v>
      </c>
      <c r="K280" s="464" t="s">
        <v>50</v>
      </c>
      <c r="M280" s="464" t="s">
        <v>50</v>
      </c>
      <c r="O280" s="464" t="s">
        <v>50</v>
      </c>
      <c r="P280" s="464" t="s">
        <v>50</v>
      </c>
      <c r="Q280" s="464" t="s">
        <v>50</v>
      </c>
      <c r="R280" s="464" t="s">
        <v>50</v>
      </c>
      <c r="S280" s="464" t="s">
        <v>50</v>
      </c>
      <c r="T280" s="464" t="s">
        <v>50</v>
      </c>
    </row>
    <row r="281" spans="1:20" ht="20.100000000000001" customHeight="1">
      <c r="A281" s="308" t="s">
        <v>1317</v>
      </c>
      <c r="B281" s="309"/>
      <c r="C281" s="309"/>
      <c r="D281" s="309"/>
      <c r="E281" s="309"/>
      <c r="F281" s="308" t="s">
        <v>50</v>
      </c>
      <c r="G281" s="464" t="s">
        <v>2213</v>
      </c>
      <c r="H281" s="464" t="s">
        <v>949</v>
      </c>
      <c r="I281" s="464" t="s">
        <v>1318</v>
      </c>
      <c r="J281" s="464" t="s">
        <v>50</v>
      </c>
      <c r="K281" s="464" t="s">
        <v>50</v>
      </c>
      <c r="M281" s="464" t="s">
        <v>50</v>
      </c>
      <c r="O281" s="464" t="s">
        <v>50</v>
      </c>
      <c r="P281" s="464" t="s">
        <v>50</v>
      </c>
      <c r="Q281" s="464" t="s">
        <v>50</v>
      </c>
      <c r="R281" s="464" t="s">
        <v>50</v>
      </c>
      <c r="S281" s="464" t="s">
        <v>50</v>
      </c>
      <c r="T281" s="464" t="s">
        <v>50</v>
      </c>
    </row>
    <row r="282" spans="1:20" ht="20.100000000000001" customHeight="1">
      <c r="A282" s="308" t="s">
        <v>1617</v>
      </c>
      <c r="B282" s="309"/>
      <c r="C282" s="309"/>
      <c r="D282" s="309"/>
      <c r="E282" s="309"/>
      <c r="F282" s="308" t="s">
        <v>50</v>
      </c>
      <c r="G282" s="464" t="s">
        <v>2213</v>
      </c>
      <c r="H282" s="464" t="s">
        <v>949</v>
      </c>
      <c r="I282" s="464" t="s">
        <v>1319</v>
      </c>
      <c r="J282" s="464" t="s">
        <v>50</v>
      </c>
      <c r="K282" s="464" t="s">
        <v>50</v>
      </c>
      <c r="M282" s="464" t="s">
        <v>50</v>
      </c>
      <c r="O282" s="464" t="s">
        <v>50</v>
      </c>
      <c r="P282" s="464" t="s">
        <v>50</v>
      </c>
      <c r="Q282" s="464" t="s">
        <v>50</v>
      </c>
      <c r="R282" s="464" t="s">
        <v>50</v>
      </c>
      <c r="S282" s="464" t="s">
        <v>50</v>
      </c>
      <c r="T282" s="464" t="s">
        <v>50</v>
      </c>
    </row>
    <row r="283" spans="1:20" ht="20.100000000000001" customHeight="1">
      <c r="A283" s="308" t="s">
        <v>1320</v>
      </c>
      <c r="B283" s="309"/>
      <c r="C283" s="309"/>
      <c r="D283" s="309"/>
      <c r="E283" s="309"/>
      <c r="F283" s="308" t="s">
        <v>50</v>
      </c>
      <c r="G283" s="464" t="s">
        <v>2213</v>
      </c>
      <c r="H283" s="464" t="s">
        <v>949</v>
      </c>
      <c r="I283" s="464" t="s">
        <v>1321</v>
      </c>
      <c r="J283" s="464" t="s">
        <v>50</v>
      </c>
      <c r="K283" s="464" t="s">
        <v>50</v>
      </c>
      <c r="M283" s="464" t="s">
        <v>50</v>
      </c>
      <c r="O283" s="464" t="s">
        <v>50</v>
      </c>
      <c r="P283" s="464" t="s">
        <v>50</v>
      </c>
      <c r="Q283" s="464" t="s">
        <v>50</v>
      </c>
      <c r="R283" s="464" t="s">
        <v>50</v>
      </c>
      <c r="S283" s="464" t="s">
        <v>50</v>
      </c>
      <c r="T283" s="464" t="s">
        <v>50</v>
      </c>
    </row>
    <row r="284" spans="1:20" ht="20.100000000000001" customHeight="1">
      <c r="A284" s="308" t="s">
        <v>1322</v>
      </c>
      <c r="B284" s="309"/>
      <c r="C284" s="309"/>
      <c r="D284" s="309"/>
      <c r="E284" s="309"/>
      <c r="F284" s="308" t="s">
        <v>50</v>
      </c>
      <c r="G284" s="464" t="s">
        <v>2213</v>
      </c>
      <c r="H284" s="464" t="s">
        <v>949</v>
      </c>
      <c r="I284" s="464" t="s">
        <v>1323</v>
      </c>
      <c r="J284" s="464" t="s">
        <v>50</v>
      </c>
      <c r="K284" s="464" t="s">
        <v>50</v>
      </c>
      <c r="M284" s="464" t="s">
        <v>50</v>
      </c>
      <c r="O284" s="464" t="s">
        <v>50</v>
      </c>
      <c r="P284" s="464" t="s">
        <v>50</v>
      </c>
      <c r="Q284" s="464" t="s">
        <v>50</v>
      </c>
      <c r="R284" s="464" t="s">
        <v>50</v>
      </c>
      <c r="S284" s="464" t="s">
        <v>50</v>
      </c>
      <c r="T284" s="464" t="s">
        <v>50</v>
      </c>
    </row>
    <row r="285" spans="1:20" ht="20.100000000000001" customHeight="1">
      <c r="A285" s="308" t="s">
        <v>960</v>
      </c>
      <c r="B285" s="309"/>
      <c r="C285" s="309"/>
      <c r="D285" s="309"/>
      <c r="E285" s="309"/>
      <c r="F285" s="308" t="s">
        <v>50</v>
      </c>
      <c r="G285" s="464" t="s">
        <v>2213</v>
      </c>
      <c r="H285" s="464" t="s">
        <v>949</v>
      </c>
      <c r="I285" s="464" t="s">
        <v>961</v>
      </c>
      <c r="J285" s="464" t="s">
        <v>50</v>
      </c>
      <c r="K285" s="464" t="s">
        <v>50</v>
      </c>
      <c r="M285" s="464" t="s">
        <v>50</v>
      </c>
      <c r="O285" s="464" t="s">
        <v>50</v>
      </c>
      <c r="P285" s="464" t="s">
        <v>50</v>
      </c>
      <c r="Q285" s="464" t="s">
        <v>50</v>
      </c>
      <c r="R285" s="464" t="s">
        <v>50</v>
      </c>
      <c r="S285" s="464" t="s">
        <v>50</v>
      </c>
      <c r="T285" s="464" t="s">
        <v>50</v>
      </c>
    </row>
    <row r="286" spans="1:20" ht="20.100000000000001" customHeight="1">
      <c r="A286" s="308" t="s">
        <v>948</v>
      </c>
      <c r="B286" s="309"/>
      <c r="C286" s="309"/>
      <c r="D286" s="309"/>
      <c r="E286" s="309"/>
      <c r="F286" s="308" t="s">
        <v>50</v>
      </c>
      <c r="G286" s="464" t="s">
        <v>2213</v>
      </c>
      <c r="H286" s="464" t="s">
        <v>949</v>
      </c>
      <c r="I286" s="464" t="s">
        <v>50</v>
      </c>
      <c r="J286" s="464" t="s">
        <v>50</v>
      </c>
      <c r="K286" s="464" t="s">
        <v>50</v>
      </c>
      <c r="M286" s="464" t="s">
        <v>50</v>
      </c>
      <c r="O286" s="464" t="s">
        <v>50</v>
      </c>
      <c r="P286" s="464" t="s">
        <v>50</v>
      </c>
      <c r="Q286" s="464" t="s">
        <v>50</v>
      </c>
      <c r="R286" s="464" t="s">
        <v>50</v>
      </c>
      <c r="S286" s="464" t="s">
        <v>50</v>
      </c>
      <c r="T286" s="464" t="s">
        <v>50</v>
      </c>
    </row>
    <row r="287" spans="1:20" ht="20.100000000000001" customHeight="1">
      <c r="A287" s="308" t="s">
        <v>1324</v>
      </c>
      <c r="B287" s="309"/>
      <c r="C287" s="309"/>
      <c r="D287" s="309"/>
      <c r="E287" s="309"/>
      <c r="F287" s="308" t="s">
        <v>50</v>
      </c>
      <c r="G287" s="464" t="s">
        <v>2213</v>
      </c>
      <c r="H287" s="464" t="s">
        <v>949</v>
      </c>
      <c r="I287" s="464" t="s">
        <v>1325</v>
      </c>
      <c r="J287" s="464" t="s">
        <v>50</v>
      </c>
      <c r="K287" s="464" t="s">
        <v>50</v>
      </c>
      <c r="M287" s="464" t="s">
        <v>50</v>
      </c>
      <c r="O287" s="464" t="s">
        <v>50</v>
      </c>
      <c r="P287" s="464" t="s">
        <v>50</v>
      </c>
      <c r="Q287" s="464" t="s">
        <v>50</v>
      </c>
      <c r="R287" s="464" t="s">
        <v>50</v>
      </c>
      <c r="S287" s="464" t="s">
        <v>50</v>
      </c>
      <c r="T287" s="464" t="s">
        <v>50</v>
      </c>
    </row>
    <row r="288" spans="1:20" ht="20.100000000000001" customHeight="1">
      <c r="A288" s="308" t="s">
        <v>1618</v>
      </c>
      <c r="B288" s="309"/>
      <c r="C288" s="309"/>
      <c r="D288" s="309"/>
      <c r="E288" s="309"/>
      <c r="F288" s="308" t="s">
        <v>50</v>
      </c>
      <c r="G288" s="464" t="s">
        <v>2213</v>
      </c>
      <c r="H288" s="464" t="s">
        <v>949</v>
      </c>
      <c r="I288" s="464" t="s">
        <v>1326</v>
      </c>
      <c r="J288" s="464" t="s">
        <v>50</v>
      </c>
      <c r="K288" s="464" t="s">
        <v>50</v>
      </c>
      <c r="M288" s="464" t="s">
        <v>50</v>
      </c>
      <c r="O288" s="464" t="s">
        <v>50</v>
      </c>
      <c r="P288" s="464" t="s">
        <v>50</v>
      </c>
      <c r="Q288" s="464" t="s">
        <v>50</v>
      </c>
      <c r="R288" s="464" t="s">
        <v>50</v>
      </c>
      <c r="S288" s="464" t="s">
        <v>50</v>
      </c>
      <c r="T288" s="464" t="s">
        <v>50</v>
      </c>
    </row>
    <row r="289" spans="1:20" ht="20.100000000000001" customHeight="1">
      <c r="A289" s="308" t="s">
        <v>1327</v>
      </c>
      <c r="B289" s="309"/>
      <c r="C289" s="309"/>
      <c r="D289" s="309"/>
      <c r="E289" s="309"/>
      <c r="F289" s="308" t="s">
        <v>50</v>
      </c>
      <c r="G289" s="464" t="s">
        <v>2213</v>
      </c>
      <c r="H289" s="464" t="s">
        <v>949</v>
      </c>
      <c r="I289" s="464" t="s">
        <v>1328</v>
      </c>
      <c r="J289" s="464" t="s">
        <v>50</v>
      </c>
      <c r="K289" s="464" t="s">
        <v>50</v>
      </c>
      <c r="M289" s="464" t="s">
        <v>50</v>
      </c>
      <c r="O289" s="464" t="s">
        <v>50</v>
      </c>
      <c r="P289" s="464" t="s">
        <v>50</v>
      </c>
      <c r="Q289" s="464" t="s">
        <v>50</v>
      </c>
      <c r="R289" s="464" t="s">
        <v>50</v>
      </c>
      <c r="S289" s="464" t="s">
        <v>50</v>
      </c>
      <c r="T289" s="464" t="s">
        <v>50</v>
      </c>
    </row>
    <row r="290" spans="1:20" ht="20.100000000000001" customHeight="1">
      <c r="A290" s="308" t="s">
        <v>1329</v>
      </c>
      <c r="B290" s="309"/>
      <c r="C290" s="309"/>
      <c r="D290" s="309"/>
      <c r="E290" s="309"/>
      <c r="F290" s="308" t="s">
        <v>50</v>
      </c>
      <c r="G290" s="464" t="s">
        <v>2213</v>
      </c>
      <c r="H290" s="464" t="s">
        <v>949</v>
      </c>
      <c r="I290" s="464" t="s">
        <v>1330</v>
      </c>
      <c r="J290" s="464" t="s">
        <v>50</v>
      </c>
      <c r="K290" s="464" t="s">
        <v>50</v>
      </c>
      <c r="M290" s="464" t="s">
        <v>50</v>
      </c>
      <c r="O290" s="464" t="s">
        <v>50</v>
      </c>
      <c r="P290" s="464" t="s">
        <v>50</v>
      </c>
      <c r="Q290" s="464" t="s">
        <v>50</v>
      </c>
      <c r="R290" s="464" t="s">
        <v>50</v>
      </c>
      <c r="S290" s="464" t="s">
        <v>50</v>
      </c>
      <c r="T290" s="464" t="s">
        <v>50</v>
      </c>
    </row>
    <row r="291" spans="1:20" ht="20.100000000000001" customHeight="1">
      <c r="A291" s="308" t="s">
        <v>960</v>
      </c>
      <c r="B291" s="309"/>
      <c r="C291" s="309"/>
      <c r="D291" s="309"/>
      <c r="E291" s="309"/>
      <c r="F291" s="308" t="s">
        <v>50</v>
      </c>
      <c r="G291" s="464" t="s">
        <v>2213</v>
      </c>
      <c r="H291" s="464" t="s">
        <v>949</v>
      </c>
      <c r="I291" s="464" t="s">
        <v>961</v>
      </c>
      <c r="J291" s="464" t="s">
        <v>50</v>
      </c>
      <c r="K291" s="464" t="s">
        <v>50</v>
      </c>
      <c r="M291" s="464" t="s">
        <v>50</v>
      </c>
      <c r="O291" s="464" t="s">
        <v>50</v>
      </c>
      <c r="P291" s="464" t="s">
        <v>50</v>
      </c>
      <c r="Q291" s="464" t="s">
        <v>50</v>
      </c>
      <c r="R291" s="464" t="s">
        <v>50</v>
      </c>
      <c r="S291" s="464" t="s">
        <v>50</v>
      </c>
      <c r="T291" s="464" t="s">
        <v>50</v>
      </c>
    </row>
    <row r="292" spans="1:20" ht="20.100000000000001" customHeight="1">
      <c r="A292" s="308" t="s">
        <v>948</v>
      </c>
      <c r="B292" s="309"/>
      <c r="C292" s="309"/>
      <c r="D292" s="309"/>
      <c r="E292" s="309"/>
      <c r="F292" s="308" t="s">
        <v>50</v>
      </c>
      <c r="G292" s="464" t="s">
        <v>2213</v>
      </c>
      <c r="H292" s="464" t="s">
        <v>949</v>
      </c>
      <c r="I292" s="464" t="s">
        <v>50</v>
      </c>
      <c r="J292" s="464" t="s">
        <v>50</v>
      </c>
      <c r="K292" s="464" t="s">
        <v>50</v>
      </c>
      <c r="M292" s="464" t="s">
        <v>50</v>
      </c>
      <c r="O292" s="464" t="s">
        <v>50</v>
      </c>
      <c r="P292" s="464" t="s">
        <v>50</v>
      </c>
      <c r="Q292" s="464" t="s">
        <v>50</v>
      </c>
      <c r="R292" s="464" t="s">
        <v>50</v>
      </c>
      <c r="S292" s="464" t="s">
        <v>50</v>
      </c>
      <c r="T292" s="464" t="s">
        <v>50</v>
      </c>
    </row>
    <row r="293" spans="1:20" ht="20.100000000000001" customHeight="1">
      <c r="A293" s="308" t="s">
        <v>2315</v>
      </c>
      <c r="B293" s="309"/>
      <c r="C293" s="309"/>
      <c r="D293" s="309"/>
      <c r="E293" s="309"/>
      <c r="F293" s="308" t="s">
        <v>50</v>
      </c>
      <c r="G293" s="464" t="s">
        <v>2213</v>
      </c>
      <c r="H293" s="464" t="s">
        <v>949</v>
      </c>
      <c r="I293" s="464" t="s">
        <v>2316</v>
      </c>
      <c r="J293" s="464" t="s">
        <v>50</v>
      </c>
      <c r="K293" s="464" t="s">
        <v>50</v>
      </c>
      <c r="M293" s="464" t="s">
        <v>50</v>
      </c>
      <c r="O293" s="464" t="s">
        <v>50</v>
      </c>
      <c r="P293" s="464" t="s">
        <v>50</v>
      </c>
      <c r="Q293" s="464" t="s">
        <v>50</v>
      </c>
      <c r="R293" s="464" t="s">
        <v>50</v>
      </c>
      <c r="S293" s="464" t="s">
        <v>50</v>
      </c>
      <c r="T293" s="464" t="s">
        <v>50</v>
      </c>
    </row>
    <row r="294" spans="1:20" ht="20.100000000000001" customHeight="1">
      <c r="A294" s="308" t="s">
        <v>1331</v>
      </c>
      <c r="B294" s="309"/>
      <c r="C294" s="309"/>
      <c r="D294" s="309"/>
      <c r="E294" s="309"/>
      <c r="F294" s="308" t="s">
        <v>50</v>
      </c>
      <c r="G294" s="464" t="s">
        <v>2213</v>
      </c>
      <c r="H294" s="464" t="s">
        <v>949</v>
      </c>
      <c r="I294" s="464" t="s">
        <v>1332</v>
      </c>
      <c r="J294" s="464" t="s">
        <v>50</v>
      </c>
      <c r="K294" s="464" t="s">
        <v>50</v>
      </c>
      <c r="M294" s="464" t="s">
        <v>50</v>
      </c>
      <c r="O294" s="464" t="s">
        <v>50</v>
      </c>
      <c r="P294" s="464" t="s">
        <v>50</v>
      </c>
      <c r="Q294" s="464" t="s">
        <v>50</v>
      </c>
      <c r="R294" s="464" t="s">
        <v>50</v>
      </c>
      <c r="S294" s="464" t="s">
        <v>50</v>
      </c>
      <c r="T294" s="464" t="s">
        <v>50</v>
      </c>
    </row>
    <row r="295" spans="1:20" ht="20.100000000000001" customHeight="1">
      <c r="A295" s="308" t="s">
        <v>948</v>
      </c>
      <c r="B295" s="309"/>
      <c r="C295" s="309"/>
      <c r="D295" s="309"/>
      <c r="E295" s="309"/>
      <c r="F295" s="308" t="s">
        <v>50</v>
      </c>
      <c r="G295" s="464" t="s">
        <v>2213</v>
      </c>
      <c r="H295" s="464" t="s">
        <v>949</v>
      </c>
      <c r="I295" s="464" t="s">
        <v>50</v>
      </c>
      <c r="J295" s="464" t="s">
        <v>50</v>
      </c>
      <c r="K295" s="464" t="s">
        <v>50</v>
      </c>
      <c r="M295" s="464" t="s">
        <v>50</v>
      </c>
      <c r="O295" s="464" t="s">
        <v>50</v>
      </c>
      <c r="P295" s="464" t="s">
        <v>50</v>
      </c>
      <c r="Q295" s="464" t="s">
        <v>50</v>
      </c>
      <c r="R295" s="464" t="s">
        <v>50</v>
      </c>
      <c r="S295" s="464" t="s">
        <v>50</v>
      </c>
      <c r="T295" s="464" t="s">
        <v>50</v>
      </c>
    </row>
    <row r="296" spans="1:20" ht="20.100000000000001" customHeight="1">
      <c r="A296" s="308" t="s">
        <v>1037</v>
      </c>
      <c r="B296" s="309"/>
      <c r="C296" s="309"/>
      <c r="D296" s="309"/>
      <c r="E296" s="309"/>
      <c r="F296" s="308" t="s">
        <v>50</v>
      </c>
      <c r="G296" s="464" t="s">
        <v>2213</v>
      </c>
      <c r="H296" s="464" t="s">
        <v>949</v>
      </c>
      <c r="I296" s="464" t="s">
        <v>1038</v>
      </c>
      <c r="J296" s="464" t="s">
        <v>50</v>
      </c>
      <c r="K296" s="464" t="s">
        <v>50</v>
      </c>
      <c r="M296" s="464" t="s">
        <v>50</v>
      </c>
      <c r="O296" s="464" t="s">
        <v>50</v>
      </c>
      <c r="P296" s="464" t="s">
        <v>50</v>
      </c>
      <c r="Q296" s="464" t="s">
        <v>50</v>
      </c>
      <c r="R296" s="464" t="s">
        <v>50</v>
      </c>
      <c r="S296" s="464" t="s">
        <v>50</v>
      </c>
      <c r="T296" s="464" t="s">
        <v>50</v>
      </c>
    </row>
    <row r="297" spans="1:20" ht="20.100000000000001" customHeight="1">
      <c r="A297" s="308" t="s">
        <v>973</v>
      </c>
      <c r="B297" s="306"/>
      <c r="C297" s="306"/>
      <c r="D297" s="306"/>
      <c r="E297" s="306"/>
      <c r="F297" s="310"/>
    </row>
    <row r="298" spans="1:20" ht="20.100000000000001" customHeight="1">
      <c r="A298" s="310"/>
      <c r="B298" s="310"/>
      <c r="C298" s="310"/>
      <c r="D298" s="310"/>
      <c r="E298" s="310"/>
      <c r="F298" s="310"/>
    </row>
    <row r="299" spans="1:20" ht="20.100000000000001" customHeight="1">
      <c r="A299" s="310" t="s">
        <v>1784</v>
      </c>
      <c r="B299" s="310"/>
      <c r="C299" s="310"/>
      <c r="D299" s="310"/>
      <c r="E299" s="310"/>
      <c r="F299" s="308" t="s">
        <v>793</v>
      </c>
      <c r="G299" s="464" t="s">
        <v>2248</v>
      </c>
      <c r="I299" s="464" t="s">
        <v>665</v>
      </c>
      <c r="J299" s="464" t="s">
        <v>792</v>
      </c>
      <c r="K299" s="464" t="s">
        <v>644</v>
      </c>
    </row>
    <row r="300" spans="1:20" ht="20.100000000000001" customHeight="1">
      <c r="A300" s="308" t="s">
        <v>50</v>
      </c>
      <c r="B300" s="309"/>
      <c r="C300" s="309"/>
      <c r="D300" s="309"/>
      <c r="E300" s="309"/>
      <c r="F300" s="308" t="s">
        <v>50</v>
      </c>
      <c r="G300" s="464" t="s">
        <v>2248</v>
      </c>
      <c r="H300" s="464" t="s">
        <v>563</v>
      </c>
      <c r="I300" s="464" t="s">
        <v>50</v>
      </c>
      <c r="J300" s="464" t="s">
        <v>50</v>
      </c>
      <c r="K300" s="464" t="s">
        <v>50</v>
      </c>
      <c r="L300">
        <v>1</v>
      </c>
      <c r="M300" s="464" t="s">
        <v>50</v>
      </c>
      <c r="O300" s="464" t="s">
        <v>50</v>
      </c>
      <c r="P300" s="464" t="s">
        <v>50</v>
      </c>
      <c r="Q300" s="464" t="s">
        <v>50</v>
      </c>
      <c r="R300" s="464" t="s">
        <v>50</v>
      </c>
      <c r="S300" s="464" t="s">
        <v>50</v>
      </c>
      <c r="T300" s="464" t="s">
        <v>50</v>
      </c>
    </row>
    <row r="301" spans="1:20" ht="20.100000000000001" customHeight="1">
      <c r="A301" s="308" t="s">
        <v>1218</v>
      </c>
      <c r="B301" s="309"/>
      <c r="C301" s="309"/>
      <c r="D301" s="309"/>
      <c r="E301" s="309"/>
      <c r="F301" s="308" t="s">
        <v>50</v>
      </c>
      <c r="G301" s="464" t="s">
        <v>2248</v>
      </c>
      <c r="H301" s="464" t="s">
        <v>949</v>
      </c>
      <c r="I301" s="464" t="s">
        <v>1219</v>
      </c>
      <c r="J301" s="464" t="s">
        <v>50</v>
      </c>
      <c r="K301" s="464" t="s">
        <v>50</v>
      </c>
      <c r="M301" s="464" t="s">
        <v>50</v>
      </c>
      <c r="O301" s="464" t="s">
        <v>50</v>
      </c>
      <c r="P301" s="464" t="s">
        <v>50</v>
      </c>
      <c r="Q301" s="464" t="s">
        <v>50</v>
      </c>
      <c r="R301" s="464" t="s">
        <v>50</v>
      </c>
      <c r="S301" s="464" t="s">
        <v>50</v>
      </c>
      <c r="T301" s="464" t="s">
        <v>50</v>
      </c>
    </row>
    <row r="302" spans="1:20" ht="20.100000000000001" customHeight="1">
      <c r="A302" s="308" t="s">
        <v>1220</v>
      </c>
      <c r="B302" s="309"/>
      <c r="C302" s="309"/>
      <c r="D302" s="309"/>
      <c r="E302" s="309"/>
      <c r="F302" s="308" t="s">
        <v>50</v>
      </c>
      <c r="G302" s="464" t="s">
        <v>2248</v>
      </c>
      <c r="H302" s="464" t="s">
        <v>949</v>
      </c>
      <c r="I302" s="464" t="s">
        <v>1221</v>
      </c>
      <c r="J302" s="464" t="s">
        <v>50</v>
      </c>
      <c r="K302" s="464" t="s">
        <v>50</v>
      </c>
      <c r="M302" s="464" t="s">
        <v>50</v>
      </c>
      <c r="O302" s="464" t="s">
        <v>50</v>
      </c>
      <c r="P302" s="464" t="s">
        <v>50</v>
      </c>
      <c r="Q302" s="464" t="s">
        <v>50</v>
      </c>
      <c r="R302" s="464" t="s">
        <v>50</v>
      </c>
      <c r="S302" s="464" t="s">
        <v>50</v>
      </c>
      <c r="T302" s="464" t="s">
        <v>50</v>
      </c>
    </row>
    <row r="303" spans="1:20" ht="20.100000000000001" customHeight="1">
      <c r="A303" s="308" t="s">
        <v>1333</v>
      </c>
      <c r="B303" s="309"/>
      <c r="C303" s="309"/>
      <c r="D303" s="309"/>
      <c r="E303" s="309"/>
      <c r="F303" s="308" t="s">
        <v>50</v>
      </c>
      <c r="G303" s="464" t="s">
        <v>2248</v>
      </c>
      <c r="H303" s="464" t="s">
        <v>949</v>
      </c>
      <c r="I303" s="464" t="s">
        <v>1334</v>
      </c>
      <c r="J303" s="464" t="s">
        <v>50</v>
      </c>
      <c r="K303" s="464" t="s">
        <v>50</v>
      </c>
      <c r="M303" s="464" t="s">
        <v>50</v>
      </c>
      <c r="O303" s="464" t="s">
        <v>50</v>
      </c>
      <c r="P303" s="464" t="s">
        <v>50</v>
      </c>
      <c r="Q303" s="464" t="s">
        <v>50</v>
      </c>
      <c r="R303" s="464" t="s">
        <v>50</v>
      </c>
      <c r="S303" s="464" t="s">
        <v>50</v>
      </c>
      <c r="T303" s="464" t="s">
        <v>50</v>
      </c>
    </row>
    <row r="304" spans="1:20" ht="20.100000000000001" customHeight="1">
      <c r="A304" s="308" t="s">
        <v>1224</v>
      </c>
      <c r="B304" s="309"/>
      <c r="C304" s="309"/>
      <c r="D304" s="309"/>
      <c r="E304" s="309"/>
      <c r="F304" s="308" t="s">
        <v>50</v>
      </c>
      <c r="G304" s="464" t="s">
        <v>2248</v>
      </c>
      <c r="H304" s="464" t="s">
        <v>949</v>
      </c>
      <c r="I304" s="464" t="s">
        <v>1225</v>
      </c>
      <c r="J304" s="464" t="s">
        <v>50</v>
      </c>
      <c r="K304" s="464" t="s">
        <v>50</v>
      </c>
      <c r="M304" s="464" t="s">
        <v>50</v>
      </c>
      <c r="O304" s="464" t="s">
        <v>50</v>
      </c>
      <c r="P304" s="464" t="s">
        <v>50</v>
      </c>
      <c r="Q304" s="464" t="s">
        <v>50</v>
      </c>
      <c r="R304" s="464" t="s">
        <v>50</v>
      </c>
      <c r="S304" s="464" t="s">
        <v>50</v>
      </c>
      <c r="T304" s="464" t="s">
        <v>50</v>
      </c>
    </row>
    <row r="305" spans="1:20" ht="20.100000000000001" customHeight="1">
      <c r="A305" s="308" t="s">
        <v>1335</v>
      </c>
      <c r="B305" s="309"/>
      <c r="C305" s="309"/>
      <c r="D305" s="309"/>
      <c r="E305" s="309"/>
      <c r="F305" s="308" t="s">
        <v>50</v>
      </c>
      <c r="G305" s="464" t="s">
        <v>2248</v>
      </c>
      <c r="H305" s="464" t="s">
        <v>949</v>
      </c>
      <c r="I305" s="464" t="s">
        <v>1227</v>
      </c>
      <c r="J305" s="464" t="s">
        <v>50</v>
      </c>
      <c r="K305" s="464" t="s">
        <v>50</v>
      </c>
      <c r="M305" s="464" t="s">
        <v>50</v>
      </c>
      <c r="O305" s="464" t="s">
        <v>50</v>
      </c>
      <c r="P305" s="464" t="s">
        <v>50</v>
      </c>
      <c r="Q305" s="464" t="s">
        <v>50</v>
      </c>
      <c r="R305" s="464" t="s">
        <v>50</v>
      </c>
      <c r="S305" s="464" t="s">
        <v>50</v>
      </c>
      <c r="T305" s="464" t="s">
        <v>50</v>
      </c>
    </row>
    <row r="306" spans="1:20" ht="20.100000000000001" customHeight="1">
      <c r="A306" s="308" t="s">
        <v>1228</v>
      </c>
      <c r="B306" s="309"/>
      <c r="C306" s="309"/>
      <c r="D306" s="309"/>
      <c r="E306" s="309"/>
      <c r="F306" s="308" t="s">
        <v>50</v>
      </c>
      <c r="G306" s="464" t="s">
        <v>2248</v>
      </c>
      <c r="H306" s="464" t="s">
        <v>949</v>
      </c>
      <c r="I306" s="464" t="s">
        <v>1229</v>
      </c>
      <c r="J306" s="464" t="s">
        <v>50</v>
      </c>
      <c r="K306" s="464" t="s">
        <v>50</v>
      </c>
      <c r="M306" s="464" t="s">
        <v>50</v>
      </c>
      <c r="O306" s="464" t="s">
        <v>50</v>
      </c>
      <c r="P306" s="464" t="s">
        <v>50</v>
      </c>
      <c r="Q306" s="464" t="s">
        <v>50</v>
      </c>
      <c r="R306" s="464" t="s">
        <v>50</v>
      </c>
      <c r="S306" s="464" t="s">
        <v>50</v>
      </c>
      <c r="T306" s="464" t="s">
        <v>50</v>
      </c>
    </row>
    <row r="307" spans="1:20" ht="20.100000000000001" customHeight="1">
      <c r="A307" s="308" t="s">
        <v>1230</v>
      </c>
      <c r="B307" s="309"/>
      <c r="C307" s="309"/>
      <c r="D307" s="309"/>
      <c r="E307" s="309"/>
      <c r="F307" s="308" t="s">
        <v>50</v>
      </c>
      <c r="G307" s="464" t="s">
        <v>2248</v>
      </c>
      <c r="H307" s="464" t="s">
        <v>949</v>
      </c>
      <c r="I307" s="464" t="s">
        <v>1231</v>
      </c>
      <c r="J307" s="464" t="s">
        <v>50</v>
      </c>
      <c r="K307" s="464" t="s">
        <v>50</v>
      </c>
      <c r="M307" s="464" t="s">
        <v>50</v>
      </c>
      <c r="O307" s="464" t="s">
        <v>50</v>
      </c>
      <c r="P307" s="464" t="s">
        <v>50</v>
      </c>
      <c r="Q307" s="464" t="s">
        <v>50</v>
      </c>
      <c r="R307" s="464" t="s">
        <v>50</v>
      </c>
      <c r="S307" s="464" t="s">
        <v>50</v>
      </c>
      <c r="T307" s="464" t="s">
        <v>50</v>
      </c>
    </row>
    <row r="308" spans="1:20" ht="20.100000000000001" customHeight="1">
      <c r="A308" s="308" t="s">
        <v>1336</v>
      </c>
      <c r="B308" s="309"/>
      <c r="C308" s="309"/>
      <c r="D308" s="309"/>
      <c r="E308" s="309"/>
      <c r="F308" s="308" t="s">
        <v>50</v>
      </c>
      <c r="G308" s="464" t="s">
        <v>2248</v>
      </c>
      <c r="H308" s="464" t="s">
        <v>949</v>
      </c>
      <c r="I308" s="464" t="s">
        <v>1337</v>
      </c>
      <c r="J308" s="464" t="s">
        <v>50</v>
      </c>
      <c r="K308" s="464" t="s">
        <v>50</v>
      </c>
      <c r="M308" s="464" t="s">
        <v>50</v>
      </c>
      <c r="O308" s="464" t="s">
        <v>50</v>
      </c>
      <c r="P308" s="464" t="s">
        <v>50</v>
      </c>
      <c r="Q308" s="464" t="s">
        <v>50</v>
      </c>
      <c r="R308" s="464" t="s">
        <v>50</v>
      </c>
      <c r="S308" s="464" t="s">
        <v>50</v>
      </c>
      <c r="T308" s="464" t="s">
        <v>50</v>
      </c>
    </row>
    <row r="309" spans="1:20" ht="20.100000000000001" customHeight="1">
      <c r="A309" s="308" t="s">
        <v>1232</v>
      </c>
      <c r="B309" s="309"/>
      <c r="C309" s="309"/>
      <c r="D309" s="309"/>
      <c r="E309" s="309"/>
      <c r="F309" s="308" t="s">
        <v>50</v>
      </c>
      <c r="G309" s="464" t="s">
        <v>2248</v>
      </c>
      <c r="H309" s="464" t="s">
        <v>949</v>
      </c>
      <c r="I309" s="464" t="s">
        <v>1233</v>
      </c>
      <c r="J309" s="464" t="s">
        <v>50</v>
      </c>
      <c r="K309" s="464" t="s">
        <v>50</v>
      </c>
      <c r="M309" s="464" t="s">
        <v>50</v>
      </c>
      <c r="O309" s="464" t="s">
        <v>50</v>
      </c>
      <c r="P309" s="464" t="s">
        <v>50</v>
      </c>
      <c r="Q309" s="464" t="s">
        <v>50</v>
      </c>
      <c r="R309" s="464" t="s">
        <v>50</v>
      </c>
      <c r="S309" s="464" t="s">
        <v>50</v>
      </c>
      <c r="T309" s="464" t="s">
        <v>50</v>
      </c>
    </row>
    <row r="310" spans="1:20" ht="20.100000000000001" customHeight="1">
      <c r="A310" s="308" t="s">
        <v>1338</v>
      </c>
      <c r="B310" s="309"/>
      <c r="C310" s="309"/>
      <c r="D310" s="309"/>
      <c r="E310" s="309"/>
      <c r="F310" s="308" t="s">
        <v>50</v>
      </c>
      <c r="G310" s="464" t="s">
        <v>2248</v>
      </c>
      <c r="H310" s="464" t="s">
        <v>949</v>
      </c>
      <c r="I310" s="464" t="s">
        <v>1339</v>
      </c>
      <c r="J310" s="464" t="s">
        <v>50</v>
      </c>
      <c r="K310" s="464" t="s">
        <v>50</v>
      </c>
      <c r="M310" s="464" t="s">
        <v>50</v>
      </c>
      <c r="O310" s="464" t="s">
        <v>50</v>
      </c>
      <c r="P310" s="464" t="s">
        <v>50</v>
      </c>
      <c r="Q310" s="464" t="s">
        <v>50</v>
      </c>
      <c r="R310" s="464" t="s">
        <v>50</v>
      </c>
      <c r="S310" s="464" t="s">
        <v>50</v>
      </c>
      <c r="T310" s="464" t="s">
        <v>50</v>
      </c>
    </row>
    <row r="311" spans="1:20" ht="20.100000000000001" customHeight="1">
      <c r="A311" s="308" t="s">
        <v>1340</v>
      </c>
      <c r="B311" s="309"/>
      <c r="C311" s="309"/>
      <c r="D311" s="309"/>
      <c r="E311" s="309"/>
      <c r="F311" s="308" t="s">
        <v>50</v>
      </c>
      <c r="G311" s="464" t="s">
        <v>2248</v>
      </c>
      <c r="H311" s="464" t="s">
        <v>949</v>
      </c>
      <c r="I311" s="464" t="s">
        <v>1237</v>
      </c>
      <c r="J311" s="464" t="s">
        <v>50</v>
      </c>
      <c r="K311" s="464" t="s">
        <v>50</v>
      </c>
      <c r="M311" s="464" t="s">
        <v>50</v>
      </c>
      <c r="O311" s="464" t="s">
        <v>50</v>
      </c>
      <c r="P311" s="464" t="s">
        <v>50</v>
      </c>
      <c r="Q311" s="464" t="s">
        <v>50</v>
      </c>
      <c r="R311" s="464" t="s">
        <v>50</v>
      </c>
      <c r="S311" s="464" t="s">
        <v>50</v>
      </c>
      <c r="T311" s="464" t="s">
        <v>50</v>
      </c>
    </row>
    <row r="312" spans="1:20" ht="20.100000000000001" customHeight="1">
      <c r="A312" s="308" t="s">
        <v>948</v>
      </c>
      <c r="B312" s="309"/>
      <c r="C312" s="309"/>
      <c r="D312" s="309"/>
      <c r="E312" s="309"/>
      <c r="F312" s="308" t="s">
        <v>50</v>
      </c>
      <c r="G312" s="464" t="s">
        <v>2248</v>
      </c>
      <c r="H312" s="464" t="s">
        <v>949</v>
      </c>
      <c r="I312" s="464" t="s">
        <v>50</v>
      </c>
      <c r="J312" s="464" t="s">
        <v>50</v>
      </c>
      <c r="K312" s="464" t="s">
        <v>50</v>
      </c>
      <c r="M312" s="464" t="s">
        <v>50</v>
      </c>
      <c r="O312" s="464" t="s">
        <v>50</v>
      </c>
      <c r="P312" s="464" t="s">
        <v>50</v>
      </c>
      <c r="Q312" s="464" t="s">
        <v>50</v>
      </c>
      <c r="R312" s="464" t="s">
        <v>50</v>
      </c>
      <c r="S312" s="464" t="s">
        <v>50</v>
      </c>
      <c r="T312" s="464" t="s">
        <v>50</v>
      </c>
    </row>
    <row r="313" spans="1:20" ht="20.100000000000001" customHeight="1">
      <c r="A313" s="308" t="s">
        <v>1238</v>
      </c>
      <c r="B313" s="309"/>
      <c r="C313" s="309"/>
      <c r="D313" s="309"/>
      <c r="E313" s="309"/>
      <c r="F313" s="308" t="s">
        <v>50</v>
      </c>
      <c r="G313" s="464" t="s">
        <v>2248</v>
      </c>
      <c r="H313" s="464" t="s">
        <v>949</v>
      </c>
      <c r="I313" s="464" t="s">
        <v>1239</v>
      </c>
      <c r="J313" s="464" t="s">
        <v>50</v>
      </c>
      <c r="K313" s="464" t="s">
        <v>50</v>
      </c>
      <c r="M313" s="464" t="s">
        <v>50</v>
      </c>
      <c r="O313" s="464" t="s">
        <v>50</v>
      </c>
      <c r="P313" s="464" t="s">
        <v>50</v>
      </c>
      <c r="Q313" s="464" t="s">
        <v>50</v>
      </c>
      <c r="R313" s="464" t="s">
        <v>50</v>
      </c>
      <c r="S313" s="464" t="s">
        <v>50</v>
      </c>
      <c r="T313" s="464" t="s">
        <v>50</v>
      </c>
    </row>
    <row r="314" spans="1:20" ht="20.100000000000001" customHeight="1">
      <c r="A314" s="308" t="s">
        <v>1240</v>
      </c>
      <c r="B314" s="309"/>
      <c r="C314" s="309"/>
      <c r="D314" s="309"/>
      <c r="E314" s="309"/>
      <c r="F314" s="308" t="s">
        <v>50</v>
      </c>
      <c r="G314" s="464" t="s">
        <v>2248</v>
      </c>
      <c r="H314" s="464" t="s">
        <v>949</v>
      </c>
      <c r="I314" s="464" t="s">
        <v>1241</v>
      </c>
      <c r="J314" s="464" t="s">
        <v>50</v>
      </c>
      <c r="K314" s="464" t="s">
        <v>50</v>
      </c>
      <c r="M314" s="464" t="s">
        <v>50</v>
      </c>
      <c r="O314" s="464" t="s">
        <v>50</v>
      </c>
      <c r="P314" s="464" t="s">
        <v>50</v>
      </c>
      <c r="Q314" s="464" t="s">
        <v>50</v>
      </c>
      <c r="R314" s="464" t="s">
        <v>50</v>
      </c>
      <c r="S314" s="464" t="s">
        <v>50</v>
      </c>
      <c r="T314" s="464" t="s">
        <v>50</v>
      </c>
    </row>
    <row r="315" spans="1:20" ht="20.100000000000001" customHeight="1">
      <c r="A315" s="308" t="s">
        <v>948</v>
      </c>
      <c r="B315" s="309"/>
      <c r="C315" s="309"/>
      <c r="D315" s="309"/>
      <c r="E315" s="309"/>
      <c r="F315" s="308" t="s">
        <v>50</v>
      </c>
      <c r="G315" s="464" t="s">
        <v>2248</v>
      </c>
      <c r="H315" s="464" t="s">
        <v>949</v>
      </c>
      <c r="I315" s="464" t="s">
        <v>948</v>
      </c>
      <c r="J315" s="464" t="s">
        <v>50</v>
      </c>
      <c r="K315" s="464" t="s">
        <v>50</v>
      </c>
      <c r="M315" s="464" t="s">
        <v>50</v>
      </c>
      <c r="O315" s="464" t="s">
        <v>50</v>
      </c>
      <c r="P315" s="464" t="s">
        <v>50</v>
      </c>
      <c r="Q315" s="464" t="s">
        <v>50</v>
      </c>
      <c r="R315" s="464" t="s">
        <v>50</v>
      </c>
      <c r="S315" s="464" t="s">
        <v>50</v>
      </c>
      <c r="T315" s="464" t="s">
        <v>50</v>
      </c>
    </row>
    <row r="316" spans="1:20" ht="20.100000000000001" customHeight="1">
      <c r="A316" s="308" t="s">
        <v>1242</v>
      </c>
      <c r="B316" s="309"/>
      <c r="C316" s="309"/>
      <c r="D316" s="309"/>
      <c r="E316" s="309"/>
      <c r="F316" s="308" t="s">
        <v>50</v>
      </c>
      <c r="G316" s="464" t="s">
        <v>2248</v>
      </c>
      <c r="H316" s="464" t="s">
        <v>949</v>
      </c>
      <c r="I316" s="464" t="s">
        <v>1243</v>
      </c>
      <c r="J316" s="464" t="s">
        <v>50</v>
      </c>
      <c r="K316" s="464" t="s">
        <v>50</v>
      </c>
      <c r="M316" s="464" t="s">
        <v>50</v>
      </c>
      <c r="O316" s="464" t="s">
        <v>50</v>
      </c>
      <c r="P316" s="464" t="s">
        <v>50</v>
      </c>
      <c r="Q316" s="464" t="s">
        <v>50</v>
      </c>
      <c r="R316" s="464" t="s">
        <v>50</v>
      </c>
      <c r="S316" s="464" t="s">
        <v>50</v>
      </c>
      <c r="T316" s="464" t="s">
        <v>50</v>
      </c>
    </row>
    <row r="317" spans="1:20" ht="20.100000000000001" customHeight="1">
      <c r="A317" s="308" t="s">
        <v>1244</v>
      </c>
      <c r="B317" s="309"/>
      <c r="C317" s="309"/>
      <c r="D317" s="309"/>
      <c r="E317" s="309"/>
      <c r="F317" s="308" t="s">
        <v>50</v>
      </c>
      <c r="G317" s="464" t="s">
        <v>2248</v>
      </c>
      <c r="H317" s="464" t="s">
        <v>949</v>
      </c>
      <c r="I317" s="464" t="s">
        <v>1245</v>
      </c>
      <c r="J317" s="464" t="s">
        <v>50</v>
      </c>
      <c r="K317" s="464" t="s">
        <v>50</v>
      </c>
      <c r="M317" s="464" t="s">
        <v>50</v>
      </c>
      <c r="O317" s="464" t="s">
        <v>50</v>
      </c>
      <c r="P317" s="464" t="s">
        <v>50</v>
      </c>
      <c r="Q317" s="464" t="s">
        <v>50</v>
      </c>
      <c r="R317" s="464" t="s">
        <v>50</v>
      </c>
      <c r="S317" s="464" t="s">
        <v>50</v>
      </c>
      <c r="T317" s="464" t="s">
        <v>50</v>
      </c>
    </row>
    <row r="318" spans="1:20" ht="20.100000000000001" customHeight="1">
      <c r="A318" s="308" t="s">
        <v>1341</v>
      </c>
      <c r="B318" s="309"/>
      <c r="C318" s="309"/>
      <c r="D318" s="309"/>
      <c r="E318" s="309"/>
      <c r="F318" s="308" t="s">
        <v>50</v>
      </c>
      <c r="G318" s="464" t="s">
        <v>2248</v>
      </c>
      <c r="H318" s="464" t="s">
        <v>949</v>
      </c>
      <c r="I318" s="464" t="s">
        <v>1247</v>
      </c>
      <c r="J318" s="464" t="s">
        <v>50</v>
      </c>
      <c r="K318" s="464" t="s">
        <v>50</v>
      </c>
      <c r="M318" s="464" t="s">
        <v>50</v>
      </c>
      <c r="O318" s="464" t="s">
        <v>50</v>
      </c>
      <c r="P318" s="464" t="s">
        <v>50</v>
      </c>
      <c r="Q318" s="464" t="s">
        <v>50</v>
      </c>
      <c r="R318" s="464" t="s">
        <v>50</v>
      </c>
      <c r="S318" s="464" t="s">
        <v>50</v>
      </c>
      <c r="T318" s="464" t="s">
        <v>50</v>
      </c>
    </row>
    <row r="319" spans="1:20" ht="20.100000000000001" customHeight="1">
      <c r="A319" s="308" t="s">
        <v>1248</v>
      </c>
      <c r="B319" s="309"/>
      <c r="C319" s="309"/>
      <c r="D319" s="309"/>
      <c r="E319" s="309"/>
      <c r="F319" s="308" t="s">
        <v>50</v>
      </c>
      <c r="G319" s="464" t="s">
        <v>2248</v>
      </c>
      <c r="H319" s="464" t="s">
        <v>949</v>
      </c>
      <c r="I319" s="464" t="s">
        <v>1249</v>
      </c>
      <c r="J319" s="464" t="s">
        <v>50</v>
      </c>
      <c r="K319" s="464" t="s">
        <v>50</v>
      </c>
      <c r="M319" s="464" t="s">
        <v>50</v>
      </c>
      <c r="O319" s="464" t="s">
        <v>50</v>
      </c>
      <c r="P319" s="464" t="s">
        <v>50</v>
      </c>
      <c r="Q319" s="464" t="s">
        <v>50</v>
      </c>
      <c r="R319" s="464" t="s">
        <v>50</v>
      </c>
      <c r="S319" s="464" t="s">
        <v>50</v>
      </c>
      <c r="T319" s="464" t="s">
        <v>50</v>
      </c>
    </row>
    <row r="320" spans="1:20" ht="20.100000000000001" customHeight="1">
      <c r="A320" s="308" t="s">
        <v>1342</v>
      </c>
      <c r="B320" s="309"/>
      <c r="C320" s="309"/>
      <c r="D320" s="309"/>
      <c r="E320" s="309"/>
      <c r="F320" s="308" t="s">
        <v>50</v>
      </c>
      <c r="G320" s="464" t="s">
        <v>2248</v>
      </c>
      <c r="H320" s="464" t="s">
        <v>949</v>
      </c>
      <c r="I320" s="464" t="s">
        <v>1251</v>
      </c>
      <c r="J320" s="464" t="s">
        <v>50</v>
      </c>
      <c r="K320" s="464" t="s">
        <v>50</v>
      </c>
      <c r="M320" s="464" t="s">
        <v>50</v>
      </c>
      <c r="O320" s="464" t="s">
        <v>50</v>
      </c>
      <c r="P320" s="464" t="s">
        <v>50</v>
      </c>
      <c r="Q320" s="464" t="s">
        <v>50</v>
      </c>
      <c r="R320" s="464" t="s">
        <v>50</v>
      </c>
      <c r="S320" s="464" t="s">
        <v>50</v>
      </c>
      <c r="T320" s="464" t="s">
        <v>50</v>
      </c>
    </row>
    <row r="321" spans="1:20" ht="20.100000000000001" customHeight="1">
      <c r="A321" s="308" t="s">
        <v>1252</v>
      </c>
      <c r="B321" s="309"/>
      <c r="C321" s="309"/>
      <c r="D321" s="309"/>
      <c r="E321" s="309"/>
      <c r="F321" s="308" t="s">
        <v>50</v>
      </c>
      <c r="G321" s="464" t="s">
        <v>2248</v>
      </c>
      <c r="H321" s="464" t="s">
        <v>949</v>
      </c>
      <c r="I321" s="464" t="s">
        <v>1253</v>
      </c>
      <c r="J321" s="464" t="s">
        <v>50</v>
      </c>
      <c r="K321" s="464" t="s">
        <v>50</v>
      </c>
      <c r="M321" s="464" t="s">
        <v>50</v>
      </c>
      <c r="O321" s="464" t="s">
        <v>50</v>
      </c>
      <c r="P321" s="464" t="s">
        <v>50</v>
      </c>
      <c r="Q321" s="464" t="s">
        <v>50</v>
      </c>
      <c r="R321" s="464" t="s">
        <v>50</v>
      </c>
      <c r="S321" s="464" t="s">
        <v>50</v>
      </c>
      <c r="T321" s="464" t="s">
        <v>50</v>
      </c>
    </row>
    <row r="322" spans="1:20" ht="20.100000000000001" customHeight="1">
      <c r="A322" s="308" t="s">
        <v>1343</v>
      </c>
      <c r="B322" s="309"/>
      <c r="C322" s="309"/>
      <c r="D322" s="309"/>
      <c r="E322" s="309"/>
      <c r="F322" s="308" t="s">
        <v>50</v>
      </c>
      <c r="G322" s="464" t="s">
        <v>2248</v>
      </c>
      <c r="H322" s="464" t="s">
        <v>949</v>
      </c>
      <c r="I322" s="464" t="s">
        <v>1255</v>
      </c>
      <c r="J322" s="464" t="s">
        <v>50</v>
      </c>
      <c r="K322" s="464" t="s">
        <v>50</v>
      </c>
      <c r="M322" s="464" t="s">
        <v>50</v>
      </c>
      <c r="O322" s="464" t="s">
        <v>50</v>
      </c>
      <c r="P322" s="464" t="s">
        <v>50</v>
      </c>
      <c r="Q322" s="464" t="s">
        <v>50</v>
      </c>
      <c r="R322" s="464" t="s">
        <v>50</v>
      </c>
      <c r="S322" s="464" t="s">
        <v>50</v>
      </c>
      <c r="T322" s="464" t="s">
        <v>50</v>
      </c>
    </row>
    <row r="323" spans="1:20" ht="20.100000000000001" customHeight="1">
      <c r="A323" s="308" t="s">
        <v>1256</v>
      </c>
      <c r="B323" s="309"/>
      <c r="C323" s="309"/>
      <c r="D323" s="309"/>
      <c r="E323" s="309"/>
      <c r="F323" s="308" t="s">
        <v>50</v>
      </c>
      <c r="G323" s="464" t="s">
        <v>2248</v>
      </c>
      <c r="H323" s="464" t="s">
        <v>949</v>
      </c>
      <c r="I323" s="464" t="s">
        <v>1257</v>
      </c>
      <c r="J323" s="464" t="s">
        <v>50</v>
      </c>
      <c r="K323" s="464" t="s">
        <v>50</v>
      </c>
      <c r="M323" s="464" t="s">
        <v>50</v>
      </c>
      <c r="O323" s="464" t="s">
        <v>50</v>
      </c>
      <c r="P323" s="464" t="s">
        <v>50</v>
      </c>
      <c r="Q323" s="464" t="s">
        <v>50</v>
      </c>
      <c r="R323" s="464" t="s">
        <v>50</v>
      </c>
      <c r="S323" s="464" t="s">
        <v>50</v>
      </c>
      <c r="T323" s="464" t="s">
        <v>50</v>
      </c>
    </row>
    <row r="324" spans="1:20" ht="20.100000000000001" customHeight="1">
      <c r="A324" s="308" t="s">
        <v>1344</v>
      </c>
      <c r="B324" s="309"/>
      <c r="C324" s="309"/>
      <c r="D324" s="309"/>
      <c r="E324" s="309"/>
      <c r="F324" s="308" t="s">
        <v>50</v>
      </c>
      <c r="G324" s="464" t="s">
        <v>2248</v>
      </c>
      <c r="H324" s="464" t="s">
        <v>949</v>
      </c>
      <c r="I324" s="464" t="s">
        <v>1259</v>
      </c>
      <c r="J324" s="464" t="s">
        <v>50</v>
      </c>
      <c r="K324" s="464" t="s">
        <v>50</v>
      </c>
      <c r="M324" s="464" t="s">
        <v>50</v>
      </c>
      <c r="O324" s="464" t="s">
        <v>50</v>
      </c>
      <c r="P324" s="464" t="s">
        <v>50</v>
      </c>
      <c r="Q324" s="464" t="s">
        <v>50</v>
      </c>
      <c r="R324" s="464" t="s">
        <v>50</v>
      </c>
      <c r="S324" s="464" t="s">
        <v>50</v>
      </c>
      <c r="T324" s="464" t="s">
        <v>50</v>
      </c>
    </row>
    <row r="325" spans="1:20" ht="20.100000000000001" customHeight="1">
      <c r="A325" s="308" t="s">
        <v>1260</v>
      </c>
      <c r="B325" s="309"/>
      <c r="C325" s="309"/>
      <c r="D325" s="309"/>
      <c r="E325" s="309"/>
      <c r="F325" s="308" t="s">
        <v>50</v>
      </c>
      <c r="G325" s="464" t="s">
        <v>2248</v>
      </c>
      <c r="H325" s="464" t="s">
        <v>949</v>
      </c>
      <c r="I325" s="464" t="s">
        <v>1261</v>
      </c>
      <c r="J325" s="464" t="s">
        <v>50</v>
      </c>
      <c r="K325" s="464" t="s">
        <v>50</v>
      </c>
      <c r="M325" s="464" t="s">
        <v>50</v>
      </c>
      <c r="O325" s="464" t="s">
        <v>50</v>
      </c>
      <c r="P325" s="464" t="s">
        <v>50</v>
      </c>
      <c r="Q325" s="464" t="s">
        <v>50</v>
      </c>
      <c r="R325" s="464" t="s">
        <v>50</v>
      </c>
      <c r="S325" s="464" t="s">
        <v>50</v>
      </c>
      <c r="T325" s="464" t="s">
        <v>50</v>
      </c>
    </row>
    <row r="326" spans="1:20" ht="20.100000000000001" customHeight="1">
      <c r="A326" s="308" t="s">
        <v>1345</v>
      </c>
      <c r="B326" s="309"/>
      <c r="C326" s="309"/>
      <c r="D326" s="309"/>
      <c r="E326" s="309"/>
      <c r="F326" s="308" t="s">
        <v>50</v>
      </c>
      <c r="G326" s="464" t="s">
        <v>2248</v>
      </c>
      <c r="H326" s="464" t="s">
        <v>949</v>
      </c>
      <c r="I326" s="464" t="s">
        <v>1346</v>
      </c>
      <c r="J326" s="464" t="s">
        <v>50</v>
      </c>
      <c r="K326" s="464" t="s">
        <v>50</v>
      </c>
      <c r="M326" s="464" t="s">
        <v>50</v>
      </c>
      <c r="O326" s="464" t="s">
        <v>50</v>
      </c>
      <c r="P326" s="464" t="s">
        <v>50</v>
      </c>
      <c r="Q326" s="464" t="s">
        <v>50</v>
      </c>
      <c r="R326" s="464" t="s">
        <v>50</v>
      </c>
      <c r="S326" s="464" t="s">
        <v>50</v>
      </c>
      <c r="T326" s="464" t="s">
        <v>50</v>
      </c>
    </row>
    <row r="327" spans="1:20" ht="20.100000000000001" customHeight="1">
      <c r="A327" s="308" t="s">
        <v>960</v>
      </c>
      <c r="B327" s="309"/>
      <c r="C327" s="309"/>
      <c r="D327" s="309"/>
      <c r="E327" s="309"/>
      <c r="F327" s="308" t="s">
        <v>50</v>
      </c>
      <c r="G327" s="464" t="s">
        <v>2248</v>
      </c>
      <c r="H327" s="464" t="s">
        <v>949</v>
      </c>
      <c r="I327" s="464" t="s">
        <v>961</v>
      </c>
      <c r="J327" s="464" t="s">
        <v>50</v>
      </c>
      <c r="K327" s="464" t="s">
        <v>50</v>
      </c>
      <c r="M327" s="464" t="s">
        <v>50</v>
      </c>
      <c r="O327" s="464" t="s">
        <v>50</v>
      </c>
      <c r="P327" s="464" t="s">
        <v>50</v>
      </c>
      <c r="Q327" s="464" t="s">
        <v>50</v>
      </c>
      <c r="R327" s="464" t="s">
        <v>50</v>
      </c>
      <c r="S327" s="464" t="s">
        <v>50</v>
      </c>
      <c r="T327" s="464" t="s">
        <v>50</v>
      </c>
    </row>
    <row r="328" spans="1:20" ht="20.100000000000001" customHeight="1">
      <c r="A328" s="308" t="s">
        <v>948</v>
      </c>
      <c r="B328" s="309"/>
      <c r="C328" s="309"/>
      <c r="D328" s="309"/>
      <c r="E328" s="309"/>
      <c r="F328" s="308" t="s">
        <v>50</v>
      </c>
      <c r="G328" s="464" t="s">
        <v>2248</v>
      </c>
      <c r="H328" s="464" t="s">
        <v>949</v>
      </c>
      <c r="I328" s="464" t="s">
        <v>50</v>
      </c>
      <c r="J328" s="464" t="s">
        <v>50</v>
      </c>
      <c r="K328" s="464" t="s">
        <v>50</v>
      </c>
      <c r="M328" s="464" t="s">
        <v>50</v>
      </c>
      <c r="O328" s="464" t="s">
        <v>50</v>
      </c>
      <c r="P328" s="464" t="s">
        <v>50</v>
      </c>
      <c r="Q328" s="464" t="s">
        <v>50</v>
      </c>
      <c r="R328" s="464" t="s">
        <v>50</v>
      </c>
      <c r="S328" s="464" t="s">
        <v>50</v>
      </c>
      <c r="T328" s="464" t="s">
        <v>50</v>
      </c>
    </row>
    <row r="329" spans="1:20" ht="20.100000000000001" customHeight="1">
      <c r="A329" s="308" t="s">
        <v>1347</v>
      </c>
      <c r="B329" s="309"/>
      <c r="C329" s="309"/>
      <c r="D329" s="309"/>
      <c r="E329" s="309"/>
      <c r="F329" s="308" t="s">
        <v>50</v>
      </c>
      <c r="G329" s="464" t="s">
        <v>2248</v>
      </c>
      <c r="H329" s="464" t="s">
        <v>949</v>
      </c>
      <c r="I329" s="464" t="s">
        <v>1348</v>
      </c>
      <c r="J329" s="464" t="s">
        <v>50</v>
      </c>
      <c r="K329" s="464" t="s">
        <v>50</v>
      </c>
      <c r="M329" s="464" t="s">
        <v>50</v>
      </c>
      <c r="O329" s="464" t="s">
        <v>50</v>
      </c>
      <c r="P329" s="464" t="s">
        <v>50</v>
      </c>
      <c r="Q329" s="464" t="s">
        <v>50</v>
      </c>
      <c r="R329" s="464" t="s">
        <v>50</v>
      </c>
      <c r="S329" s="464" t="s">
        <v>50</v>
      </c>
      <c r="T329" s="464" t="s">
        <v>50</v>
      </c>
    </row>
    <row r="330" spans="1:20" ht="20.100000000000001" customHeight="1">
      <c r="A330" s="308" t="s">
        <v>1266</v>
      </c>
      <c r="B330" s="309"/>
      <c r="C330" s="309"/>
      <c r="D330" s="309"/>
      <c r="E330" s="309"/>
      <c r="F330" s="308" t="s">
        <v>50</v>
      </c>
      <c r="G330" s="464" t="s">
        <v>2248</v>
      </c>
      <c r="H330" s="464" t="s">
        <v>949</v>
      </c>
      <c r="I330" s="464" t="s">
        <v>1267</v>
      </c>
      <c r="J330" s="464" t="s">
        <v>50</v>
      </c>
      <c r="K330" s="464" t="s">
        <v>50</v>
      </c>
      <c r="M330" s="464" t="s">
        <v>50</v>
      </c>
      <c r="O330" s="464" t="s">
        <v>50</v>
      </c>
      <c r="P330" s="464" t="s">
        <v>50</v>
      </c>
      <c r="Q330" s="464" t="s">
        <v>50</v>
      </c>
      <c r="R330" s="464" t="s">
        <v>50</v>
      </c>
      <c r="S330" s="464" t="s">
        <v>50</v>
      </c>
      <c r="T330" s="464" t="s">
        <v>50</v>
      </c>
    </row>
    <row r="331" spans="1:20" ht="20.100000000000001" customHeight="1">
      <c r="A331" s="308" t="s">
        <v>960</v>
      </c>
      <c r="B331" s="309"/>
      <c r="C331" s="309"/>
      <c r="D331" s="309"/>
      <c r="E331" s="309"/>
      <c r="F331" s="308" t="s">
        <v>50</v>
      </c>
      <c r="G331" s="464" t="s">
        <v>2248</v>
      </c>
      <c r="H331" s="464" t="s">
        <v>949</v>
      </c>
      <c r="I331" s="464" t="s">
        <v>961</v>
      </c>
      <c r="J331" s="464" t="s">
        <v>50</v>
      </c>
      <c r="K331" s="464" t="s">
        <v>50</v>
      </c>
      <c r="M331" s="464" t="s">
        <v>50</v>
      </c>
      <c r="O331" s="464" t="s">
        <v>50</v>
      </c>
      <c r="P331" s="464" t="s">
        <v>50</v>
      </c>
      <c r="Q331" s="464" t="s">
        <v>50</v>
      </c>
      <c r="R331" s="464" t="s">
        <v>50</v>
      </c>
      <c r="S331" s="464" t="s">
        <v>50</v>
      </c>
      <c r="T331" s="464" t="s">
        <v>50</v>
      </c>
    </row>
    <row r="332" spans="1:20" ht="20.100000000000001" customHeight="1">
      <c r="A332" s="308" t="s">
        <v>948</v>
      </c>
      <c r="B332" s="309"/>
      <c r="C332" s="309"/>
      <c r="D332" s="309"/>
      <c r="E332" s="309"/>
      <c r="F332" s="308" t="s">
        <v>50</v>
      </c>
      <c r="G332" s="464" t="s">
        <v>2248</v>
      </c>
      <c r="H332" s="464" t="s">
        <v>949</v>
      </c>
      <c r="I332" s="464" t="s">
        <v>50</v>
      </c>
      <c r="J332" s="464" t="s">
        <v>50</v>
      </c>
      <c r="K332" s="464" t="s">
        <v>50</v>
      </c>
      <c r="M332" s="464" t="s">
        <v>50</v>
      </c>
      <c r="O332" s="464" t="s">
        <v>50</v>
      </c>
      <c r="P332" s="464" t="s">
        <v>50</v>
      </c>
      <c r="Q332" s="464" t="s">
        <v>50</v>
      </c>
      <c r="R332" s="464" t="s">
        <v>50</v>
      </c>
      <c r="S332" s="464" t="s">
        <v>50</v>
      </c>
      <c r="T332" s="464" t="s">
        <v>50</v>
      </c>
    </row>
    <row r="333" spans="1:20" ht="20.100000000000001" customHeight="1">
      <c r="A333" s="308" t="s">
        <v>1349</v>
      </c>
      <c r="B333" s="309"/>
      <c r="C333" s="309"/>
      <c r="D333" s="309"/>
      <c r="E333" s="309"/>
      <c r="F333" s="308" t="s">
        <v>50</v>
      </c>
      <c r="G333" s="464" t="s">
        <v>2248</v>
      </c>
      <c r="H333" s="464" t="s">
        <v>949</v>
      </c>
      <c r="I333" s="464" t="s">
        <v>1350</v>
      </c>
      <c r="J333" s="464" t="s">
        <v>50</v>
      </c>
      <c r="K333" s="464" t="s">
        <v>50</v>
      </c>
      <c r="M333" s="464" t="s">
        <v>50</v>
      </c>
      <c r="O333" s="464" t="s">
        <v>50</v>
      </c>
      <c r="P333" s="464" t="s">
        <v>50</v>
      </c>
      <c r="Q333" s="464" t="s">
        <v>50</v>
      </c>
      <c r="R333" s="464" t="s">
        <v>50</v>
      </c>
      <c r="S333" s="464" t="s">
        <v>50</v>
      </c>
      <c r="T333" s="464" t="s">
        <v>50</v>
      </c>
    </row>
    <row r="334" spans="1:20" ht="20.100000000000001" customHeight="1">
      <c r="A334" s="308" t="s">
        <v>1270</v>
      </c>
      <c r="B334" s="309"/>
      <c r="C334" s="309"/>
      <c r="D334" s="309"/>
      <c r="E334" s="309"/>
      <c r="F334" s="308" t="s">
        <v>50</v>
      </c>
      <c r="G334" s="464" t="s">
        <v>2248</v>
      </c>
      <c r="H334" s="464" t="s">
        <v>949</v>
      </c>
      <c r="I334" s="464" t="s">
        <v>1271</v>
      </c>
      <c r="J334" s="464" t="s">
        <v>50</v>
      </c>
      <c r="K334" s="464" t="s">
        <v>50</v>
      </c>
      <c r="M334" s="464" t="s">
        <v>50</v>
      </c>
      <c r="O334" s="464" t="s">
        <v>50</v>
      </c>
      <c r="P334" s="464" t="s">
        <v>50</v>
      </c>
      <c r="Q334" s="464" t="s">
        <v>50</v>
      </c>
      <c r="R334" s="464" t="s">
        <v>50</v>
      </c>
      <c r="S334" s="464" t="s">
        <v>50</v>
      </c>
      <c r="T334" s="464" t="s">
        <v>50</v>
      </c>
    </row>
    <row r="335" spans="1:20" ht="20.100000000000001" customHeight="1">
      <c r="A335" s="308" t="s">
        <v>1272</v>
      </c>
      <c r="B335" s="309"/>
      <c r="C335" s="309"/>
      <c r="D335" s="309"/>
      <c r="E335" s="309"/>
      <c r="F335" s="308" t="s">
        <v>50</v>
      </c>
      <c r="G335" s="464" t="s">
        <v>2248</v>
      </c>
      <c r="H335" s="464" t="s">
        <v>949</v>
      </c>
      <c r="I335" s="464" t="s">
        <v>1273</v>
      </c>
      <c r="J335" s="464" t="s">
        <v>50</v>
      </c>
      <c r="K335" s="464" t="s">
        <v>50</v>
      </c>
      <c r="M335" s="464" t="s">
        <v>50</v>
      </c>
      <c r="O335" s="464" t="s">
        <v>50</v>
      </c>
      <c r="P335" s="464" t="s">
        <v>50</v>
      </c>
      <c r="Q335" s="464" t="s">
        <v>50</v>
      </c>
      <c r="R335" s="464" t="s">
        <v>50</v>
      </c>
      <c r="S335" s="464" t="s">
        <v>50</v>
      </c>
      <c r="T335" s="464" t="s">
        <v>50</v>
      </c>
    </row>
    <row r="336" spans="1:20" ht="20.100000000000001" customHeight="1">
      <c r="A336" s="308" t="s">
        <v>960</v>
      </c>
      <c r="B336" s="309"/>
      <c r="C336" s="309"/>
      <c r="D336" s="309"/>
      <c r="E336" s="309"/>
      <c r="F336" s="308" t="s">
        <v>50</v>
      </c>
      <c r="G336" s="464" t="s">
        <v>2248</v>
      </c>
      <c r="H336" s="464" t="s">
        <v>949</v>
      </c>
      <c r="I336" s="464" t="s">
        <v>961</v>
      </c>
      <c r="J336" s="464" t="s">
        <v>50</v>
      </c>
      <c r="K336" s="464" t="s">
        <v>50</v>
      </c>
      <c r="M336" s="464" t="s">
        <v>50</v>
      </c>
      <c r="O336" s="464" t="s">
        <v>50</v>
      </c>
      <c r="P336" s="464" t="s">
        <v>50</v>
      </c>
      <c r="Q336" s="464" t="s">
        <v>50</v>
      </c>
      <c r="R336" s="464" t="s">
        <v>50</v>
      </c>
      <c r="S336" s="464" t="s">
        <v>50</v>
      </c>
      <c r="T336" s="464" t="s">
        <v>50</v>
      </c>
    </row>
    <row r="337" spans="1:20" ht="20.100000000000001" customHeight="1">
      <c r="A337" s="308" t="s">
        <v>948</v>
      </c>
      <c r="B337" s="309"/>
      <c r="C337" s="309"/>
      <c r="D337" s="309"/>
      <c r="E337" s="309"/>
      <c r="F337" s="308" t="s">
        <v>50</v>
      </c>
      <c r="G337" s="464" t="s">
        <v>2248</v>
      </c>
      <c r="H337" s="464" t="s">
        <v>949</v>
      </c>
      <c r="I337" s="464" t="s">
        <v>50</v>
      </c>
      <c r="J337" s="464" t="s">
        <v>50</v>
      </c>
      <c r="K337" s="464" t="s">
        <v>50</v>
      </c>
      <c r="M337" s="464" t="s">
        <v>50</v>
      </c>
      <c r="O337" s="464" t="s">
        <v>50</v>
      </c>
      <c r="P337" s="464" t="s">
        <v>50</v>
      </c>
      <c r="Q337" s="464" t="s">
        <v>50</v>
      </c>
      <c r="R337" s="464" t="s">
        <v>50</v>
      </c>
      <c r="S337" s="464" t="s">
        <v>50</v>
      </c>
      <c r="T337" s="464" t="s">
        <v>50</v>
      </c>
    </row>
    <row r="338" spans="1:20" ht="20.100000000000001" customHeight="1">
      <c r="A338" s="308" t="s">
        <v>1274</v>
      </c>
      <c r="B338" s="309"/>
      <c r="C338" s="309"/>
      <c r="D338" s="309"/>
      <c r="E338" s="309"/>
      <c r="F338" s="308" t="s">
        <v>50</v>
      </c>
      <c r="G338" s="464" t="s">
        <v>2248</v>
      </c>
      <c r="H338" s="464" t="s">
        <v>949</v>
      </c>
      <c r="I338" s="464" t="s">
        <v>1275</v>
      </c>
      <c r="J338" s="464" t="s">
        <v>50</v>
      </c>
      <c r="K338" s="464" t="s">
        <v>50</v>
      </c>
      <c r="M338" s="464" t="s">
        <v>50</v>
      </c>
      <c r="O338" s="464" t="s">
        <v>50</v>
      </c>
      <c r="P338" s="464" t="s">
        <v>50</v>
      </c>
      <c r="Q338" s="464" t="s">
        <v>50</v>
      </c>
      <c r="R338" s="464" t="s">
        <v>50</v>
      </c>
      <c r="S338" s="464" t="s">
        <v>50</v>
      </c>
      <c r="T338" s="464" t="s">
        <v>50</v>
      </c>
    </row>
    <row r="339" spans="1:20" ht="20.100000000000001" customHeight="1">
      <c r="A339" s="308" t="s">
        <v>948</v>
      </c>
      <c r="B339" s="309"/>
      <c r="C339" s="309"/>
      <c r="D339" s="309"/>
      <c r="E339" s="309"/>
      <c r="F339" s="308" t="s">
        <v>50</v>
      </c>
      <c r="G339" s="464" t="s">
        <v>2248</v>
      </c>
      <c r="H339" s="464" t="s">
        <v>949</v>
      </c>
      <c r="I339" s="464" t="s">
        <v>50</v>
      </c>
      <c r="J339" s="464" t="s">
        <v>50</v>
      </c>
      <c r="K339" s="464" t="s">
        <v>50</v>
      </c>
      <c r="M339" s="464" t="s">
        <v>50</v>
      </c>
      <c r="O339" s="464" t="s">
        <v>50</v>
      </c>
      <c r="P339" s="464" t="s">
        <v>50</v>
      </c>
      <c r="Q339" s="464" t="s">
        <v>50</v>
      </c>
      <c r="R339" s="464" t="s">
        <v>50</v>
      </c>
      <c r="S339" s="464" t="s">
        <v>50</v>
      </c>
      <c r="T339" s="464" t="s">
        <v>50</v>
      </c>
    </row>
    <row r="340" spans="1:20" ht="20.100000000000001" customHeight="1">
      <c r="A340" s="308" t="s">
        <v>1276</v>
      </c>
      <c r="B340" s="309"/>
      <c r="C340" s="309"/>
      <c r="D340" s="309"/>
      <c r="E340" s="309"/>
      <c r="F340" s="308" t="s">
        <v>50</v>
      </c>
      <c r="G340" s="464" t="s">
        <v>2248</v>
      </c>
      <c r="H340" s="464" t="s">
        <v>949</v>
      </c>
      <c r="I340" s="464" t="s">
        <v>1277</v>
      </c>
      <c r="J340" s="464" t="s">
        <v>50</v>
      </c>
      <c r="K340" s="464" t="s">
        <v>50</v>
      </c>
      <c r="M340" s="464" t="s">
        <v>50</v>
      </c>
      <c r="O340" s="464" t="s">
        <v>50</v>
      </c>
      <c r="P340" s="464" t="s">
        <v>50</v>
      </c>
      <c r="Q340" s="464" t="s">
        <v>50</v>
      </c>
      <c r="R340" s="464" t="s">
        <v>50</v>
      </c>
      <c r="S340" s="464" t="s">
        <v>50</v>
      </c>
      <c r="T340" s="464" t="s">
        <v>50</v>
      </c>
    </row>
    <row r="341" spans="1:20" ht="20.100000000000001" customHeight="1">
      <c r="A341" s="308" t="s">
        <v>1619</v>
      </c>
      <c r="B341" s="309"/>
      <c r="C341" s="309"/>
      <c r="D341" s="309"/>
      <c r="E341" s="309"/>
      <c r="F341" s="308" t="s">
        <v>50</v>
      </c>
      <c r="G341" s="464" t="s">
        <v>2248</v>
      </c>
      <c r="H341" s="464" t="s">
        <v>949</v>
      </c>
      <c r="I341" s="464" t="s">
        <v>1278</v>
      </c>
      <c r="J341" s="464" t="s">
        <v>50</v>
      </c>
      <c r="K341" s="464" t="s">
        <v>50</v>
      </c>
      <c r="M341" s="464" t="s">
        <v>50</v>
      </c>
      <c r="O341" s="464" t="s">
        <v>50</v>
      </c>
      <c r="P341" s="464" t="s">
        <v>50</v>
      </c>
      <c r="Q341" s="464" t="s">
        <v>50</v>
      </c>
      <c r="R341" s="464" t="s">
        <v>50</v>
      </c>
      <c r="S341" s="464" t="s">
        <v>50</v>
      </c>
      <c r="T341" s="464" t="s">
        <v>50</v>
      </c>
    </row>
    <row r="342" spans="1:20" ht="20.100000000000001" customHeight="1">
      <c r="A342" s="308" t="s">
        <v>1351</v>
      </c>
      <c r="B342" s="309"/>
      <c r="C342" s="309"/>
      <c r="D342" s="309"/>
      <c r="E342" s="309"/>
      <c r="F342" s="308" t="s">
        <v>50</v>
      </c>
      <c r="G342" s="464" t="s">
        <v>2248</v>
      </c>
      <c r="H342" s="464" t="s">
        <v>949</v>
      </c>
      <c r="I342" s="464" t="s">
        <v>1280</v>
      </c>
      <c r="J342" s="464" t="s">
        <v>50</v>
      </c>
      <c r="K342" s="464" t="s">
        <v>50</v>
      </c>
      <c r="M342" s="464" t="s">
        <v>50</v>
      </c>
      <c r="O342" s="464" t="s">
        <v>50</v>
      </c>
      <c r="P342" s="464" t="s">
        <v>50</v>
      </c>
      <c r="Q342" s="464" t="s">
        <v>50</v>
      </c>
      <c r="R342" s="464" t="s">
        <v>50</v>
      </c>
      <c r="S342" s="464" t="s">
        <v>50</v>
      </c>
      <c r="T342" s="464" t="s">
        <v>50</v>
      </c>
    </row>
    <row r="343" spans="1:20" ht="20.100000000000001" customHeight="1">
      <c r="A343" s="308" t="s">
        <v>1352</v>
      </c>
      <c r="B343" s="309"/>
      <c r="C343" s="309"/>
      <c r="D343" s="309"/>
      <c r="E343" s="309"/>
      <c r="F343" s="308" t="s">
        <v>50</v>
      </c>
      <c r="G343" s="464" t="s">
        <v>2248</v>
      </c>
      <c r="H343" s="464" t="s">
        <v>949</v>
      </c>
      <c r="I343" s="464" t="s">
        <v>1282</v>
      </c>
      <c r="J343" s="464" t="s">
        <v>50</v>
      </c>
      <c r="K343" s="464" t="s">
        <v>50</v>
      </c>
      <c r="M343" s="464" t="s">
        <v>50</v>
      </c>
      <c r="O343" s="464" t="s">
        <v>50</v>
      </c>
      <c r="P343" s="464" t="s">
        <v>50</v>
      </c>
      <c r="Q343" s="464" t="s">
        <v>50</v>
      </c>
      <c r="R343" s="464" t="s">
        <v>50</v>
      </c>
      <c r="S343" s="464" t="s">
        <v>50</v>
      </c>
      <c r="T343" s="464" t="s">
        <v>50</v>
      </c>
    </row>
    <row r="344" spans="1:20" ht="20.100000000000001" customHeight="1">
      <c r="A344" s="308" t="s">
        <v>960</v>
      </c>
      <c r="B344" s="309"/>
      <c r="C344" s="309"/>
      <c r="D344" s="309"/>
      <c r="E344" s="309"/>
      <c r="F344" s="308" t="s">
        <v>50</v>
      </c>
      <c r="G344" s="464" t="s">
        <v>2248</v>
      </c>
      <c r="H344" s="464" t="s">
        <v>949</v>
      </c>
      <c r="I344" s="464" t="s">
        <v>961</v>
      </c>
      <c r="J344" s="464" t="s">
        <v>50</v>
      </c>
      <c r="K344" s="464" t="s">
        <v>50</v>
      </c>
      <c r="M344" s="464" t="s">
        <v>50</v>
      </c>
      <c r="O344" s="464" t="s">
        <v>50</v>
      </c>
      <c r="P344" s="464" t="s">
        <v>50</v>
      </c>
      <c r="Q344" s="464" t="s">
        <v>50</v>
      </c>
      <c r="R344" s="464" t="s">
        <v>50</v>
      </c>
      <c r="S344" s="464" t="s">
        <v>50</v>
      </c>
      <c r="T344" s="464" t="s">
        <v>50</v>
      </c>
    </row>
    <row r="345" spans="1:20" ht="20.100000000000001" customHeight="1">
      <c r="A345" s="308" t="s">
        <v>948</v>
      </c>
      <c r="B345" s="309"/>
      <c r="C345" s="309"/>
      <c r="D345" s="309"/>
      <c r="E345" s="309"/>
      <c r="F345" s="308" t="s">
        <v>50</v>
      </c>
      <c r="G345" s="464" t="s">
        <v>2248</v>
      </c>
      <c r="H345" s="464" t="s">
        <v>949</v>
      </c>
      <c r="I345" s="464" t="s">
        <v>50</v>
      </c>
      <c r="J345" s="464" t="s">
        <v>50</v>
      </c>
      <c r="K345" s="464" t="s">
        <v>50</v>
      </c>
      <c r="M345" s="464" t="s">
        <v>50</v>
      </c>
      <c r="O345" s="464" t="s">
        <v>50</v>
      </c>
      <c r="P345" s="464" t="s">
        <v>50</v>
      </c>
      <c r="Q345" s="464" t="s">
        <v>50</v>
      </c>
      <c r="R345" s="464" t="s">
        <v>50</v>
      </c>
      <c r="S345" s="464" t="s">
        <v>50</v>
      </c>
      <c r="T345" s="464" t="s">
        <v>50</v>
      </c>
    </row>
    <row r="346" spans="1:20" ht="20.100000000000001" customHeight="1">
      <c r="A346" s="308" t="s">
        <v>1283</v>
      </c>
      <c r="B346" s="309"/>
      <c r="C346" s="309"/>
      <c r="D346" s="309"/>
      <c r="E346" s="309"/>
      <c r="F346" s="308" t="s">
        <v>50</v>
      </c>
      <c r="G346" s="464" t="s">
        <v>2248</v>
      </c>
      <c r="H346" s="464" t="s">
        <v>949</v>
      </c>
      <c r="I346" s="464" t="s">
        <v>1284</v>
      </c>
      <c r="J346" s="464" t="s">
        <v>50</v>
      </c>
      <c r="K346" s="464" t="s">
        <v>50</v>
      </c>
      <c r="M346" s="464" t="s">
        <v>50</v>
      </c>
      <c r="O346" s="464" t="s">
        <v>50</v>
      </c>
      <c r="P346" s="464" t="s">
        <v>50</v>
      </c>
      <c r="Q346" s="464" t="s">
        <v>50</v>
      </c>
      <c r="R346" s="464" t="s">
        <v>50</v>
      </c>
      <c r="S346" s="464" t="s">
        <v>50</v>
      </c>
      <c r="T346" s="464" t="s">
        <v>50</v>
      </c>
    </row>
    <row r="347" spans="1:20" ht="20.100000000000001" customHeight="1">
      <c r="A347" s="308" t="s">
        <v>1353</v>
      </c>
      <c r="B347" s="309"/>
      <c r="C347" s="309"/>
      <c r="D347" s="309"/>
      <c r="E347" s="309"/>
      <c r="F347" s="308" t="s">
        <v>50</v>
      </c>
      <c r="G347" s="464" t="s">
        <v>2248</v>
      </c>
      <c r="H347" s="464" t="s">
        <v>949</v>
      </c>
      <c r="I347" s="464" t="s">
        <v>1286</v>
      </c>
      <c r="J347" s="464" t="s">
        <v>50</v>
      </c>
      <c r="K347" s="464" t="s">
        <v>50</v>
      </c>
      <c r="M347" s="464" t="s">
        <v>50</v>
      </c>
      <c r="O347" s="464" t="s">
        <v>50</v>
      </c>
      <c r="P347" s="464" t="s">
        <v>50</v>
      </c>
      <c r="Q347" s="464" t="s">
        <v>50</v>
      </c>
      <c r="R347" s="464" t="s">
        <v>50</v>
      </c>
      <c r="S347" s="464" t="s">
        <v>50</v>
      </c>
      <c r="T347" s="464" t="s">
        <v>50</v>
      </c>
    </row>
    <row r="348" spans="1:20" ht="20.100000000000001" customHeight="1">
      <c r="A348" s="308" t="s">
        <v>1354</v>
      </c>
      <c r="B348" s="309"/>
      <c r="C348" s="309"/>
      <c r="D348" s="309"/>
      <c r="E348" s="309"/>
      <c r="F348" s="308" t="s">
        <v>50</v>
      </c>
      <c r="G348" s="464" t="s">
        <v>2248</v>
      </c>
      <c r="H348" s="464" t="s">
        <v>949</v>
      </c>
      <c r="I348" s="464" t="s">
        <v>1288</v>
      </c>
      <c r="J348" s="464" t="s">
        <v>50</v>
      </c>
      <c r="K348" s="464" t="s">
        <v>50</v>
      </c>
      <c r="M348" s="464" t="s">
        <v>50</v>
      </c>
      <c r="O348" s="464" t="s">
        <v>50</v>
      </c>
      <c r="P348" s="464" t="s">
        <v>50</v>
      </c>
      <c r="Q348" s="464" t="s">
        <v>50</v>
      </c>
      <c r="R348" s="464" t="s">
        <v>50</v>
      </c>
      <c r="S348" s="464" t="s">
        <v>50</v>
      </c>
      <c r="T348" s="464" t="s">
        <v>50</v>
      </c>
    </row>
    <row r="349" spans="1:20" ht="20.100000000000001" customHeight="1">
      <c r="A349" s="308" t="s">
        <v>1355</v>
      </c>
      <c r="B349" s="309"/>
      <c r="C349" s="309"/>
      <c r="D349" s="309"/>
      <c r="E349" s="309"/>
      <c r="F349" s="308" t="s">
        <v>50</v>
      </c>
      <c r="G349" s="464" t="s">
        <v>2248</v>
      </c>
      <c r="H349" s="464" t="s">
        <v>949</v>
      </c>
      <c r="I349" s="464" t="s">
        <v>1290</v>
      </c>
      <c r="J349" s="464" t="s">
        <v>50</v>
      </c>
      <c r="K349" s="464" t="s">
        <v>50</v>
      </c>
      <c r="M349" s="464" t="s">
        <v>50</v>
      </c>
      <c r="O349" s="464" t="s">
        <v>50</v>
      </c>
      <c r="P349" s="464" t="s">
        <v>50</v>
      </c>
      <c r="Q349" s="464" t="s">
        <v>50</v>
      </c>
      <c r="R349" s="464" t="s">
        <v>50</v>
      </c>
      <c r="S349" s="464" t="s">
        <v>50</v>
      </c>
      <c r="T349" s="464" t="s">
        <v>50</v>
      </c>
    </row>
    <row r="350" spans="1:20" ht="20.100000000000001" customHeight="1">
      <c r="A350" s="308" t="s">
        <v>960</v>
      </c>
      <c r="B350" s="309"/>
      <c r="C350" s="309"/>
      <c r="D350" s="309"/>
      <c r="E350" s="309"/>
      <c r="F350" s="308" t="s">
        <v>50</v>
      </c>
      <c r="G350" s="464" t="s">
        <v>2248</v>
      </c>
      <c r="H350" s="464" t="s">
        <v>949</v>
      </c>
      <c r="I350" s="464" t="s">
        <v>961</v>
      </c>
      <c r="J350" s="464" t="s">
        <v>50</v>
      </c>
      <c r="K350" s="464" t="s">
        <v>50</v>
      </c>
      <c r="M350" s="464" t="s">
        <v>50</v>
      </c>
      <c r="O350" s="464" t="s">
        <v>50</v>
      </c>
      <c r="P350" s="464" t="s">
        <v>50</v>
      </c>
      <c r="Q350" s="464" t="s">
        <v>50</v>
      </c>
      <c r="R350" s="464" t="s">
        <v>50</v>
      </c>
      <c r="S350" s="464" t="s">
        <v>50</v>
      </c>
      <c r="T350" s="464" t="s">
        <v>50</v>
      </c>
    </row>
    <row r="351" spans="1:20" ht="20.100000000000001" customHeight="1">
      <c r="A351" s="308" t="s">
        <v>948</v>
      </c>
      <c r="B351" s="309"/>
      <c r="C351" s="309"/>
      <c r="D351" s="309"/>
      <c r="E351" s="309"/>
      <c r="F351" s="308" t="s">
        <v>50</v>
      </c>
      <c r="G351" s="464" t="s">
        <v>2248</v>
      </c>
      <c r="H351" s="464" t="s">
        <v>949</v>
      </c>
      <c r="I351" s="464" t="s">
        <v>50</v>
      </c>
      <c r="J351" s="464" t="s">
        <v>50</v>
      </c>
      <c r="K351" s="464" t="s">
        <v>50</v>
      </c>
      <c r="M351" s="464" t="s">
        <v>50</v>
      </c>
      <c r="O351" s="464" t="s">
        <v>50</v>
      </c>
      <c r="P351" s="464" t="s">
        <v>50</v>
      </c>
      <c r="Q351" s="464" t="s">
        <v>50</v>
      </c>
      <c r="R351" s="464" t="s">
        <v>50</v>
      </c>
      <c r="S351" s="464" t="s">
        <v>50</v>
      </c>
      <c r="T351" s="464" t="s">
        <v>50</v>
      </c>
    </row>
    <row r="352" spans="1:20" ht="20.100000000000001" customHeight="1">
      <c r="A352" s="308" t="s">
        <v>1291</v>
      </c>
      <c r="B352" s="309"/>
      <c r="C352" s="309"/>
      <c r="D352" s="309"/>
      <c r="E352" s="309"/>
      <c r="F352" s="308" t="s">
        <v>50</v>
      </c>
      <c r="G352" s="464" t="s">
        <v>2248</v>
      </c>
      <c r="H352" s="464" t="s">
        <v>949</v>
      </c>
      <c r="I352" s="464" t="s">
        <v>1292</v>
      </c>
      <c r="J352" s="464" t="s">
        <v>50</v>
      </c>
      <c r="K352" s="464" t="s">
        <v>50</v>
      </c>
      <c r="M352" s="464" t="s">
        <v>50</v>
      </c>
      <c r="O352" s="464" t="s">
        <v>50</v>
      </c>
      <c r="P352" s="464" t="s">
        <v>50</v>
      </c>
      <c r="Q352" s="464" t="s">
        <v>50</v>
      </c>
      <c r="R352" s="464" t="s">
        <v>50</v>
      </c>
      <c r="S352" s="464" t="s">
        <v>50</v>
      </c>
      <c r="T352" s="464" t="s">
        <v>50</v>
      </c>
    </row>
    <row r="353" spans="1:20" ht="20.100000000000001" customHeight="1">
      <c r="A353" s="308" t="s">
        <v>1620</v>
      </c>
      <c r="B353" s="309"/>
      <c r="C353" s="309"/>
      <c r="D353" s="309"/>
      <c r="E353" s="309"/>
      <c r="F353" s="308" t="s">
        <v>50</v>
      </c>
      <c r="G353" s="464" t="s">
        <v>2248</v>
      </c>
      <c r="H353" s="464" t="s">
        <v>949</v>
      </c>
      <c r="I353" s="464" t="s">
        <v>1293</v>
      </c>
      <c r="J353" s="464" t="s">
        <v>50</v>
      </c>
      <c r="K353" s="464" t="s">
        <v>50</v>
      </c>
      <c r="M353" s="464" t="s">
        <v>50</v>
      </c>
      <c r="O353" s="464" t="s">
        <v>50</v>
      </c>
      <c r="P353" s="464" t="s">
        <v>50</v>
      </c>
      <c r="Q353" s="464" t="s">
        <v>50</v>
      </c>
      <c r="R353" s="464" t="s">
        <v>50</v>
      </c>
      <c r="S353" s="464" t="s">
        <v>50</v>
      </c>
      <c r="T353" s="464" t="s">
        <v>50</v>
      </c>
    </row>
    <row r="354" spans="1:20" ht="20.100000000000001" customHeight="1">
      <c r="A354" s="308" t="s">
        <v>1356</v>
      </c>
      <c r="B354" s="309"/>
      <c r="C354" s="309"/>
      <c r="D354" s="309"/>
      <c r="E354" s="309"/>
      <c r="F354" s="308" t="s">
        <v>50</v>
      </c>
      <c r="G354" s="464" t="s">
        <v>2248</v>
      </c>
      <c r="H354" s="464" t="s">
        <v>949</v>
      </c>
      <c r="I354" s="464" t="s">
        <v>1295</v>
      </c>
      <c r="J354" s="464" t="s">
        <v>50</v>
      </c>
      <c r="K354" s="464" t="s">
        <v>50</v>
      </c>
      <c r="M354" s="464" t="s">
        <v>50</v>
      </c>
      <c r="O354" s="464" t="s">
        <v>50</v>
      </c>
      <c r="P354" s="464" t="s">
        <v>50</v>
      </c>
      <c r="Q354" s="464" t="s">
        <v>50</v>
      </c>
      <c r="R354" s="464" t="s">
        <v>50</v>
      </c>
      <c r="S354" s="464" t="s">
        <v>50</v>
      </c>
      <c r="T354" s="464" t="s">
        <v>50</v>
      </c>
    </row>
    <row r="355" spans="1:20" ht="20.100000000000001" customHeight="1">
      <c r="A355" s="308" t="s">
        <v>1357</v>
      </c>
      <c r="B355" s="309"/>
      <c r="C355" s="309"/>
      <c r="D355" s="309"/>
      <c r="E355" s="309"/>
      <c r="F355" s="308" t="s">
        <v>50</v>
      </c>
      <c r="G355" s="464" t="s">
        <v>2248</v>
      </c>
      <c r="H355" s="464" t="s">
        <v>949</v>
      </c>
      <c r="I355" s="464" t="s">
        <v>1297</v>
      </c>
      <c r="J355" s="464" t="s">
        <v>50</v>
      </c>
      <c r="K355" s="464" t="s">
        <v>50</v>
      </c>
      <c r="M355" s="464" t="s">
        <v>50</v>
      </c>
      <c r="O355" s="464" t="s">
        <v>50</v>
      </c>
      <c r="P355" s="464" t="s">
        <v>50</v>
      </c>
      <c r="Q355" s="464" t="s">
        <v>50</v>
      </c>
      <c r="R355" s="464" t="s">
        <v>50</v>
      </c>
      <c r="S355" s="464" t="s">
        <v>50</v>
      </c>
      <c r="T355" s="464" t="s">
        <v>50</v>
      </c>
    </row>
    <row r="356" spans="1:20" ht="20.100000000000001" customHeight="1">
      <c r="A356" s="308" t="s">
        <v>960</v>
      </c>
      <c r="B356" s="309"/>
      <c r="C356" s="309"/>
      <c r="D356" s="309"/>
      <c r="E356" s="309"/>
      <c r="F356" s="308" t="s">
        <v>50</v>
      </c>
      <c r="G356" s="464" t="s">
        <v>2248</v>
      </c>
      <c r="H356" s="464" t="s">
        <v>949</v>
      </c>
      <c r="I356" s="464" t="s">
        <v>961</v>
      </c>
      <c r="J356" s="464" t="s">
        <v>50</v>
      </c>
      <c r="K356" s="464" t="s">
        <v>50</v>
      </c>
      <c r="M356" s="464" t="s">
        <v>50</v>
      </c>
      <c r="O356" s="464" t="s">
        <v>50</v>
      </c>
      <c r="P356" s="464" t="s">
        <v>50</v>
      </c>
      <c r="Q356" s="464" t="s">
        <v>50</v>
      </c>
      <c r="R356" s="464" t="s">
        <v>50</v>
      </c>
      <c r="S356" s="464" t="s">
        <v>50</v>
      </c>
      <c r="T356" s="464" t="s">
        <v>50</v>
      </c>
    </row>
    <row r="357" spans="1:20" ht="20.100000000000001" customHeight="1">
      <c r="A357" s="308" t="s">
        <v>948</v>
      </c>
      <c r="B357" s="309"/>
      <c r="C357" s="309"/>
      <c r="D357" s="309"/>
      <c r="E357" s="309"/>
      <c r="F357" s="308" t="s">
        <v>50</v>
      </c>
      <c r="G357" s="464" t="s">
        <v>2248</v>
      </c>
      <c r="H357" s="464" t="s">
        <v>949</v>
      </c>
      <c r="I357" s="464" t="s">
        <v>50</v>
      </c>
      <c r="J357" s="464" t="s">
        <v>50</v>
      </c>
      <c r="K357" s="464" t="s">
        <v>50</v>
      </c>
      <c r="M357" s="464" t="s">
        <v>50</v>
      </c>
      <c r="O357" s="464" t="s">
        <v>50</v>
      </c>
      <c r="P357" s="464" t="s">
        <v>50</v>
      </c>
      <c r="Q357" s="464" t="s">
        <v>50</v>
      </c>
      <c r="R357" s="464" t="s">
        <v>50</v>
      </c>
      <c r="S357" s="464" t="s">
        <v>50</v>
      </c>
      <c r="T357" s="464" t="s">
        <v>50</v>
      </c>
    </row>
    <row r="358" spans="1:20" ht="20.100000000000001" customHeight="1">
      <c r="A358" s="308" t="s">
        <v>1298</v>
      </c>
      <c r="B358" s="309"/>
      <c r="C358" s="309"/>
      <c r="D358" s="309"/>
      <c r="E358" s="309"/>
      <c r="F358" s="308" t="s">
        <v>50</v>
      </c>
      <c r="G358" s="464" t="s">
        <v>2248</v>
      </c>
      <c r="H358" s="464" t="s">
        <v>949</v>
      </c>
      <c r="I358" s="464" t="s">
        <v>1299</v>
      </c>
      <c r="J358" s="464" t="s">
        <v>50</v>
      </c>
      <c r="K358" s="464" t="s">
        <v>50</v>
      </c>
      <c r="M358" s="464" t="s">
        <v>50</v>
      </c>
      <c r="O358" s="464" t="s">
        <v>50</v>
      </c>
      <c r="P358" s="464" t="s">
        <v>50</v>
      </c>
      <c r="Q358" s="464" t="s">
        <v>50</v>
      </c>
      <c r="R358" s="464" t="s">
        <v>50</v>
      </c>
      <c r="S358" s="464" t="s">
        <v>50</v>
      </c>
      <c r="T358" s="464" t="s">
        <v>50</v>
      </c>
    </row>
    <row r="359" spans="1:20" ht="20.100000000000001" customHeight="1">
      <c r="A359" s="308" t="s">
        <v>1621</v>
      </c>
      <c r="B359" s="309"/>
      <c r="C359" s="309"/>
      <c r="D359" s="309"/>
      <c r="E359" s="309"/>
      <c r="F359" s="308" t="s">
        <v>50</v>
      </c>
      <c r="G359" s="464" t="s">
        <v>2248</v>
      </c>
      <c r="H359" s="464" t="s">
        <v>949</v>
      </c>
      <c r="I359" s="464" t="s">
        <v>1300</v>
      </c>
      <c r="J359" s="464" t="s">
        <v>50</v>
      </c>
      <c r="K359" s="464" t="s">
        <v>50</v>
      </c>
      <c r="M359" s="464" t="s">
        <v>50</v>
      </c>
      <c r="O359" s="464" t="s">
        <v>50</v>
      </c>
      <c r="P359" s="464" t="s">
        <v>50</v>
      </c>
      <c r="Q359" s="464" t="s">
        <v>50</v>
      </c>
      <c r="R359" s="464" t="s">
        <v>50</v>
      </c>
      <c r="S359" s="464" t="s">
        <v>50</v>
      </c>
      <c r="T359" s="464" t="s">
        <v>50</v>
      </c>
    </row>
    <row r="360" spans="1:20" ht="20.100000000000001" customHeight="1">
      <c r="A360" s="308" t="s">
        <v>1356</v>
      </c>
      <c r="B360" s="309"/>
      <c r="C360" s="309"/>
      <c r="D360" s="309"/>
      <c r="E360" s="309"/>
      <c r="F360" s="308" t="s">
        <v>50</v>
      </c>
      <c r="G360" s="464" t="s">
        <v>2248</v>
      </c>
      <c r="H360" s="464" t="s">
        <v>949</v>
      </c>
      <c r="I360" s="464" t="s">
        <v>1301</v>
      </c>
      <c r="J360" s="464" t="s">
        <v>50</v>
      </c>
      <c r="K360" s="464" t="s">
        <v>50</v>
      </c>
      <c r="M360" s="464" t="s">
        <v>50</v>
      </c>
      <c r="O360" s="464" t="s">
        <v>50</v>
      </c>
      <c r="P360" s="464" t="s">
        <v>50</v>
      </c>
      <c r="Q360" s="464" t="s">
        <v>50</v>
      </c>
      <c r="R360" s="464" t="s">
        <v>50</v>
      </c>
      <c r="S360" s="464" t="s">
        <v>50</v>
      </c>
      <c r="T360" s="464" t="s">
        <v>50</v>
      </c>
    </row>
    <row r="361" spans="1:20" ht="20.100000000000001" customHeight="1">
      <c r="A361" s="308" t="s">
        <v>1358</v>
      </c>
      <c r="B361" s="309"/>
      <c r="C361" s="309"/>
      <c r="D361" s="309"/>
      <c r="E361" s="309"/>
      <c r="F361" s="308" t="s">
        <v>50</v>
      </c>
      <c r="G361" s="464" t="s">
        <v>2248</v>
      </c>
      <c r="H361" s="464" t="s">
        <v>949</v>
      </c>
      <c r="I361" s="464" t="s">
        <v>1303</v>
      </c>
      <c r="J361" s="464" t="s">
        <v>50</v>
      </c>
      <c r="K361" s="464" t="s">
        <v>50</v>
      </c>
      <c r="M361" s="464" t="s">
        <v>50</v>
      </c>
      <c r="O361" s="464" t="s">
        <v>50</v>
      </c>
      <c r="P361" s="464" t="s">
        <v>50</v>
      </c>
      <c r="Q361" s="464" t="s">
        <v>50</v>
      </c>
      <c r="R361" s="464" t="s">
        <v>50</v>
      </c>
      <c r="S361" s="464" t="s">
        <v>50</v>
      </c>
      <c r="T361" s="464" t="s">
        <v>50</v>
      </c>
    </row>
    <row r="362" spans="1:20" ht="20.100000000000001" customHeight="1">
      <c r="A362" s="308" t="s">
        <v>960</v>
      </c>
      <c r="B362" s="309"/>
      <c r="C362" s="309"/>
      <c r="D362" s="309"/>
      <c r="E362" s="309"/>
      <c r="F362" s="308" t="s">
        <v>50</v>
      </c>
      <c r="G362" s="464" t="s">
        <v>2248</v>
      </c>
      <c r="H362" s="464" t="s">
        <v>949</v>
      </c>
      <c r="I362" s="464" t="s">
        <v>961</v>
      </c>
      <c r="J362" s="464" t="s">
        <v>50</v>
      </c>
      <c r="K362" s="464" t="s">
        <v>50</v>
      </c>
      <c r="M362" s="464" t="s">
        <v>50</v>
      </c>
      <c r="O362" s="464" t="s">
        <v>50</v>
      </c>
      <c r="P362" s="464" t="s">
        <v>50</v>
      </c>
      <c r="Q362" s="464" t="s">
        <v>50</v>
      </c>
      <c r="R362" s="464" t="s">
        <v>50</v>
      </c>
      <c r="S362" s="464" t="s">
        <v>50</v>
      </c>
      <c r="T362" s="464" t="s">
        <v>50</v>
      </c>
    </row>
    <row r="363" spans="1:20" ht="20.100000000000001" customHeight="1">
      <c r="A363" s="308" t="s">
        <v>948</v>
      </c>
      <c r="B363" s="309"/>
      <c r="C363" s="309"/>
      <c r="D363" s="309"/>
      <c r="E363" s="309"/>
      <c r="F363" s="308" t="s">
        <v>50</v>
      </c>
      <c r="G363" s="464" t="s">
        <v>2248</v>
      </c>
      <c r="H363" s="464" t="s">
        <v>949</v>
      </c>
      <c r="I363" s="464" t="s">
        <v>50</v>
      </c>
      <c r="J363" s="464" t="s">
        <v>50</v>
      </c>
      <c r="K363" s="464" t="s">
        <v>50</v>
      </c>
      <c r="M363" s="464" t="s">
        <v>50</v>
      </c>
      <c r="O363" s="464" t="s">
        <v>50</v>
      </c>
      <c r="P363" s="464" t="s">
        <v>50</v>
      </c>
      <c r="Q363" s="464" t="s">
        <v>50</v>
      </c>
      <c r="R363" s="464" t="s">
        <v>50</v>
      </c>
      <c r="S363" s="464" t="s">
        <v>50</v>
      </c>
      <c r="T363" s="464" t="s">
        <v>50</v>
      </c>
    </row>
    <row r="364" spans="1:20" ht="20.100000000000001" customHeight="1">
      <c r="A364" s="308" t="s">
        <v>1359</v>
      </c>
      <c r="B364" s="309"/>
      <c r="C364" s="309"/>
      <c r="D364" s="309"/>
      <c r="E364" s="309"/>
      <c r="F364" s="308" t="s">
        <v>50</v>
      </c>
      <c r="G364" s="464" t="s">
        <v>2248</v>
      </c>
      <c r="H364" s="464" t="s">
        <v>949</v>
      </c>
      <c r="I364" s="464" t="s">
        <v>1360</v>
      </c>
      <c r="J364" s="464" t="s">
        <v>50</v>
      </c>
      <c r="K364" s="464" t="s">
        <v>50</v>
      </c>
      <c r="M364" s="464" t="s">
        <v>50</v>
      </c>
      <c r="O364" s="464" t="s">
        <v>50</v>
      </c>
      <c r="P364" s="464" t="s">
        <v>50</v>
      </c>
      <c r="Q364" s="464" t="s">
        <v>50</v>
      </c>
      <c r="R364" s="464" t="s">
        <v>50</v>
      </c>
      <c r="S364" s="464" t="s">
        <v>50</v>
      </c>
      <c r="T364" s="464" t="s">
        <v>50</v>
      </c>
    </row>
    <row r="365" spans="1:20" ht="20.100000000000001" customHeight="1">
      <c r="A365" s="308" t="s">
        <v>1622</v>
      </c>
      <c r="B365" s="309"/>
      <c r="C365" s="309"/>
      <c r="D365" s="309"/>
      <c r="E365" s="309"/>
      <c r="F365" s="308" t="s">
        <v>50</v>
      </c>
      <c r="G365" s="464" t="s">
        <v>2248</v>
      </c>
      <c r="H365" s="464" t="s">
        <v>949</v>
      </c>
      <c r="I365" s="464" t="s">
        <v>1361</v>
      </c>
      <c r="J365" s="464" t="s">
        <v>50</v>
      </c>
      <c r="K365" s="464" t="s">
        <v>50</v>
      </c>
      <c r="M365" s="464" t="s">
        <v>50</v>
      </c>
      <c r="O365" s="464" t="s">
        <v>50</v>
      </c>
      <c r="P365" s="464" t="s">
        <v>50</v>
      </c>
      <c r="Q365" s="464" t="s">
        <v>50</v>
      </c>
      <c r="R365" s="464" t="s">
        <v>50</v>
      </c>
      <c r="S365" s="464" t="s">
        <v>50</v>
      </c>
      <c r="T365" s="464" t="s">
        <v>50</v>
      </c>
    </row>
    <row r="366" spans="1:20" ht="20.100000000000001" customHeight="1">
      <c r="A366" s="308" t="s">
        <v>1356</v>
      </c>
      <c r="B366" s="309"/>
      <c r="C366" s="309"/>
      <c r="D366" s="309"/>
      <c r="E366" s="309"/>
      <c r="F366" s="308" t="s">
        <v>50</v>
      </c>
      <c r="G366" s="464" t="s">
        <v>2248</v>
      </c>
      <c r="H366" s="464" t="s">
        <v>949</v>
      </c>
      <c r="I366" s="464" t="s">
        <v>1362</v>
      </c>
      <c r="J366" s="464" t="s">
        <v>50</v>
      </c>
      <c r="K366" s="464" t="s">
        <v>50</v>
      </c>
      <c r="M366" s="464" t="s">
        <v>50</v>
      </c>
      <c r="O366" s="464" t="s">
        <v>50</v>
      </c>
      <c r="P366" s="464" t="s">
        <v>50</v>
      </c>
      <c r="Q366" s="464" t="s">
        <v>50</v>
      </c>
      <c r="R366" s="464" t="s">
        <v>50</v>
      </c>
      <c r="S366" s="464" t="s">
        <v>50</v>
      </c>
      <c r="T366" s="464" t="s">
        <v>50</v>
      </c>
    </row>
    <row r="367" spans="1:20" ht="20.100000000000001" customHeight="1">
      <c r="A367" s="308" t="s">
        <v>1363</v>
      </c>
      <c r="B367" s="309"/>
      <c r="C367" s="309"/>
      <c r="D367" s="309"/>
      <c r="E367" s="309"/>
      <c r="F367" s="308" t="s">
        <v>50</v>
      </c>
      <c r="G367" s="464" t="s">
        <v>2248</v>
      </c>
      <c r="H367" s="464" t="s">
        <v>949</v>
      </c>
      <c r="I367" s="464" t="s">
        <v>1364</v>
      </c>
      <c r="J367" s="464" t="s">
        <v>50</v>
      </c>
      <c r="K367" s="464" t="s">
        <v>50</v>
      </c>
      <c r="M367" s="464" t="s">
        <v>50</v>
      </c>
      <c r="O367" s="464" t="s">
        <v>50</v>
      </c>
      <c r="P367" s="464" t="s">
        <v>50</v>
      </c>
      <c r="Q367" s="464" t="s">
        <v>50</v>
      </c>
      <c r="R367" s="464" t="s">
        <v>50</v>
      </c>
      <c r="S367" s="464" t="s">
        <v>50</v>
      </c>
      <c r="T367" s="464" t="s">
        <v>50</v>
      </c>
    </row>
    <row r="368" spans="1:20" ht="20.100000000000001" customHeight="1">
      <c r="A368" s="308" t="s">
        <v>960</v>
      </c>
      <c r="B368" s="309"/>
      <c r="C368" s="309"/>
      <c r="D368" s="309"/>
      <c r="E368" s="309"/>
      <c r="F368" s="308" t="s">
        <v>50</v>
      </c>
      <c r="G368" s="464" t="s">
        <v>2248</v>
      </c>
      <c r="H368" s="464" t="s">
        <v>949</v>
      </c>
      <c r="I368" s="464" t="s">
        <v>961</v>
      </c>
      <c r="J368" s="464" t="s">
        <v>50</v>
      </c>
      <c r="K368" s="464" t="s">
        <v>50</v>
      </c>
      <c r="M368" s="464" t="s">
        <v>50</v>
      </c>
      <c r="O368" s="464" t="s">
        <v>50</v>
      </c>
      <c r="P368" s="464" t="s">
        <v>50</v>
      </c>
      <c r="Q368" s="464" t="s">
        <v>50</v>
      </c>
      <c r="R368" s="464" t="s">
        <v>50</v>
      </c>
      <c r="S368" s="464" t="s">
        <v>50</v>
      </c>
      <c r="T368" s="464" t="s">
        <v>50</v>
      </c>
    </row>
    <row r="369" spans="1:20" ht="20.100000000000001" customHeight="1">
      <c r="A369" s="308" t="s">
        <v>948</v>
      </c>
      <c r="B369" s="309"/>
      <c r="C369" s="309"/>
      <c r="D369" s="309"/>
      <c r="E369" s="309"/>
      <c r="F369" s="308" t="s">
        <v>50</v>
      </c>
      <c r="G369" s="464" t="s">
        <v>2248</v>
      </c>
      <c r="H369" s="464" t="s">
        <v>949</v>
      </c>
      <c r="I369" s="464" t="s">
        <v>50</v>
      </c>
      <c r="J369" s="464" t="s">
        <v>50</v>
      </c>
      <c r="K369" s="464" t="s">
        <v>50</v>
      </c>
      <c r="M369" s="464" t="s">
        <v>50</v>
      </c>
      <c r="O369" s="464" t="s">
        <v>50</v>
      </c>
      <c r="P369" s="464" t="s">
        <v>50</v>
      </c>
      <c r="Q369" s="464" t="s">
        <v>50</v>
      </c>
      <c r="R369" s="464" t="s">
        <v>50</v>
      </c>
      <c r="S369" s="464" t="s">
        <v>50</v>
      </c>
      <c r="T369" s="464" t="s">
        <v>50</v>
      </c>
    </row>
    <row r="370" spans="1:20" ht="20.100000000000001" customHeight="1">
      <c r="A370" s="308" t="s">
        <v>1365</v>
      </c>
      <c r="B370" s="309"/>
      <c r="C370" s="309"/>
      <c r="D370" s="309"/>
      <c r="E370" s="309"/>
      <c r="F370" s="308" t="s">
        <v>50</v>
      </c>
      <c r="G370" s="464" t="s">
        <v>2248</v>
      </c>
      <c r="H370" s="464" t="s">
        <v>949</v>
      </c>
      <c r="I370" s="464" t="s">
        <v>1366</v>
      </c>
      <c r="J370" s="464" t="s">
        <v>50</v>
      </c>
      <c r="K370" s="464" t="s">
        <v>50</v>
      </c>
      <c r="M370" s="464" t="s">
        <v>50</v>
      </c>
      <c r="O370" s="464" t="s">
        <v>50</v>
      </c>
      <c r="P370" s="464" t="s">
        <v>50</v>
      </c>
      <c r="Q370" s="464" t="s">
        <v>50</v>
      </c>
      <c r="R370" s="464" t="s">
        <v>50</v>
      </c>
      <c r="S370" s="464" t="s">
        <v>50</v>
      </c>
      <c r="T370" s="464" t="s">
        <v>50</v>
      </c>
    </row>
    <row r="371" spans="1:20" ht="20.100000000000001" customHeight="1">
      <c r="A371" s="308" t="s">
        <v>1623</v>
      </c>
      <c r="B371" s="309"/>
      <c r="C371" s="309"/>
      <c r="D371" s="309"/>
      <c r="E371" s="309"/>
      <c r="F371" s="308" t="s">
        <v>50</v>
      </c>
      <c r="G371" s="464" t="s">
        <v>2248</v>
      </c>
      <c r="H371" s="464" t="s">
        <v>949</v>
      </c>
      <c r="I371" s="464" t="s">
        <v>1306</v>
      </c>
      <c r="J371" s="464" t="s">
        <v>50</v>
      </c>
      <c r="K371" s="464" t="s">
        <v>50</v>
      </c>
      <c r="M371" s="464" t="s">
        <v>50</v>
      </c>
      <c r="O371" s="464" t="s">
        <v>50</v>
      </c>
      <c r="P371" s="464" t="s">
        <v>50</v>
      </c>
      <c r="Q371" s="464" t="s">
        <v>50</v>
      </c>
      <c r="R371" s="464" t="s">
        <v>50</v>
      </c>
      <c r="S371" s="464" t="s">
        <v>50</v>
      </c>
      <c r="T371" s="464" t="s">
        <v>50</v>
      </c>
    </row>
    <row r="372" spans="1:20" ht="20.100000000000001" customHeight="1">
      <c r="A372" s="308" t="s">
        <v>1351</v>
      </c>
      <c r="B372" s="309"/>
      <c r="C372" s="309"/>
      <c r="D372" s="309"/>
      <c r="E372" s="309"/>
      <c r="F372" s="308" t="s">
        <v>50</v>
      </c>
      <c r="G372" s="464" t="s">
        <v>2248</v>
      </c>
      <c r="H372" s="464" t="s">
        <v>949</v>
      </c>
      <c r="I372" s="464" t="s">
        <v>1307</v>
      </c>
      <c r="J372" s="464" t="s">
        <v>50</v>
      </c>
      <c r="K372" s="464" t="s">
        <v>50</v>
      </c>
      <c r="M372" s="464" t="s">
        <v>50</v>
      </c>
      <c r="O372" s="464" t="s">
        <v>50</v>
      </c>
      <c r="P372" s="464" t="s">
        <v>50</v>
      </c>
      <c r="Q372" s="464" t="s">
        <v>50</v>
      </c>
      <c r="R372" s="464" t="s">
        <v>50</v>
      </c>
      <c r="S372" s="464" t="s">
        <v>50</v>
      </c>
      <c r="T372" s="464" t="s">
        <v>50</v>
      </c>
    </row>
    <row r="373" spans="1:20" ht="20.100000000000001" customHeight="1">
      <c r="A373" s="308" t="s">
        <v>1367</v>
      </c>
      <c r="B373" s="309"/>
      <c r="C373" s="309"/>
      <c r="D373" s="309"/>
      <c r="E373" s="309"/>
      <c r="F373" s="308" t="s">
        <v>50</v>
      </c>
      <c r="G373" s="464" t="s">
        <v>2248</v>
      </c>
      <c r="H373" s="464" t="s">
        <v>949</v>
      </c>
      <c r="I373" s="464" t="s">
        <v>1309</v>
      </c>
      <c r="J373" s="464" t="s">
        <v>50</v>
      </c>
      <c r="K373" s="464" t="s">
        <v>50</v>
      </c>
      <c r="M373" s="464" t="s">
        <v>50</v>
      </c>
      <c r="O373" s="464" t="s">
        <v>50</v>
      </c>
      <c r="P373" s="464" t="s">
        <v>50</v>
      </c>
      <c r="Q373" s="464" t="s">
        <v>50</v>
      </c>
      <c r="R373" s="464" t="s">
        <v>50</v>
      </c>
      <c r="S373" s="464" t="s">
        <v>50</v>
      </c>
      <c r="T373" s="464" t="s">
        <v>50</v>
      </c>
    </row>
    <row r="374" spans="1:20" ht="20.100000000000001" customHeight="1">
      <c r="A374" s="308" t="s">
        <v>960</v>
      </c>
      <c r="B374" s="309"/>
      <c r="C374" s="309"/>
      <c r="D374" s="309"/>
      <c r="E374" s="309"/>
      <c r="F374" s="308" t="s">
        <v>50</v>
      </c>
      <c r="G374" s="464" t="s">
        <v>2248</v>
      </c>
      <c r="H374" s="464" t="s">
        <v>949</v>
      </c>
      <c r="I374" s="464" t="s">
        <v>961</v>
      </c>
      <c r="J374" s="464" t="s">
        <v>50</v>
      </c>
      <c r="K374" s="464" t="s">
        <v>50</v>
      </c>
      <c r="M374" s="464" t="s">
        <v>50</v>
      </c>
      <c r="O374" s="464" t="s">
        <v>50</v>
      </c>
      <c r="P374" s="464" t="s">
        <v>50</v>
      </c>
      <c r="Q374" s="464" t="s">
        <v>50</v>
      </c>
      <c r="R374" s="464" t="s">
        <v>50</v>
      </c>
      <c r="S374" s="464" t="s">
        <v>50</v>
      </c>
      <c r="T374" s="464" t="s">
        <v>50</v>
      </c>
    </row>
    <row r="375" spans="1:20" ht="20.100000000000001" customHeight="1">
      <c r="A375" s="308" t="s">
        <v>948</v>
      </c>
      <c r="B375" s="309"/>
      <c r="C375" s="309"/>
      <c r="D375" s="309"/>
      <c r="E375" s="309"/>
      <c r="F375" s="308" t="s">
        <v>50</v>
      </c>
      <c r="G375" s="464" t="s">
        <v>2248</v>
      </c>
      <c r="H375" s="464" t="s">
        <v>949</v>
      </c>
      <c r="I375" s="464" t="s">
        <v>50</v>
      </c>
      <c r="J375" s="464" t="s">
        <v>50</v>
      </c>
      <c r="K375" s="464" t="s">
        <v>50</v>
      </c>
      <c r="M375" s="464" t="s">
        <v>50</v>
      </c>
      <c r="O375" s="464" t="s">
        <v>50</v>
      </c>
      <c r="P375" s="464" t="s">
        <v>50</v>
      </c>
      <c r="Q375" s="464" t="s">
        <v>50</v>
      </c>
      <c r="R375" s="464" t="s">
        <v>50</v>
      </c>
      <c r="S375" s="464" t="s">
        <v>50</v>
      </c>
      <c r="T375" s="464" t="s">
        <v>50</v>
      </c>
    </row>
    <row r="376" spans="1:20" ht="20.100000000000001" customHeight="1">
      <c r="A376" s="308" t="s">
        <v>1368</v>
      </c>
      <c r="B376" s="309"/>
      <c r="C376" s="309"/>
      <c r="D376" s="309"/>
      <c r="E376" s="309"/>
      <c r="F376" s="308" t="s">
        <v>50</v>
      </c>
      <c r="G376" s="464" t="s">
        <v>2248</v>
      </c>
      <c r="H376" s="464" t="s">
        <v>949</v>
      </c>
      <c r="I376" s="464" t="s">
        <v>1369</v>
      </c>
      <c r="J376" s="464" t="s">
        <v>50</v>
      </c>
      <c r="K376" s="464" t="s">
        <v>50</v>
      </c>
      <c r="M376" s="464" t="s">
        <v>50</v>
      </c>
      <c r="O376" s="464" t="s">
        <v>50</v>
      </c>
      <c r="P376" s="464" t="s">
        <v>50</v>
      </c>
      <c r="Q376" s="464" t="s">
        <v>50</v>
      </c>
      <c r="R376" s="464" t="s">
        <v>50</v>
      </c>
      <c r="S376" s="464" t="s">
        <v>50</v>
      </c>
      <c r="T376" s="464" t="s">
        <v>50</v>
      </c>
    </row>
    <row r="377" spans="1:20" ht="20.100000000000001" customHeight="1">
      <c r="A377" s="308" t="s">
        <v>1624</v>
      </c>
      <c r="B377" s="309"/>
      <c r="C377" s="309"/>
      <c r="D377" s="309"/>
      <c r="E377" s="309"/>
      <c r="F377" s="308" t="s">
        <v>50</v>
      </c>
      <c r="G377" s="464" t="s">
        <v>2248</v>
      </c>
      <c r="H377" s="464" t="s">
        <v>949</v>
      </c>
      <c r="I377" s="464" t="s">
        <v>1312</v>
      </c>
      <c r="J377" s="464" t="s">
        <v>50</v>
      </c>
      <c r="K377" s="464" t="s">
        <v>50</v>
      </c>
      <c r="M377" s="464" t="s">
        <v>50</v>
      </c>
      <c r="O377" s="464" t="s">
        <v>50</v>
      </c>
      <c r="P377" s="464" t="s">
        <v>50</v>
      </c>
      <c r="Q377" s="464" t="s">
        <v>50</v>
      </c>
      <c r="R377" s="464" t="s">
        <v>50</v>
      </c>
      <c r="S377" s="464" t="s">
        <v>50</v>
      </c>
      <c r="T377" s="464" t="s">
        <v>50</v>
      </c>
    </row>
    <row r="378" spans="1:20" ht="20.100000000000001" customHeight="1">
      <c r="A378" s="308" t="s">
        <v>1370</v>
      </c>
      <c r="B378" s="309"/>
      <c r="C378" s="309"/>
      <c r="D378" s="309"/>
      <c r="E378" s="309"/>
      <c r="F378" s="308" t="s">
        <v>50</v>
      </c>
      <c r="G378" s="464" t="s">
        <v>2248</v>
      </c>
      <c r="H378" s="464" t="s">
        <v>949</v>
      </c>
      <c r="I378" s="464" t="s">
        <v>1314</v>
      </c>
      <c r="J378" s="464" t="s">
        <v>50</v>
      </c>
      <c r="K378" s="464" t="s">
        <v>50</v>
      </c>
      <c r="M378" s="464" t="s">
        <v>50</v>
      </c>
      <c r="O378" s="464" t="s">
        <v>50</v>
      </c>
      <c r="P378" s="464" t="s">
        <v>50</v>
      </c>
      <c r="Q378" s="464" t="s">
        <v>50</v>
      </c>
      <c r="R378" s="464" t="s">
        <v>50</v>
      </c>
      <c r="S378" s="464" t="s">
        <v>50</v>
      </c>
      <c r="T378" s="464" t="s">
        <v>50</v>
      </c>
    </row>
    <row r="379" spans="1:20" ht="20.100000000000001" customHeight="1">
      <c r="A379" s="308" t="s">
        <v>1371</v>
      </c>
      <c r="B379" s="309"/>
      <c r="C379" s="309"/>
      <c r="D379" s="309"/>
      <c r="E379" s="309"/>
      <c r="F379" s="308" t="s">
        <v>50</v>
      </c>
      <c r="G379" s="464" t="s">
        <v>2248</v>
      </c>
      <c r="H379" s="464" t="s">
        <v>949</v>
      </c>
      <c r="I379" s="464" t="s">
        <v>1316</v>
      </c>
      <c r="J379" s="464" t="s">
        <v>50</v>
      </c>
      <c r="K379" s="464" t="s">
        <v>50</v>
      </c>
      <c r="M379" s="464" t="s">
        <v>50</v>
      </c>
      <c r="O379" s="464" t="s">
        <v>50</v>
      </c>
      <c r="P379" s="464" t="s">
        <v>50</v>
      </c>
      <c r="Q379" s="464" t="s">
        <v>50</v>
      </c>
      <c r="R379" s="464" t="s">
        <v>50</v>
      </c>
      <c r="S379" s="464" t="s">
        <v>50</v>
      </c>
      <c r="T379" s="464" t="s">
        <v>50</v>
      </c>
    </row>
    <row r="380" spans="1:20" ht="20.100000000000001" customHeight="1">
      <c r="A380" s="308" t="s">
        <v>960</v>
      </c>
      <c r="B380" s="309"/>
      <c r="C380" s="309"/>
      <c r="D380" s="309"/>
      <c r="E380" s="309"/>
      <c r="F380" s="308" t="s">
        <v>50</v>
      </c>
      <c r="G380" s="464" t="s">
        <v>2248</v>
      </c>
      <c r="H380" s="464" t="s">
        <v>949</v>
      </c>
      <c r="I380" s="464" t="s">
        <v>961</v>
      </c>
      <c r="J380" s="464" t="s">
        <v>50</v>
      </c>
      <c r="K380" s="464" t="s">
        <v>50</v>
      </c>
      <c r="M380" s="464" t="s">
        <v>50</v>
      </c>
      <c r="O380" s="464" t="s">
        <v>50</v>
      </c>
      <c r="P380" s="464" t="s">
        <v>50</v>
      </c>
      <c r="Q380" s="464" t="s">
        <v>50</v>
      </c>
      <c r="R380" s="464" t="s">
        <v>50</v>
      </c>
      <c r="S380" s="464" t="s">
        <v>50</v>
      </c>
      <c r="T380" s="464" t="s">
        <v>50</v>
      </c>
    </row>
    <row r="381" spans="1:20" ht="20.100000000000001" customHeight="1">
      <c r="A381" s="308" t="s">
        <v>948</v>
      </c>
      <c r="B381" s="309"/>
      <c r="C381" s="309"/>
      <c r="D381" s="309"/>
      <c r="E381" s="309"/>
      <c r="F381" s="308" t="s">
        <v>50</v>
      </c>
      <c r="G381" s="464" t="s">
        <v>2248</v>
      </c>
      <c r="H381" s="464" t="s">
        <v>949</v>
      </c>
      <c r="I381" s="464" t="s">
        <v>50</v>
      </c>
      <c r="J381" s="464" t="s">
        <v>50</v>
      </c>
      <c r="K381" s="464" t="s">
        <v>50</v>
      </c>
      <c r="M381" s="464" t="s">
        <v>50</v>
      </c>
      <c r="O381" s="464" t="s">
        <v>50</v>
      </c>
      <c r="P381" s="464" t="s">
        <v>50</v>
      </c>
      <c r="Q381" s="464" t="s">
        <v>50</v>
      </c>
      <c r="R381" s="464" t="s">
        <v>50</v>
      </c>
      <c r="S381" s="464" t="s">
        <v>50</v>
      </c>
      <c r="T381" s="464" t="s">
        <v>50</v>
      </c>
    </row>
    <row r="382" spans="1:20" ht="20.100000000000001" customHeight="1">
      <c r="A382" s="308" t="s">
        <v>1372</v>
      </c>
      <c r="B382" s="309"/>
      <c r="C382" s="309"/>
      <c r="D382" s="309"/>
      <c r="E382" s="309"/>
      <c r="F382" s="308" t="s">
        <v>50</v>
      </c>
      <c r="G382" s="464" t="s">
        <v>2248</v>
      </c>
      <c r="H382" s="464" t="s">
        <v>949</v>
      </c>
      <c r="I382" s="464" t="s">
        <v>1373</v>
      </c>
      <c r="J382" s="464" t="s">
        <v>50</v>
      </c>
      <c r="K382" s="464" t="s">
        <v>50</v>
      </c>
      <c r="M382" s="464" t="s">
        <v>50</v>
      </c>
      <c r="O382" s="464" t="s">
        <v>50</v>
      </c>
      <c r="P382" s="464" t="s">
        <v>50</v>
      </c>
      <c r="Q382" s="464" t="s">
        <v>50</v>
      </c>
      <c r="R382" s="464" t="s">
        <v>50</v>
      </c>
      <c r="S382" s="464" t="s">
        <v>50</v>
      </c>
      <c r="T382" s="464" t="s">
        <v>50</v>
      </c>
    </row>
    <row r="383" spans="1:20" ht="20.100000000000001" customHeight="1">
      <c r="A383" s="308" t="s">
        <v>1625</v>
      </c>
      <c r="B383" s="309"/>
      <c r="C383" s="309"/>
      <c r="D383" s="309"/>
      <c r="E383" s="309"/>
      <c r="F383" s="308" t="s">
        <v>50</v>
      </c>
      <c r="G383" s="464" t="s">
        <v>2248</v>
      </c>
      <c r="H383" s="464" t="s">
        <v>949</v>
      </c>
      <c r="I383" s="464" t="s">
        <v>1319</v>
      </c>
      <c r="J383" s="464" t="s">
        <v>50</v>
      </c>
      <c r="K383" s="464" t="s">
        <v>50</v>
      </c>
      <c r="M383" s="464" t="s">
        <v>50</v>
      </c>
      <c r="O383" s="464" t="s">
        <v>50</v>
      </c>
      <c r="P383" s="464" t="s">
        <v>50</v>
      </c>
      <c r="Q383" s="464" t="s">
        <v>50</v>
      </c>
      <c r="R383" s="464" t="s">
        <v>50</v>
      </c>
      <c r="S383" s="464" t="s">
        <v>50</v>
      </c>
      <c r="T383" s="464" t="s">
        <v>50</v>
      </c>
    </row>
    <row r="384" spans="1:20" ht="20.100000000000001" customHeight="1">
      <c r="A384" s="308" t="s">
        <v>1374</v>
      </c>
      <c r="B384" s="309"/>
      <c r="C384" s="309"/>
      <c r="D384" s="309"/>
      <c r="E384" s="309"/>
      <c r="F384" s="308" t="s">
        <v>50</v>
      </c>
      <c r="G384" s="464" t="s">
        <v>2248</v>
      </c>
      <c r="H384" s="464" t="s">
        <v>949</v>
      </c>
      <c r="I384" s="464" t="s">
        <v>1321</v>
      </c>
      <c r="J384" s="464" t="s">
        <v>50</v>
      </c>
      <c r="K384" s="464" t="s">
        <v>50</v>
      </c>
      <c r="M384" s="464" t="s">
        <v>50</v>
      </c>
      <c r="O384" s="464" t="s">
        <v>50</v>
      </c>
      <c r="P384" s="464" t="s">
        <v>50</v>
      </c>
      <c r="Q384" s="464" t="s">
        <v>50</v>
      </c>
      <c r="R384" s="464" t="s">
        <v>50</v>
      </c>
      <c r="S384" s="464" t="s">
        <v>50</v>
      </c>
      <c r="T384" s="464" t="s">
        <v>50</v>
      </c>
    </row>
    <row r="385" spans="1:20" ht="20.100000000000001" customHeight="1">
      <c r="A385" s="308" t="s">
        <v>1375</v>
      </c>
      <c r="B385" s="309"/>
      <c r="C385" s="309"/>
      <c r="D385" s="309"/>
      <c r="E385" s="309"/>
      <c r="F385" s="308" t="s">
        <v>50</v>
      </c>
      <c r="G385" s="464" t="s">
        <v>2248</v>
      </c>
      <c r="H385" s="464" t="s">
        <v>949</v>
      </c>
      <c r="I385" s="464" t="s">
        <v>1323</v>
      </c>
      <c r="J385" s="464" t="s">
        <v>50</v>
      </c>
      <c r="K385" s="464" t="s">
        <v>50</v>
      </c>
      <c r="M385" s="464" t="s">
        <v>50</v>
      </c>
      <c r="O385" s="464" t="s">
        <v>50</v>
      </c>
      <c r="P385" s="464" t="s">
        <v>50</v>
      </c>
      <c r="Q385" s="464" t="s">
        <v>50</v>
      </c>
      <c r="R385" s="464" t="s">
        <v>50</v>
      </c>
      <c r="S385" s="464" t="s">
        <v>50</v>
      </c>
      <c r="T385" s="464" t="s">
        <v>50</v>
      </c>
    </row>
    <row r="386" spans="1:20" ht="20.100000000000001" customHeight="1">
      <c r="A386" s="308" t="s">
        <v>960</v>
      </c>
      <c r="B386" s="309"/>
      <c r="C386" s="309"/>
      <c r="D386" s="309"/>
      <c r="E386" s="309"/>
      <c r="F386" s="308" t="s">
        <v>50</v>
      </c>
      <c r="G386" s="464" t="s">
        <v>2248</v>
      </c>
      <c r="H386" s="464" t="s">
        <v>949</v>
      </c>
      <c r="I386" s="464" t="s">
        <v>961</v>
      </c>
      <c r="J386" s="464" t="s">
        <v>50</v>
      </c>
      <c r="K386" s="464" t="s">
        <v>50</v>
      </c>
      <c r="M386" s="464" t="s">
        <v>50</v>
      </c>
      <c r="O386" s="464" t="s">
        <v>50</v>
      </c>
      <c r="P386" s="464" t="s">
        <v>50</v>
      </c>
      <c r="Q386" s="464" t="s">
        <v>50</v>
      </c>
      <c r="R386" s="464" t="s">
        <v>50</v>
      </c>
      <c r="S386" s="464" t="s">
        <v>50</v>
      </c>
      <c r="T386" s="464" t="s">
        <v>50</v>
      </c>
    </row>
    <row r="387" spans="1:20" ht="20.100000000000001" customHeight="1">
      <c r="A387" s="308" t="s">
        <v>948</v>
      </c>
      <c r="B387" s="309"/>
      <c r="C387" s="309"/>
      <c r="D387" s="309"/>
      <c r="E387" s="309"/>
      <c r="F387" s="308" t="s">
        <v>50</v>
      </c>
      <c r="G387" s="464" t="s">
        <v>2248</v>
      </c>
      <c r="H387" s="464" t="s">
        <v>949</v>
      </c>
      <c r="I387" s="464" t="s">
        <v>50</v>
      </c>
      <c r="J387" s="464" t="s">
        <v>50</v>
      </c>
      <c r="K387" s="464" t="s">
        <v>50</v>
      </c>
      <c r="M387" s="464" t="s">
        <v>50</v>
      </c>
      <c r="O387" s="464" t="s">
        <v>50</v>
      </c>
      <c r="P387" s="464" t="s">
        <v>50</v>
      </c>
      <c r="Q387" s="464" t="s">
        <v>50</v>
      </c>
      <c r="R387" s="464" t="s">
        <v>50</v>
      </c>
      <c r="S387" s="464" t="s">
        <v>50</v>
      </c>
      <c r="T387" s="464" t="s">
        <v>50</v>
      </c>
    </row>
    <row r="388" spans="1:20" ht="20.100000000000001" customHeight="1">
      <c r="A388" s="308" t="s">
        <v>1376</v>
      </c>
      <c r="B388" s="309"/>
      <c r="C388" s="309"/>
      <c r="D388" s="309"/>
      <c r="E388" s="309"/>
      <c r="F388" s="308" t="s">
        <v>50</v>
      </c>
      <c r="G388" s="464" t="s">
        <v>2248</v>
      </c>
      <c r="H388" s="464" t="s">
        <v>949</v>
      </c>
      <c r="I388" s="464" t="s">
        <v>1377</v>
      </c>
      <c r="J388" s="464" t="s">
        <v>50</v>
      </c>
      <c r="K388" s="464" t="s">
        <v>50</v>
      </c>
      <c r="M388" s="464" t="s">
        <v>50</v>
      </c>
      <c r="O388" s="464" t="s">
        <v>50</v>
      </c>
      <c r="P388" s="464" t="s">
        <v>50</v>
      </c>
      <c r="Q388" s="464" t="s">
        <v>50</v>
      </c>
      <c r="R388" s="464" t="s">
        <v>50</v>
      </c>
      <c r="S388" s="464" t="s">
        <v>50</v>
      </c>
      <c r="T388" s="464" t="s">
        <v>50</v>
      </c>
    </row>
    <row r="389" spans="1:20" ht="20.100000000000001" customHeight="1">
      <c r="A389" s="308" t="s">
        <v>1626</v>
      </c>
      <c r="B389" s="309"/>
      <c r="C389" s="309"/>
      <c r="D389" s="309"/>
      <c r="E389" s="309"/>
      <c r="F389" s="308" t="s">
        <v>50</v>
      </c>
      <c r="G389" s="464" t="s">
        <v>2248</v>
      </c>
      <c r="H389" s="464" t="s">
        <v>949</v>
      </c>
      <c r="I389" s="464" t="s">
        <v>1378</v>
      </c>
      <c r="J389" s="464" t="s">
        <v>50</v>
      </c>
      <c r="K389" s="464" t="s">
        <v>50</v>
      </c>
      <c r="M389" s="464" t="s">
        <v>50</v>
      </c>
      <c r="O389" s="464" t="s">
        <v>50</v>
      </c>
      <c r="P389" s="464" t="s">
        <v>50</v>
      </c>
      <c r="Q389" s="464" t="s">
        <v>50</v>
      </c>
      <c r="R389" s="464" t="s">
        <v>50</v>
      </c>
      <c r="S389" s="464" t="s">
        <v>50</v>
      </c>
      <c r="T389" s="464" t="s">
        <v>50</v>
      </c>
    </row>
    <row r="390" spans="1:20" ht="20.100000000000001" customHeight="1">
      <c r="A390" s="308" t="s">
        <v>1351</v>
      </c>
      <c r="B390" s="309"/>
      <c r="C390" s="309"/>
      <c r="D390" s="309"/>
      <c r="E390" s="309"/>
      <c r="F390" s="308" t="s">
        <v>50</v>
      </c>
      <c r="G390" s="464" t="s">
        <v>2248</v>
      </c>
      <c r="H390" s="464" t="s">
        <v>949</v>
      </c>
      <c r="I390" s="464" t="s">
        <v>1379</v>
      </c>
      <c r="J390" s="464" t="s">
        <v>50</v>
      </c>
      <c r="K390" s="464" t="s">
        <v>50</v>
      </c>
      <c r="M390" s="464" t="s">
        <v>50</v>
      </c>
      <c r="O390" s="464" t="s">
        <v>50</v>
      </c>
      <c r="P390" s="464" t="s">
        <v>50</v>
      </c>
      <c r="Q390" s="464" t="s">
        <v>50</v>
      </c>
      <c r="R390" s="464" t="s">
        <v>50</v>
      </c>
      <c r="S390" s="464" t="s">
        <v>50</v>
      </c>
      <c r="T390" s="464" t="s">
        <v>50</v>
      </c>
    </row>
    <row r="391" spans="1:20" ht="20.100000000000001" customHeight="1">
      <c r="A391" s="308" t="s">
        <v>1380</v>
      </c>
      <c r="B391" s="309"/>
      <c r="C391" s="309"/>
      <c r="D391" s="309"/>
      <c r="E391" s="309"/>
      <c r="F391" s="308" t="s">
        <v>50</v>
      </c>
      <c r="G391" s="464" t="s">
        <v>2248</v>
      </c>
      <c r="H391" s="464" t="s">
        <v>949</v>
      </c>
      <c r="I391" s="464" t="s">
        <v>1381</v>
      </c>
      <c r="J391" s="464" t="s">
        <v>50</v>
      </c>
      <c r="K391" s="464" t="s">
        <v>50</v>
      </c>
      <c r="M391" s="464" t="s">
        <v>50</v>
      </c>
      <c r="O391" s="464" t="s">
        <v>50</v>
      </c>
      <c r="P391" s="464" t="s">
        <v>50</v>
      </c>
      <c r="Q391" s="464" t="s">
        <v>50</v>
      </c>
      <c r="R391" s="464" t="s">
        <v>50</v>
      </c>
      <c r="S391" s="464" t="s">
        <v>50</v>
      </c>
      <c r="T391" s="464" t="s">
        <v>50</v>
      </c>
    </row>
    <row r="392" spans="1:20" ht="20.100000000000001" customHeight="1">
      <c r="A392" s="308" t="s">
        <v>960</v>
      </c>
      <c r="B392" s="309"/>
      <c r="C392" s="309"/>
      <c r="D392" s="309"/>
      <c r="E392" s="309"/>
      <c r="F392" s="308" t="s">
        <v>50</v>
      </c>
      <c r="G392" s="464" t="s">
        <v>2248</v>
      </c>
      <c r="H392" s="464" t="s">
        <v>949</v>
      </c>
      <c r="I392" s="464" t="s">
        <v>961</v>
      </c>
      <c r="J392" s="464" t="s">
        <v>50</v>
      </c>
      <c r="K392" s="464" t="s">
        <v>50</v>
      </c>
      <c r="M392" s="464" t="s">
        <v>50</v>
      </c>
      <c r="O392" s="464" t="s">
        <v>50</v>
      </c>
      <c r="P392" s="464" t="s">
        <v>50</v>
      </c>
      <c r="Q392" s="464" t="s">
        <v>50</v>
      </c>
      <c r="R392" s="464" t="s">
        <v>50</v>
      </c>
      <c r="S392" s="464" t="s">
        <v>50</v>
      </c>
      <c r="T392" s="464" t="s">
        <v>50</v>
      </c>
    </row>
    <row r="393" spans="1:20" ht="20.100000000000001" customHeight="1">
      <c r="A393" s="308" t="s">
        <v>948</v>
      </c>
      <c r="B393" s="309"/>
      <c r="C393" s="309"/>
      <c r="D393" s="309"/>
      <c r="E393" s="309"/>
      <c r="F393" s="308" t="s">
        <v>50</v>
      </c>
      <c r="G393" s="464" t="s">
        <v>2248</v>
      </c>
      <c r="H393" s="464" t="s">
        <v>949</v>
      </c>
      <c r="I393" s="464" t="s">
        <v>50</v>
      </c>
      <c r="J393" s="464" t="s">
        <v>50</v>
      </c>
      <c r="K393" s="464" t="s">
        <v>50</v>
      </c>
      <c r="M393" s="464" t="s">
        <v>50</v>
      </c>
      <c r="O393" s="464" t="s">
        <v>50</v>
      </c>
      <c r="P393" s="464" t="s">
        <v>50</v>
      </c>
      <c r="Q393" s="464" t="s">
        <v>50</v>
      </c>
      <c r="R393" s="464" t="s">
        <v>50</v>
      </c>
      <c r="S393" s="464" t="s">
        <v>50</v>
      </c>
      <c r="T393" s="464" t="s">
        <v>50</v>
      </c>
    </row>
    <row r="394" spans="1:20" ht="20.100000000000001" customHeight="1">
      <c r="A394" s="308" t="s">
        <v>2317</v>
      </c>
      <c r="B394" s="309"/>
      <c r="C394" s="309"/>
      <c r="D394" s="309"/>
      <c r="E394" s="309"/>
      <c r="F394" s="308" t="s">
        <v>50</v>
      </c>
      <c r="G394" s="464" t="s">
        <v>2248</v>
      </c>
      <c r="H394" s="464" t="s">
        <v>949</v>
      </c>
      <c r="I394" s="464" t="s">
        <v>2318</v>
      </c>
      <c r="J394" s="464" t="s">
        <v>50</v>
      </c>
      <c r="K394" s="464" t="s">
        <v>50</v>
      </c>
      <c r="M394" s="464" t="s">
        <v>50</v>
      </c>
      <c r="O394" s="464" t="s">
        <v>50</v>
      </c>
      <c r="P394" s="464" t="s">
        <v>50</v>
      </c>
      <c r="Q394" s="464" t="s">
        <v>50</v>
      </c>
      <c r="R394" s="464" t="s">
        <v>50</v>
      </c>
      <c r="S394" s="464" t="s">
        <v>50</v>
      </c>
      <c r="T394" s="464" t="s">
        <v>50</v>
      </c>
    </row>
    <row r="395" spans="1:20" ht="20.100000000000001" customHeight="1">
      <c r="A395" s="308" t="s">
        <v>1382</v>
      </c>
      <c r="B395" s="309"/>
      <c r="C395" s="309"/>
      <c r="D395" s="309"/>
      <c r="E395" s="309"/>
      <c r="F395" s="308" t="s">
        <v>50</v>
      </c>
      <c r="G395" s="464" t="s">
        <v>2248</v>
      </c>
      <c r="H395" s="464" t="s">
        <v>949</v>
      </c>
      <c r="I395" s="464" t="s">
        <v>1332</v>
      </c>
      <c r="J395" s="464" t="s">
        <v>50</v>
      </c>
      <c r="K395" s="464" t="s">
        <v>50</v>
      </c>
      <c r="M395" s="464" t="s">
        <v>50</v>
      </c>
      <c r="O395" s="464" t="s">
        <v>50</v>
      </c>
      <c r="P395" s="464" t="s">
        <v>50</v>
      </c>
      <c r="Q395" s="464" t="s">
        <v>50</v>
      </c>
      <c r="R395" s="464" t="s">
        <v>50</v>
      </c>
      <c r="S395" s="464" t="s">
        <v>50</v>
      </c>
      <c r="T395" s="464" t="s">
        <v>50</v>
      </c>
    </row>
    <row r="396" spans="1:20" ht="20.100000000000001" customHeight="1">
      <c r="A396" s="308" t="s">
        <v>948</v>
      </c>
      <c r="B396" s="309"/>
      <c r="C396" s="309"/>
      <c r="D396" s="309"/>
      <c r="E396" s="309"/>
      <c r="F396" s="308" t="s">
        <v>50</v>
      </c>
      <c r="G396" s="464" t="s">
        <v>2248</v>
      </c>
      <c r="H396" s="464" t="s">
        <v>949</v>
      </c>
      <c r="I396" s="464" t="s">
        <v>50</v>
      </c>
      <c r="J396" s="464" t="s">
        <v>50</v>
      </c>
      <c r="K396" s="464" t="s">
        <v>50</v>
      </c>
      <c r="M396" s="464" t="s">
        <v>50</v>
      </c>
      <c r="O396" s="464" t="s">
        <v>50</v>
      </c>
      <c r="P396" s="464" t="s">
        <v>50</v>
      </c>
      <c r="Q396" s="464" t="s">
        <v>50</v>
      </c>
      <c r="R396" s="464" t="s">
        <v>50</v>
      </c>
      <c r="S396" s="464" t="s">
        <v>50</v>
      </c>
      <c r="T396" s="464" t="s">
        <v>50</v>
      </c>
    </row>
    <row r="397" spans="1:20" ht="20.100000000000001" customHeight="1">
      <c r="A397" s="308" t="s">
        <v>1037</v>
      </c>
      <c r="B397" s="309"/>
      <c r="C397" s="309"/>
      <c r="D397" s="309"/>
      <c r="E397" s="309"/>
      <c r="F397" s="308" t="s">
        <v>50</v>
      </c>
      <c r="G397" s="464" t="s">
        <v>2248</v>
      </c>
      <c r="H397" s="464" t="s">
        <v>949</v>
      </c>
      <c r="I397" s="464" t="s">
        <v>1038</v>
      </c>
      <c r="J397" s="464" t="s">
        <v>50</v>
      </c>
      <c r="K397" s="464" t="s">
        <v>50</v>
      </c>
      <c r="M397" s="464" t="s">
        <v>50</v>
      </c>
      <c r="O397" s="464" t="s">
        <v>50</v>
      </c>
      <c r="P397" s="464" t="s">
        <v>50</v>
      </c>
      <c r="Q397" s="464" t="s">
        <v>50</v>
      </c>
      <c r="R397" s="464" t="s">
        <v>50</v>
      </c>
      <c r="S397" s="464" t="s">
        <v>50</v>
      </c>
      <c r="T397" s="464" t="s">
        <v>50</v>
      </c>
    </row>
    <row r="398" spans="1:20" ht="20.100000000000001" customHeight="1">
      <c r="A398" s="308" t="s">
        <v>973</v>
      </c>
      <c r="B398" s="306"/>
      <c r="C398" s="306"/>
      <c r="D398" s="306"/>
      <c r="E398" s="306"/>
      <c r="F398" s="310"/>
    </row>
  </sheetData>
  <phoneticPr fontId="3" type="noConversion"/>
  <pageMargins left="0.59055118110236215" right="0.39370078740157483" top="0.39370078740157483" bottom="0.39370078740157483" header="0.19685039370078741" footer="0.19685039370078741"/>
  <pageSetup paperSize="9" scale="8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B108"/>
  <sheetViews>
    <sheetView showZeros="0" view="pageBreakPreview" topLeftCell="B58" zoomScale="70" zoomScaleNormal="100" zoomScaleSheetLayoutView="70" workbookViewId="0">
      <selection activeCell="R17" sqref="R17"/>
    </sheetView>
  </sheetViews>
  <sheetFormatPr defaultRowHeight="16.5"/>
  <cols>
    <col min="1" max="1" width="12.625" hidden="1" customWidth="1"/>
    <col min="2" max="3" width="30.625" customWidth="1"/>
    <col min="4" max="4" width="4.625" customWidth="1"/>
    <col min="5" max="5" width="13.625" customWidth="1"/>
    <col min="6" max="6" width="4.625" customWidth="1"/>
    <col min="7" max="7" width="13.625" customWidth="1"/>
    <col min="8" max="8" width="4.625" customWidth="1"/>
    <col min="9" max="9" width="13.625" customWidth="1"/>
    <col min="10" max="10" width="4.625" customWidth="1"/>
    <col min="11" max="11" width="13.625" customWidth="1"/>
    <col min="12" max="12" width="4.625" customWidth="1"/>
    <col min="13" max="13" width="13.625" customWidth="1"/>
    <col min="14" max="14" width="4.625" customWidth="1"/>
    <col min="15" max="22" width="13.625" customWidth="1"/>
    <col min="23" max="23" width="8.625" customWidth="1"/>
    <col min="24" max="24" width="12.625" customWidth="1"/>
    <col min="25" max="27" width="1.625" hidden="1" customWidth="1"/>
    <col min="28" max="28" width="10.625" hidden="1" customWidth="1"/>
  </cols>
  <sheetData>
    <row r="1" spans="1:28" ht="30" customHeight="1">
      <c r="A1" s="572" t="s">
        <v>1383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</row>
    <row r="2" spans="1:28" ht="30" customHeight="1">
      <c r="A2" s="573" t="s">
        <v>1746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</row>
    <row r="3" spans="1:28" ht="30" customHeight="1">
      <c r="A3" s="574" t="s">
        <v>740</v>
      </c>
      <c r="B3" s="570" t="s">
        <v>115</v>
      </c>
      <c r="C3" s="570" t="s">
        <v>945</v>
      </c>
      <c r="D3" s="570" t="s">
        <v>117</v>
      </c>
      <c r="E3" s="570" t="s">
        <v>119</v>
      </c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 t="s">
        <v>742</v>
      </c>
      <c r="Q3" s="570" t="s">
        <v>743</v>
      </c>
      <c r="R3" s="570"/>
      <c r="S3" s="570"/>
      <c r="T3" s="570"/>
      <c r="U3" s="570"/>
      <c r="V3" s="570"/>
      <c r="W3" s="570" t="s">
        <v>745</v>
      </c>
      <c r="X3" s="570" t="s">
        <v>123</v>
      </c>
      <c r="Y3" s="569" t="s">
        <v>1384</v>
      </c>
      <c r="Z3" s="569" t="s">
        <v>1385</v>
      </c>
      <c r="AA3" s="569" t="s">
        <v>1386</v>
      </c>
      <c r="AB3" s="569" t="s">
        <v>593</v>
      </c>
    </row>
    <row r="4" spans="1:28" ht="30" customHeight="1">
      <c r="A4" s="574"/>
      <c r="B4" s="570"/>
      <c r="C4" s="570"/>
      <c r="D4" s="570"/>
      <c r="E4" s="462" t="s">
        <v>1387</v>
      </c>
      <c r="F4" s="462" t="s">
        <v>1388</v>
      </c>
      <c r="G4" s="462" t="s">
        <v>1389</v>
      </c>
      <c r="H4" s="462" t="s">
        <v>1388</v>
      </c>
      <c r="I4" s="462" t="s">
        <v>1390</v>
      </c>
      <c r="J4" s="462" t="s">
        <v>1388</v>
      </c>
      <c r="K4" s="462" t="s">
        <v>1391</v>
      </c>
      <c r="L4" s="462" t="s">
        <v>1388</v>
      </c>
      <c r="M4" s="462" t="s">
        <v>1392</v>
      </c>
      <c r="N4" s="462" t="s">
        <v>1388</v>
      </c>
      <c r="O4" s="462" t="s">
        <v>1393</v>
      </c>
      <c r="P4" s="570"/>
      <c r="Q4" s="462" t="s">
        <v>1387</v>
      </c>
      <c r="R4" s="462" t="s">
        <v>1389</v>
      </c>
      <c r="S4" s="462" t="s">
        <v>1390</v>
      </c>
      <c r="T4" s="462" t="s">
        <v>1391</v>
      </c>
      <c r="U4" s="462" t="s">
        <v>1392</v>
      </c>
      <c r="V4" s="462" t="s">
        <v>1393</v>
      </c>
      <c r="W4" s="570"/>
      <c r="X4" s="570"/>
      <c r="Y4" s="569"/>
      <c r="Z4" s="569"/>
      <c r="AA4" s="569"/>
      <c r="AB4" s="569"/>
    </row>
    <row r="5" spans="1:28" ht="30" customHeight="1">
      <c r="A5" s="296" t="s">
        <v>2146</v>
      </c>
      <c r="B5" s="294" t="s">
        <v>760</v>
      </c>
      <c r="C5" s="294" t="s">
        <v>761</v>
      </c>
      <c r="D5" s="311" t="s">
        <v>610</v>
      </c>
      <c r="E5" s="312"/>
      <c r="F5" s="294"/>
      <c r="G5" s="312"/>
      <c r="H5" s="294"/>
      <c r="I5" s="312"/>
      <c r="J5" s="294"/>
      <c r="K5" s="312"/>
      <c r="L5" s="294"/>
      <c r="M5" s="312"/>
      <c r="N5" s="294"/>
      <c r="O5" s="312"/>
      <c r="P5" s="312"/>
      <c r="Q5" s="312"/>
      <c r="R5" s="312"/>
      <c r="S5" s="312"/>
      <c r="T5" s="312"/>
      <c r="U5" s="312"/>
      <c r="V5" s="312"/>
      <c r="W5" s="294" t="s">
        <v>1394</v>
      </c>
      <c r="X5" s="294" t="s">
        <v>382</v>
      </c>
      <c r="Y5" s="255" t="s">
        <v>50</v>
      </c>
      <c r="Z5" s="255" t="s">
        <v>50</v>
      </c>
      <c r="AA5" s="268"/>
      <c r="AB5" s="255" t="s">
        <v>50</v>
      </c>
    </row>
    <row r="6" spans="1:28" ht="30" customHeight="1">
      <c r="A6" s="296" t="s">
        <v>2198</v>
      </c>
      <c r="B6" s="294" t="s">
        <v>760</v>
      </c>
      <c r="C6" s="294" t="s">
        <v>770</v>
      </c>
      <c r="D6" s="311" t="s">
        <v>610</v>
      </c>
      <c r="E6" s="312"/>
      <c r="F6" s="294"/>
      <c r="G6" s="312"/>
      <c r="H6" s="294"/>
      <c r="I6" s="312"/>
      <c r="J6" s="294"/>
      <c r="K6" s="312"/>
      <c r="L6" s="294"/>
      <c r="M6" s="312"/>
      <c r="N6" s="294"/>
      <c r="O6" s="312"/>
      <c r="P6" s="312"/>
      <c r="Q6" s="312"/>
      <c r="R6" s="312"/>
      <c r="S6" s="312"/>
      <c r="T6" s="312"/>
      <c r="U6" s="312"/>
      <c r="V6" s="312"/>
      <c r="W6" s="294" t="s">
        <v>1395</v>
      </c>
      <c r="X6" s="294" t="s">
        <v>382</v>
      </c>
      <c r="Y6" s="255" t="s">
        <v>50</v>
      </c>
      <c r="Z6" s="255" t="s">
        <v>50</v>
      </c>
      <c r="AA6" s="268"/>
      <c r="AB6" s="255" t="s">
        <v>50</v>
      </c>
    </row>
    <row r="7" spans="1:28" ht="30" customHeight="1">
      <c r="A7" s="296" t="s">
        <v>2255</v>
      </c>
      <c r="B7" s="294" t="s">
        <v>795</v>
      </c>
      <c r="C7" s="294" t="s">
        <v>796</v>
      </c>
      <c r="D7" s="311" t="s">
        <v>610</v>
      </c>
      <c r="E7" s="312"/>
      <c r="F7" s="294"/>
      <c r="G7" s="312"/>
      <c r="H7" s="294"/>
      <c r="I7" s="312"/>
      <c r="J7" s="294"/>
      <c r="K7" s="312"/>
      <c r="L7" s="294"/>
      <c r="M7" s="312"/>
      <c r="N7" s="294"/>
      <c r="O7" s="312"/>
      <c r="P7" s="312"/>
      <c r="Q7" s="312"/>
      <c r="R7" s="312"/>
      <c r="S7" s="312"/>
      <c r="T7" s="312"/>
      <c r="U7" s="312"/>
      <c r="V7" s="312"/>
      <c r="W7" s="294" t="s">
        <v>1396</v>
      </c>
      <c r="X7" s="294" t="s">
        <v>382</v>
      </c>
      <c r="Y7" s="255" t="s">
        <v>50</v>
      </c>
      <c r="Z7" s="255" t="s">
        <v>50</v>
      </c>
      <c r="AA7" s="268"/>
      <c r="AB7" s="255" t="s">
        <v>50</v>
      </c>
    </row>
    <row r="8" spans="1:28" ht="30" customHeight="1">
      <c r="A8" s="296" t="s">
        <v>2261</v>
      </c>
      <c r="B8" s="294" t="s">
        <v>917</v>
      </c>
      <c r="C8" s="294" t="s">
        <v>796</v>
      </c>
      <c r="D8" s="311" t="s">
        <v>644</v>
      </c>
      <c r="E8" s="312"/>
      <c r="F8" s="294"/>
      <c r="G8" s="312"/>
      <c r="H8" s="294"/>
      <c r="I8" s="312"/>
      <c r="J8" s="294"/>
      <c r="K8" s="312"/>
      <c r="L8" s="294"/>
      <c r="M8" s="312"/>
      <c r="N8" s="294"/>
      <c r="O8" s="312"/>
      <c r="P8" s="312"/>
      <c r="Q8" s="312"/>
      <c r="R8" s="312"/>
      <c r="S8" s="312"/>
      <c r="T8" s="312"/>
      <c r="U8" s="312"/>
      <c r="V8" s="312"/>
      <c r="W8" s="294" t="s">
        <v>1397</v>
      </c>
      <c r="X8" s="294" t="s">
        <v>50</v>
      </c>
      <c r="Y8" s="255" t="s">
        <v>50</v>
      </c>
      <c r="Z8" s="255" t="s">
        <v>50</v>
      </c>
      <c r="AA8" s="268"/>
      <c r="AB8" s="255" t="s">
        <v>50</v>
      </c>
    </row>
    <row r="9" spans="1:28" ht="30" customHeight="1">
      <c r="A9" s="296" t="s">
        <v>2289</v>
      </c>
      <c r="B9" s="294" t="s">
        <v>771</v>
      </c>
      <c r="C9" s="294" t="s">
        <v>809</v>
      </c>
      <c r="D9" s="311" t="s">
        <v>610</v>
      </c>
      <c r="E9" s="312"/>
      <c r="F9" s="294"/>
      <c r="G9" s="312"/>
      <c r="H9" s="294"/>
      <c r="I9" s="312"/>
      <c r="J9" s="294"/>
      <c r="K9" s="312"/>
      <c r="L9" s="294"/>
      <c r="M9" s="312"/>
      <c r="N9" s="294"/>
      <c r="O9" s="312"/>
      <c r="P9" s="312"/>
      <c r="Q9" s="312"/>
      <c r="R9" s="312"/>
      <c r="S9" s="312"/>
      <c r="T9" s="312"/>
      <c r="U9" s="312"/>
      <c r="V9" s="312"/>
      <c r="W9" s="294" t="s">
        <v>1398</v>
      </c>
      <c r="X9" s="294" t="s">
        <v>382</v>
      </c>
      <c r="Y9" s="255" t="s">
        <v>50</v>
      </c>
      <c r="Z9" s="255" t="s">
        <v>50</v>
      </c>
      <c r="AA9" s="268"/>
      <c r="AB9" s="255" t="s">
        <v>50</v>
      </c>
    </row>
    <row r="10" spans="1:28" ht="30" customHeight="1">
      <c r="A10" s="296" t="s">
        <v>2203</v>
      </c>
      <c r="B10" s="294" t="s">
        <v>771</v>
      </c>
      <c r="C10" s="294" t="s">
        <v>772</v>
      </c>
      <c r="D10" s="311" t="s">
        <v>610</v>
      </c>
      <c r="E10" s="312"/>
      <c r="F10" s="294"/>
      <c r="G10" s="312"/>
      <c r="H10" s="294"/>
      <c r="I10" s="312"/>
      <c r="J10" s="294"/>
      <c r="K10" s="312"/>
      <c r="L10" s="294"/>
      <c r="M10" s="312"/>
      <c r="N10" s="294"/>
      <c r="O10" s="312"/>
      <c r="P10" s="312"/>
      <c r="Q10" s="312"/>
      <c r="R10" s="312"/>
      <c r="S10" s="312"/>
      <c r="T10" s="312"/>
      <c r="U10" s="312"/>
      <c r="V10" s="312"/>
      <c r="W10" s="294" t="s">
        <v>1399</v>
      </c>
      <c r="X10" s="294" t="s">
        <v>382</v>
      </c>
      <c r="Y10" s="255" t="s">
        <v>50</v>
      </c>
      <c r="Z10" s="255" t="s">
        <v>50</v>
      </c>
      <c r="AA10" s="268"/>
      <c r="AB10" s="255" t="s">
        <v>50</v>
      </c>
    </row>
    <row r="11" spans="1:28" ht="30" customHeight="1">
      <c r="A11" s="296" t="s">
        <v>2208</v>
      </c>
      <c r="B11" s="294" t="s">
        <v>773</v>
      </c>
      <c r="C11" s="294" t="s">
        <v>772</v>
      </c>
      <c r="D11" s="311" t="s">
        <v>610</v>
      </c>
      <c r="E11" s="312"/>
      <c r="F11" s="294"/>
      <c r="G11" s="312"/>
      <c r="H11" s="294"/>
      <c r="I11" s="312"/>
      <c r="J11" s="294"/>
      <c r="K11" s="312"/>
      <c r="L11" s="294"/>
      <c r="M11" s="312"/>
      <c r="N11" s="294"/>
      <c r="O11" s="312"/>
      <c r="P11" s="312"/>
      <c r="Q11" s="312"/>
      <c r="R11" s="312"/>
      <c r="S11" s="312"/>
      <c r="T11" s="312"/>
      <c r="U11" s="312"/>
      <c r="V11" s="312"/>
      <c r="W11" s="294" t="s">
        <v>1400</v>
      </c>
      <c r="X11" s="294" t="s">
        <v>382</v>
      </c>
      <c r="Y11" s="255" t="s">
        <v>50</v>
      </c>
      <c r="Z11" s="255" t="s">
        <v>50</v>
      </c>
      <c r="AA11" s="268"/>
      <c r="AB11" s="255" t="s">
        <v>50</v>
      </c>
    </row>
    <row r="12" spans="1:28" ht="30" customHeight="1">
      <c r="A12" s="296" t="s">
        <v>2269</v>
      </c>
      <c r="B12" s="294" t="s">
        <v>802</v>
      </c>
      <c r="C12" s="294" t="s">
        <v>803</v>
      </c>
      <c r="D12" s="311" t="s">
        <v>610</v>
      </c>
      <c r="E12" s="312"/>
      <c r="F12" s="294"/>
      <c r="G12" s="312"/>
      <c r="H12" s="294"/>
      <c r="I12" s="312"/>
      <c r="J12" s="294"/>
      <c r="K12" s="312"/>
      <c r="L12" s="294"/>
      <c r="M12" s="312"/>
      <c r="N12" s="294"/>
      <c r="O12" s="312"/>
      <c r="P12" s="312"/>
      <c r="Q12" s="312"/>
      <c r="R12" s="312"/>
      <c r="S12" s="312"/>
      <c r="T12" s="312"/>
      <c r="U12" s="312"/>
      <c r="V12" s="312"/>
      <c r="W12" s="294" t="s">
        <v>1401</v>
      </c>
      <c r="X12" s="294" t="s">
        <v>382</v>
      </c>
      <c r="Y12" s="255" t="s">
        <v>50</v>
      </c>
      <c r="Z12" s="255" t="s">
        <v>50</v>
      </c>
      <c r="AA12" s="268"/>
      <c r="AB12" s="255" t="s">
        <v>50</v>
      </c>
    </row>
    <row r="13" spans="1:28" ht="30" customHeight="1">
      <c r="A13" s="296" t="s">
        <v>2274</v>
      </c>
      <c r="B13" s="294" t="s">
        <v>790</v>
      </c>
      <c r="C13" s="294" t="s">
        <v>804</v>
      </c>
      <c r="D13" s="311" t="s">
        <v>610</v>
      </c>
      <c r="E13" s="312"/>
      <c r="F13" s="294"/>
      <c r="G13" s="312"/>
      <c r="H13" s="294"/>
      <c r="I13" s="312"/>
      <c r="J13" s="294"/>
      <c r="K13" s="312"/>
      <c r="L13" s="294"/>
      <c r="M13" s="312"/>
      <c r="N13" s="294"/>
      <c r="O13" s="312"/>
      <c r="P13" s="312"/>
      <c r="Q13" s="312"/>
      <c r="R13" s="312"/>
      <c r="S13" s="312"/>
      <c r="T13" s="312"/>
      <c r="U13" s="312"/>
      <c r="V13" s="312"/>
      <c r="W13" s="294" t="s">
        <v>1402</v>
      </c>
      <c r="X13" s="294" t="s">
        <v>382</v>
      </c>
      <c r="Y13" s="255" t="s">
        <v>50</v>
      </c>
      <c r="Z13" s="255" t="s">
        <v>50</v>
      </c>
      <c r="AA13" s="268"/>
      <c r="AB13" s="255" t="s">
        <v>50</v>
      </c>
    </row>
    <row r="14" spans="1:28" ht="30" customHeight="1">
      <c r="A14" s="296" t="s">
        <v>2243</v>
      </c>
      <c r="B14" s="294" t="s">
        <v>790</v>
      </c>
      <c r="C14" s="294" t="s">
        <v>791</v>
      </c>
      <c r="D14" s="311" t="s">
        <v>610</v>
      </c>
      <c r="E14" s="312"/>
      <c r="F14" s="294"/>
      <c r="G14" s="312"/>
      <c r="H14" s="294"/>
      <c r="I14" s="312"/>
      <c r="J14" s="294"/>
      <c r="K14" s="312"/>
      <c r="L14" s="294"/>
      <c r="M14" s="312"/>
      <c r="N14" s="294"/>
      <c r="O14" s="312"/>
      <c r="P14" s="312"/>
      <c r="Q14" s="312"/>
      <c r="R14" s="312"/>
      <c r="S14" s="312"/>
      <c r="T14" s="312"/>
      <c r="U14" s="312"/>
      <c r="V14" s="312"/>
      <c r="W14" s="294" t="s">
        <v>1403</v>
      </c>
      <c r="X14" s="294" t="s">
        <v>382</v>
      </c>
      <c r="Y14" s="255" t="s">
        <v>50</v>
      </c>
      <c r="Z14" s="255" t="s">
        <v>50</v>
      </c>
      <c r="AA14" s="268"/>
      <c r="AB14" s="255" t="s">
        <v>50</v>
      </c>
    </row>
    <row r="15" spans="1:28" ht="30" customHeight="1">
      <c r="A15" s="296" t="s">
        <v>2181</v>
      </c>
      <c r="B15" s="294" t="s">
        <v>766</v>
      </c>
      <c r="C15" s="294" t="s">
        <v>767</v>
      </c>
      <c r="D15" s="311" t="s">
        <v>610</v>
      </c>
      <c r="E15" s="312"/>
      <c r="F15" s="294"/>
      <c r="G15" s="312"/>
      <c r="H15" s="294"/>
      <c r="I15" s="312"/>
      <c r="J15" s="294"/>
      <c r="K15" s="312"/>
      <c r="L15" s="294"/>
      <c r="M15" s="312"/>
      <c r="N15" s="294"/>
      <c r="O15" s="312"/>
      <c r="P15" s="312"/>
      <c r="Q15" s="312"/>
      <c r="R15" s="312"/>
      <c r="S15" s="312"/>
      <c r="T15" s="312"/>
      <c r="U15" s="312"/>
      <c r="V15" s="312"/>
      <c r="W15" s="294" t="s">
        <v>1404</v>
      </c>
      <c r="X15" s="294" t="s">
        <v>382</v>
      </c>
      <c r="Y15" s="255" t="s">
        <v>50</v>
      </c>
      <c r="Z15" s="255" t="s">
        <v>50</v>
      </c>
      <c r="AA15" s="268"/>
      <c r="AB15" s="255" t="s">
        <v>50</v>
      </c>
    </row>
    <row r="16" spans="1:28" ht="30" customHeight="1">
      <c r="A16" s="296" t="s">
        <v>2279</v>
      </c>
      <c r="B16" s="294" t="s">
        <v>806</v>
      </c>
      <c r="C16" s="294" t="s">
        <v>767</v>
      </c>
      <c r="D16" s="311" t="s">
        <v>610</v>
      </c>
      <c r="E16" s="312"/>
      <c r="F16" s="294"/>
      <c r="G16" s="312"/>
      <c r="H16" s="294"/>
      <c r="I16" s="312"/>
      <c r="J16" s="294"/>
      <c r="K16" s="312"/>
      <c r="L16" s="294"/>
      <c r="M16" s="312"/>
      <c r="N16" s="294"/>
      <c r="O16" s="312"/>
      <c r="P16" s="312"/>
      <c r="Q16" s="312"/>
      <c r="R16" s="312"/>
      <c r="S16" s="312"/>
      <c r="T16" s="312"/>
      <c r="U16" s="312"/>
      <c r="V16" s="312"/>
      <c r="W16" s="294" t="s">
        <v>1405</v>
      </c>
      <c r="X16" s="294" t="s">
        <v>382</v>
      </c>
      <c r="Y16" s="255" t="s">
        <v>50</v>
      </c>
      <c r="Z16" s="255" t="s">
        <v>50</v>
      </c>
      <c r="AA16" s="268"/>
      <c r="AB16" s="255" t="s">
        <v>50</v>
      </c>
    </row>
    <row r="17" spans="1:28" ht="30" customHeight="1">
      <c r="A17" s="296" t="s">
        <v>2238</v>
      </c>
      <c r="B17" s="294" t="s">
        <v>788</v>
      </c>
      <c r="C17" s="294" t="s">
        <v>789</v>
      </c>
      <c r="D17" s="311" t="s">
        <v>610</v>
      </c>
      <c r="E17" s="312"/>
      <c r="F17" s="294"/>
      <c r="G17" s="312"/>
      <c r="H17" s="294"/>
      <c r="I17" s="312"/>
      <c r="J17" s="294"/>
      <c r="K17" s="312"/>
      <c r="L17" s="294"/>
      <c r="M17" s="312"/>
      <c r="N17" s="294"/>
      <c r="O17" s="312"/>
      <c r="P17" s="312"/>
      <c r="Q17" s="312"/>
      <c r="R17" s="312"/>
      <c r="S17" s="312"/>
      <c r="T17" s="312"/>
      <c r="U17" s="312"/>
      <c r="V17" s="312"/>
      <c r="W17" s="294" t="s">
        <v>1406</v>
      </c>
      <c r="X17" s="294" t="s">
        <v>382</v>
      </c>
      <c r="Y17" s="255" t="s">
        <v>50</v>
      </c>
      <c r="Z17" s="255" t="s">
        <v>50</v>
      </c>
      <c r="AA17" s="268"/>
      <c r="AB17" s="255" t="s">
        <v>50</v>
      </c>
    </row>
    <row r="18" spans="1:28" ht="30" customHeight="1">
      <c r="A18" s="296" t="s">
        <v>2284</v>
      </c>
      <c r="B18" s="294" t="s">
        <v>807</v>
      </c>
      <c r="C18" s="294" t="s">
        <v>808</v>
      </c>
      <c r="D18" s="311" t="s">
        <v>610</v>
      </c>
      <c r="E18" s="312"/>
      <c r="F18" s="294"/>
      <c r="G18" s="312"/>
      <c r="H18" s="294"/>
      <c r="I18" s="312"/>
      <c r="J18" s="294"/>
      <c r="K18" s="312"/>
      <c r="L18" s="294"/>
      <c r="M18" s="312"/>
      <c r="N18" s="294"/>
      <c r="O18" s="312"/>
      <c r="P18" s="312"/>
      <c r="Q18" s="312"/>
      <c r="R18" s="312"/>
      <c r="S18" s="312"/>
      <c r="T18" s="312"/>
      <c r="U18" s="312"/>
      <c r="V18" s="312"/>
      <c r="W18" s="294" t="s">
        <v>1407</v>
      </c>
      <c r="X18" s="294" t="s">
        <v>382</v>
      </c>
      <c r="Y18" s="255" t="s">
        <v>50</v>
      </c>
      <c r="Z18" s="255" t="s">
        <v>50</v>
      </c>
      <c r="AA18" s="268"/>
      <c r="AB18" s="255" t="s">
        <v>50</v>
      </c>
    </row>
    <row r="19" spans="1:28" ht="30" customHeight="1">
      <c r="A19" s="296" t="s">
        <v>2233</v>
      </c>
      <c r="B19" s="294" t="s">
        <v>786</v>
      </c>
      <c r="C19" s="294" t="s">
        <v>787</v>
      </c>
      <c r="D19" s="311" t="s">
        <v>610</v>
      </c>
      <c r="E19" s="312"/>
      <c r="F19" s="294"/>
      <c r="G19" s="312"/>
      <c r="H19" s="294"/>
      <c r="I19" s="312"/>
      <c r="J19" s="294"/>
      <c r="K19" s="312"/>
      <c r="L19" s="294"/>
      <c r="M19" s="312"/>
      <c r="N19" s="294"/>
      <c r="O19" s="312"/>
      <c r="P19" s="312"/>
      <c r="Q19" s="312"/>
      <c r="R19" s="312"/>
      <c r="S19" s="312"/>
      <c r="T19" s="312"/>
      <c r="U19" s="312"/>
      <c r="V19" s="312"/>
      <c r="W19" s="294" t="s">
        <v>1408</v>
      </c>
      <c r="X19" s="294" t="s">
        <v>382</v>
      </c>
      <c r="Y19" s="255" t="s">
        <v>50</v>
      </c>
      <c r="Z19" s="255" t="s">
        <v>50</v>
      </c>
      <c r="AA19" s="268"/>
      <c r="AB19" s="255" t="s">
        <v>50</v>
      </c>
    </row>
    <row r="20" spans="1:28" ht="30" customHeight="1">
      <c r="A20" s="296" t="s">
        <v>2220</v>
      </c>
      <c r="B20" s="294" t="s">
        <v>781</v>
      </c>
      <c r="C20" s="294" t="s">
        <v>782</v>
      </c>
      <c r="D20" s="311" t="s">
        <v>610</v>
      </c>
      <c r="E20" s="312"/>
      <c r="F20" s="294"/>
      <c r="G20" s="312"/>
      <c r="H20" s="294"/>
      <c r="I20" s="312"/>
      <c r="J20" s="294"/>
      <c r="K20" s="312"/>
      <c r="L20" s="294"/>
      <c r="M20" s="312"/>
      <c r="N20" s="294"/>
      <c r="O20" s="312"/>
      <c r="P20" s="312"/>
      <c r="Q20" s="312"/>
      <c r="R20" s="312"/>
      <c r="S20" s="312"/>
      <c r="T20" s="312"/>
      <c r="U20" s="312"/>
      <c r="V20" s="312"/>
      <c r="W20" s="294" t="s">
        <v>1409</v>
      </c>
      <c r="X20" s="294" t="s">
        <v>382</v>
      </c>
      <c r="Y20" s="255" t="s">
        <v>50</v>
      </c>
      <c r="Z20" s="255" t="s">
        <v>50</v>
      </c>
      <c r="AA20" s="268"/>
      <c r="AB20" s="255" t="s">
        <v>50</v>
      </c>
    </row>
    <row r="21" spans="1:28" ht="30" customHeight="1">
      <c r="A21" s="296" t="s">
        <v>2215</v>
      </c>
      <c r="B21" s="294" t="s">
        <v>779</v>
      </c>
      <c r="C21" s="294" t="s">
        <v>780</v>
      </c>
      <c r="D21" s="311" t="s">
        <v>610</v>
      </c>
      <c r="E21" s="312"/>
      <c r="F21" s="294"/>
      <c r="G21" s="312"/>
      <c r="H21" s="294"/>
      <c r="I21" s="312"/>
      <c r="J21" s="294"/>
      <c r="K21" s="312"/>
      <c r="L21" s="294"/>
      <c r="M21" s="312"/>
      <c r="N21" s="294"/>
      <c r="O21" s="312"/>
      <c r="P21" s="312"/>
      <c r="Q21" s="312"/>
      <c r="R21" s="312"/>
      <c r="S21" s="312"/>
      <c r="T21" s="312"/>
      <c r="U21" s="312"/>
      <c r="V21" s="312"/>
      <c r="W21" s="294" t="s">
        <v>1410</v>
      </c>
      <c r="X21" s="294" t="s">
        <v>382</v>
      </c>
      <c r="Y21" s="255" t="s">
        <v>50</v>
      </c>
      <c r="Z21" s="255" t="s">
        <v>50</v>
      </c>
      <c r="AA21" s="268"/>
      <c r="AB21" s="255" t="s">
        <v>50</v>
      </c>
    </row>
    <row r="22" spans="1:28" ht="30" customHeight="1">
      <c r="A22" s="296" t="s">
        <v>2263</v>
      </c>
      <c r="B22" s="294" t="s">
        <v>800</v>
      </c>
      <c r="C22" s="294" t="s">
        <v>801</v>
      </c>
      <c r="D22" s="311" t="s">
        <v>610</v>
      </c>
      <c r="E22" s="312"/>
      <c r="F22" s="294"/>
      <c r="G22" s="312"/>
      <c r="H22" s="294"/>
      <c r="I22" s="312"/>
      <c r="J22" s="294"/>
      <c r="K22" s="312"/>
      <c r="L22" s="294"/>
      <c r="M22" s="312"/>
      <c r="N22" s="294"/>
      <c r="O22" s="312"/>
      <c r="P22" s="312"/>
      <c r="Q22" s="312"/>
      <c r="R22" s="312"/>
      <c r="S22" s="312"/>
      <c r="T22" s="312"/>
      <c r="U22" s="312"/>
      <c r="V22" s="312"/>
      <c r="W22" s="294" t="s">
        <v>1411</v>
      </c>
      <c r="X22" s="294" t="s">
        <v>382</v>
      </c>
      <c r="Y22" s="255" t="s">
        <v>50</v>
      </c>
      <c r="Z22" s="255" t="s">
        <v>50</v>
      </c>
      <c r="AA22" s="268"/>
      <c r="AB22" s="255" t="s">
        <v>50</v>
      </c>
    </row>
    <row r="23" spans="1:28" ht="30" customHeight="1">
      <c r="A23" s="296" t="s">
        <v>2250</v>
      </c>
      <c r="B23" s="294" t="s">
        <v>783</v>
      </c>
      <c r="C23" s="294" t="s">
        <v>794</v>
      </c>
      <c r="D23" s="311" t="s">
        <v>610</v>
      </c>
      <c r="E23" s="312"/>
      <c r="F23" s="294"/>
      <c r="G23" s="312"/>
      <c r="H23" s="294"/>
      <c r="I23" s="312"/>
      <c r="J23" s="294"/>
      <c r="K23" s="312"/>
      <c r="L23" s="294"/>
      <c r="M23" s="312"/>
      <c r="N23" s="294"/>
      <c r="O23" s="312"/>
      <c r="P23" s="312"/>
      <c r="Q23" s="312"/>
      <c r="R23" s="312"/>
      <c r="S23" s="312"/>
      <c r="T23" s="312"/>
      <c r="U23" s="312"/>
      <c r="V23" s="312"/>
      <c r="W23" s="294" t="s">
        <v>1412</v>
      </c>
      <c r="X23" s="294" t="s">
        <v>382</v>
      </c>
      <c r="Y23" s="255" t="s">
        <v>50</v>
      </c>
      <c r="Z23" s="255" t="s">
        <v>50</v>
      </c>
      <c r="AA23" s="268"/>
      <c r="AB23" s="255" t="s">
        <v>50</v>
      </c>
    </row>
    <row r="24" spans="1:28" ht="30" customHeight="1">
      <c r="A24" s="296" t="s">
        <v>2228</v>
      </c>
      <c r="B24" s="294" t="s">
        <v>783</v>
      </c>
      <c r="C24" s="294" t="s">
        <v>785</v>
      </c>
      <c r="D24" s="311" t="s">
        <v>610</v>
      </c>
      <c r="E24" s="312"/>
      <c r="F24" s="294"/>
      <c r="G24" s="312"/>
      <c r="H24" s="294"/>
      <c r="I24" s="312"/>
      <c r="J24" s="294"/>
      <c r="K24" s="312"/>
      <c r="L24" s="294"/>
      <c r="M24" s="312"/>
      <c r="N24" s="294"/>
      <c r="O24" s="312"/>
      <c r="P24" s="312"/>
      <c r="Q24" s="312"/>
      <c r="R24" s="312"/>
      <c r="S24" s="312"/>
      <c r="T24" s="312"/>
      <c r="U24" s="312"/>
      <c r="V24" s="312"/>
      <c r="W24" s="294" t="s">
        <v>1413</v>
      </c>
      <c r="X24" s="294" t="s">
        <v>382</v>
      </c>
      <c r="Y24" s="255" t="s">
        <v>50</v>
      </c>
      <c r="Z24" s="255" t="s">
        <v>50</v>
      </c>
      <c r="AA24" s="268"/>
      <c r="AB24" s="255" t="s">
        <v>50</v>
      </c>
    </row>
    <row r="25" spans="1:28" ht="30" customHeight="1">
      <c r="A25" s="296" t="s">
        <v>2222</v>
      </c>
      <c r="B25" s="294" t="s">
        <v>783</v>
      </c>
      <c r="C25" s="294" t="s">
        <v>784</v>
      </c>
      <c r="D25" s="311" t="s">
        <v>610</v>
      </c>
      <c r="E25" s="312"/>
      <c r="F25" s="294"/>
      <c r="G25" s="312"/>
      <c r="H25" s="294"/>
      <c r="I25" s="312"/>
      <c r="J25" s="294"/>
      <c r="K25" s="312"/>
      <c r="L25" s="294"/>
      <c r="M25" s="312"/>
      <c r="N25" s="294"/>
      <c r="O25" s="312"/>
      <c r="P25" s="312"/>
      <c r="Q25" s="312"/>
      <c r="R25" s="312"/>
      <c r="S25" s="312"/>
      <c r="T25" s="312"/>
      <c r="U25" s="312"/>
      <c r="V25" s="312"/>
      <c r="W25" s="294" t="s">
        <v>1414</v>
      </c>
      <c r="X25" s="294" t="s">
        <v>382</v>
      </c>
      <c r="Y25" s="255" t="s">
        <v>50</v>
      </c>
      <c r="Z25" s="255" t="s">
        <v>50</v>
      </c>
      <c r="AA25" s="268"/>
      <c r="AB25" s="255" t="s">
        <v>50</v>
      </c>
    </row>
    <row r="26" spans="1:28" ht="30" customHeight="1">
      <c r="A26" s="296" t="s">
        <v>2142</v>
      </c>
      <c r="B26" s="294" t="s">
        <v>706</v>
      </c>
      <c r="C26" s="294" t="s">
        <v>896</v>
      </c>
      <c r="D26" s="311" t="s">
        <v>650</v>
      </c>
      <c r="E26" s="312"/>
      <c r="F26" s="294"/>
      <c r="G26" s="312"/>
      <c r="H26" s="294"/>
      <c r="I26" s="312"/>
      <c r="J26" s="294"/>
      <c r="K26" s="312"/>
      <c r="L26" s="294"/>
      <c r="M26" s="312"/>
      <c r="N26" s="294"/>
      <c r="O26" s="312"/>
      <c r="P26" s="312"/>
      <c r="Q26" s="312"/>
      <c r="R26" s="312"/>
      <c r="S26" s="312"/>
      <c r="T26" s="312"/>
      <c r="U26" s="312"/>
      <c r="V26" s="312"/>
      <c r="W26" s="294" t="s">
        <v>1415</v>
      </c>
      <c r="X26" s="294" t="s">
        <v>870</v>
      </c>
      <c r="Y26" s="255" t="s">
        <v>50</v>
      </c>
      <c r="Z26" s="255" t="s">
        <v>50</v>
      </c>
      <c r="AA26" s="268"/>
      <c r="AB26" s="255" t="s">
        <v>50</v>
      </c>
    </row>
    <row r="27" spans="1:28" ht="30" customHeight="1">
      <c r="A27" s="296" t="s">
        <v>1858</v>
      </c>
      <c r="B27" s="294" t="s">
        <v>706</v>
      </c>
      <c r="C27" s="294" t="s">
        <v>707</v>
      </c>
      <c r="D27" s="311" t="s">
        <v>650</v>
      </c>
      <c r="E27" s="312"/>
      <c r="F27" s="294"/>
      <c r="G27" s="312"/>
      <c r="H27" s="294"/>
      <c r="I27" s="312"/>
      <c r="J27" s="294"/>
      <c r="K27" s="312"/>
      <c r="L27" s="294"/>
      <c r="M27" s="312"/>
      <c r="N27" s="294"/>
      <c r="O27" s="312"/>
      <c r="P27" s="312"/>
      <c r="Q27" s="312"/>
      <c r="R27" s="312"/>
      <c r="S27" s="312"/>
      <c r="T27" s="312"/>
      <c r="U27" s="312"/>
      <c r="V27" s="312"/>
      <c r="W27" s="294" t="s">
        <v>1416</v>
      </c>
      <c r="X27" s="294" t="s">
        <v>50</v>
      </c>
      <c r="Y27" s="255" t="s">
        <v>50</v>
      </c>
      <c r="Z27" s="255" t="s">
        <v>50</v>
      </c>
      <c r="AA27" s="268"/>
      <c r="AB27" s="255" t="s">
        <v>50</v>
      </c>
    </row>
    <row r="28" spans="1:28" ht="30" customHeight="1">
      <c r="A28" s="296" t="s">
        <v>2140</v>
      </c>
      <c r="B28" s="294" t="s">
        <v>708</v>
      </c>
      <c r="C28" s="294" t="s">
        <v>873</v>
      </c>
      <c r="D28" s="311" t="s">
        <v>650</v>
      </c>
      <c r="E28" s="312"/>
      <c r="F28" s="294"/>
      <c r="G28" s="312"/>
      <c r="H28" s="294"/>
      <c r="I28" s="312"/>
      <c r="J28" s="294"/>
      <c r="K28" s="312"/>
      <c r="L28" s="294"/>
      <c r="M28" s="312"/>
      <c r="N28" s="294"/>
      <c r="O28" s="312"/>
      <c r="P28" s="312"/>
      <c r="Q28" s="312"/>
      <c r="R28" s="312"/>
      <c r="S28" s="312"/>
      <c r="T28" s="312"/>
      <c r="U28" s="312"/>
      <c r="V28" s="312"/>
      <c r="W28" s="294" t="s">
        <v>1417</v>
      </c>
      <c r="X28" s="294" t="s">
        <v>870</v>
      </c>
      <c r="Y28" s="255" t="s">
        <v>50</v>
      </c>
      <c r="Z28" s="255" t="s">
        <v>50</v>
      </c>
      <c r="AA28" s="268"/>
      <c r="AB28" s="255" t="s">
        <v>50</v>
      </c>
    </row>
    <row r="29" spans="1:28" ht="30" customHeight="1">
      <c r="A29" s="296" t="s">
        <v>1860</v>
      </c>
      <c r="B29" s="294" t="s">
        <v>708</v>
      </c>
      <c r="C29" s="294" t="s">
        <v>709</v>
      </c>
      <c r="D29" s="311" t="s">
        <v>650</v>
      </c>
      <c r="E29" s="312"/>
      <c r="F29" s="294"/>
      <c r="G29" s="312"/>
      <c r="H29" s="294"/>
      <c r="I29" s="312"/>
      <c r="J29" s="294"/>
      <c r="K29" s="312"/>
      <c r="L29" s="294"/>
      <c r="M29" s="312"/>
      <c r="N29" s="294"/>
      <c r="O29" s="312"/>
      <c r="P29" s="312"/>
      <c r="Q29" s="312"/>
      <c r="R29" s="312"/>
      <c r="S29" s="312"/>
      <c r="T29" s="312"/>
      <c r="U29" s="312"/>
      <c r="V29" s="312"/>
      <c r="W29" s="294" t="s">
        <v>1418</v>
      </c>
      <c r="X29" s="294" t="s">
        <v>50</v>
      </c>
      <c r="Y29" s="255" t="s">
        <v>50</v>
      </c>
      <c r="Z29" s="255" t="s">
        <v>50</v>
      </c>
      <c r="AA29" s="268"/>
      <c r="AB29" s="255" t="s">
        <v>50</v>
      </c>
    </row>
    <row r="30" spans="1:28" ht="30" customHeight="1">
      <c r="A30" s="296" t="s">
        <v>2148</v>
      </c>
      <c r="B30" s="294" t="s">
        <v>904</v>
      </c>
      <c r="C30" s="294" t="s">
        <v>905</v>
      </c>
      <c r="D30" s="311" t="s">
        <v>869</v>
      </c>
      <c r="E30" s="312"/>
      <c r="F30" s="294"/>
      <c r="G30" s="312"/>
      <c r="H30" s="294"/>
      <c r="I30" s="312"/>
      <c r="J30" s="294"/>
      <c r="K30" s="312"/>
      <c r="L30" s="294"/>
      <c r="M30" s="312"/>
      <c r="N30" s="294"/>
      <c r="O30" s="312"/>
      <c r="P30" s="312"/>
      <c r="Q30" s="312"/>
      <c r="R30" s="312"/>
      <c r="S30" s="312"/>
      <c r="T30" s="312"/>
      <c r="U30" s="312"/>
      <c r="V30" s="312"/>
      <c r="W30" s="294" t="s">
        <v>1419</v>
      </c>
      <c r="X30" s="294" t="s">
        <v>50</v>
      </c>
      <c r="Y30" s="255" t="s">
        <v>50</v>
      </c>
      <c r="Z30" s="255" t="s">
        <v>50</v>
      </c>
      <c r="AA30" s="268"/>
      <c r="AB30" s="255" t="s">
        <v>50</v>
      </c>
    </row>
    <row r="31" spans="1:28" ht="30" customHeight="1">
      <c r="A31" s="296" t="s">
        <v>2038</v>
      </c>
      <c r="B31" s="294" t="s">
        <v>853</v>
      </c>
      <c r="C31" s="294" t="s">
        <v>854</v>
      </c>
      <c r="D31" s="311" t="s">
        <v>644</v>
      </c>
      <c r="E31" s="312"/>
      <c r="F31" s="294"/>
      <c r="G31" s="312"/>
      <c r="H31" s="294"/>
      <c r="I31" s="312"/>
      <c r="J31" s="294"/>
      <c r="K31" s="312"/>
      <c r="L31" s="294"/>
      <c r="M31" s="312"/>
      <c r="N31" s="294"/>
      <c r="O31" s="312"/>
      <c r="P31" s="312"/>
      <c r="Q31" s="312"/>
      <c r="R31" s="312"/>
      <c r="S31" s="312"/>
      <c r="T31" s="312"/>
      <c r="U31" s="312"/>
      <c r="V31" s="312"/>
      <c r="W31" s="294" t="s">
        <v>1420</v>
      </c>
      <c r="X31" s="294" t="s">
        <v>1474</v>
      </c>
      <c r="Y31" s="255" t="s">
        <v>50</v>
      </c>
      <c r="Z31" s="255" t="s">
        <v>50</v>
      </c>
      <c r="AA31" s="268"/>
      <c r="AB31" s="255" t="s">
        <v>50</v>
      </c>
    </row>
    <row r="32" spans="1:28" ht="30" customHeight="1">
      <c r="A32" s="296" t="s">
        <v>2036</v>
      </c>
      <c r="B32" s="294" t="s">
        <v>851</v>
      </c>
      <c r="C32" s="294" t="s">
        <v>852</v>
      </c>
      <c r="D32" s="311" t="s">
        <v>704</v>
      </c>
      <c r="E32" s="312"/>
      <c r="F32" s="294"/>
      <c r="G32" s="312"/>
      <c r="H32" s="294"/>
      <c r="I32" s="312"/>
      <c r="J32" s="294"/>
      <c r="K32" s="312"/>
      <c r="L32" s="294"/>
      <c r="M32" s="312"/>
      <c r="N32" s="294"/>
      <c r="O32" s="312"/>
      <c r="P32" s="312"/>
      <c r="Q32" s="312"/>
      <c r="R32" s="312"/>
      <c r="S32" s="312"/>
      <c r="T32" s="312"/>
      <c r="U32" s="312"/>
      <c r="V32" s="312"/>
      <c r="W32" s="294" t="s">
        <v>1421</v>
      </c>
      <c r="X32" s="294" t="s">
        <v>50</v>
      </c>
      <c r="Y32" s="255" t="s">
        <v>50</v>
      </c>
      <c r="Z32" s="255" t="s">
        <v>50</v>
      </c>
      <c r="AA32" s="268"/>
      <c r="AB32" s="255" t="s">
        <v>50</v>
      </c>
    </row>
    <row r="33" spans="1:28" ht="30" customHeight="1">
      <c r="A33" s="296" t="s">
        <v>1820</v>
      </c>
      <c r="B33" s="294" t="s">
        <v>642</v>
      </c>
      <c r="C33" s="294" t="s">
        <v>643</v>
      </c>
      <c r="D33" s="311" t="s">
        <v>644</v>
      </c>
      <c r="E33" s="312"/>
      <c r="F33" s="294"/>
      <c r="G33" s="312"/>
      <c r="H33" s="294"/>
      <c r="I33" s="312"/>
      <c r="J33" s="294"/>
      <c r="K33" s="312"/>
      <c r="L33" s="294"/>
      <c r="M33" s="312"/>
      <c r="N33" s="294"/>
      <c r="O33" s="312"/>
      <c r="P33" s="312"/>
      <c r="Q33" s="312"/>
      <c r="R33" s="312"/>
      <c r="S33" s="312"/>
      <c r="T33" s="312"/>
      <c r="U33" s="312"/>
      <c r="V33" s="312"/>
      <c r="W33" s="294" t="s">
        <v>1422</v>
      </c>
      <c r="X33" s="294" t="s">
        <v>645</v>
      </c>
      <c r="Y33" s="255" t="s">
        <v>50</v>
      </c>
      <c r="Z33" s="255" t="s">
        <v>50</v>
      </c>
      <c r="AA33" s="268"/>
      <c r="AB33" s="255" t="s">
        <v>50</v>
      </c>
    </row>
    <row r="34" spans="1:28" ht="30" customHeight="1">
      <c r="A34" s="296" t="s">
        <v>1822</v>
      </c>
      <c r="B34" s="294" t="s">
        <v>642</v>
      </c>
      <c r="C34" s="294" t="s">
        <v>646</v>
      </c>
      <c r="D34" s="311" t="s">
        <v>644</v>
      </c>
      <c r="E34" s="312"/>
      <c r="F34" s="294"/>
      <c r="G34" s="312"/>
      <c r="H34" s="294"/>
      <c r="I34" s="312"/>
      <c r="J34" s="294"/>
      <c r="K34" s="312"/>
      <c r="L34" s="294"/>
      <c r="M34" s="312"/>
      <c r="N34" s="294"/>
      <c r="O34" s="312"/>
      <c r="P34" s="312"/>
      <c r="Q34" s="312"/>
      <c r="R34" s="312"/>
      <c r="S34" s="312"/>
      <c r="T34" s="312"/>
      <c r="U34" s="312"/>
      <c r="V34" s="312"/>
      <c r="W34" s="294" t="s">
        <v>1423</v>
      </c>
      <c r="X34" s="294" t="s">
        <v>645</v>
      </c>
      <c r="Y34" s="255" t="s">
        <v>50</v>
      </c>
      <c r="Z34" s="255" t="s">
        <v>50</v>
      </c>
      <c r="AA34" s="268"/>
      <c r="AB34" s="255" t="s">
        <v>50</v>
      </c>
    </row>
    <row r="35" spans="1:28" ht="30" customHeight="1">
      <c r="A35" s="296" t="s">
        <v>1905</v>
      </c>
      <c r="B35" s="294" t="s">
        <v>642</v>
      </c>
      <c r="C35" s="294" t="s">
        <v>647</v>
      </c>
      <c r="D35" s="311" t="s">
        <v>644</v>
      </c>
      <c r="E35" s="312"/>
      <c r="F35" s="294"/>
      <c r="G35" s="312"/>
      <c r="H35" s="294"/>
      <c r="I35" s="312"/>
      <c r="J35" s="294"/>
      <c r="K35" s="312"/>
      <c r="L35" s="294"/>
      <c r="M35" s="312"/>
      <c r="N35" s="294"/>
      <c r="O35" s="312"/>
      <c r="P35" s="312"/>
      <c r="Q35" s="312"/>
      <c r="R35" s="312"/>
      <c r="S35" s="312"/>
      <c r="T35" s="312"/>
      <c r="U35" s="312"/>
      <c r="V35" s="312"/>
      <c r="W35" s="294" t="s">
        <v>1424</v>
      </c>
      <c r="X35" s="294" t="s">
        <v>645</v>
      </c>
      <c r="Y35" s="255" t="s">
        <v>50</v>
      </c>
      <c r="Z35" s="255" t="s">
        <v>50</v>
      </c>
      <c r="AA35" s="268"/>
      <c r="AB35" s="255" t="s">
        <v>50</v>
      </c>
    </row>
    <row r="36" spans="1:28" ht="30" customHeight="1">
      <c r="A36" s="296" t="s">
        <v>1907</v>
      </c>
      <c r="B36" s="294" t="s">
        <v>642</v>
      </c>
      <c r="C36" s="294" t="s">
        <v>1508</v>
      </c>
      <c r="D36" s="311" t="s">
        <v>644</v>
      </c>
      <c r="E36" s="312"/>
      <c r="F36" s="294"/>
      <c r="G36" s="312"/>
      <c r="H36" s="294"/>
      <c r="I36" s="312"/>
      <c r="J36" s="294"/>
      <c r="K36" s="312"/>
      <c r="L36" s="294"/>
      <c r="M36" s="312"/>
      <c r="N36" s="294"/>
      <c r="O36" s="312"/>
      <c r="P36" s="312"/>
      <c r="Q36" s="312"/>
      <c r="R36" s="312"/>
      <c r="S36" s="312"/>
      <c r="T36" s="312"/>
      <c r="U36" s="312"/>
      <c r="V36" s="312"/>
      <c r="W36" s="294" t="s">
        <v>1425</v>
      </c>
      <c r="X36" s="294" t="s">
        <v>645</v>
      </c>
      <c r="Y36" s="255" t="s">
        <v>50</v>
      </c>
      <c r="Z36" s="255" t="s">
        <v>50</v>
      </c>
      <c r="AA36" s="268"/>
      <c r="AB36" s="255" t="s">
        <v>50</v>
      </c>
    </row>
    <row r="37" spans="1:28" ht="30" customHeight="1">
      <c r="A37" s="296" t="s">
        <v>1824</v>
      </c>
      <c r="B37" s="294" t="s">
        <v>642</v>
      </c>
      <c r="C37" s="294" t="s">
        <v>1505</v>
      </c>
      <c r="D37" s="311" t="s">
        <v>644</v>
      </c>
      <c r="E37" s="312"/>
      <c r="F37" s="294"/>
      <c r="G37" s="312"/>
      <c r="H37" s="294"/>
      <c r="I37" s="312"/>
      <c r="J37" s="294"/>
      <c r="K37" s="312"/>
      <c r="L37" s="294"/>
      <c r="M37" s="312"/>
      <c r="N37" s="294"/>
      <c r="O37" s="312"/>
      <c r="P37" s="312"/>
      <c r="Q37" s="312"/>
      <c r="R37" s="312"/>
      <c r="S37" s="312"/>
      <c r="T37" s="312"/>
      <c r="U37" s="312"/>
      <c r="V37" s="312"/>
      <c r="W37" s="294" t="s">
        <v>1426</v>
      </c>
      <c r="X37" s="294" t="s">
        <v>645</v>
      </c>
      <c r="Y37" s="255" t="s">
        <v>50</v>
      </c>
      <c r="Z37" s="255" t="s">
        <v>50</v>
      </c>
      <c r="AA37" s="268"/>
      <c r="AB37" s="255" t="s">
        <v>50</v>
      </c>
    </row>
    <row r="38" spans="1:28" ht="30" customHeight="1">
      <c r="A38" s="296" t="s">
        <v>1826</v>
      </c>
      <c r="B38" s="294" t="s">
        <v>642</v>
      </c>
      <c r="C38" s="294" t="s">
        <v>1506</v>
      </c>
      <c r="D38" s="311" t="s">
        <v>644</v>
      </c>
      <c r="E38" s="312"/>
      <c r="F38" s="294"/>
      <c r="G38" s="312"/>
      <c r="H38" s="294"/>
      <c r="I38" s="312"/>
      <c r="J38" s="294"/>
      <c r="K38" s="312"/>
      <c r="L38" s="294"/>
      <c r="M38" s="312"/>
      <c r="N38" s="294"/>
      <c r="O38" s="312"/>
      <c r="P38" s="312"/>
      <c r="Q38" s="312"/>
      <c r="R38" s="312"/>
      <c r="S38" s="312"/>
      <c r="T38" s="312"/>
      <c r="U38" s="312"/>
      <c r="V38" s="312"/>
      <c r="W38" s="294" t="s">
        <v>1427</v>
      </c>
      <c r="X38" s="294" t="s">
        <v>645</v>
      </c>
      <c r="Y38" s="255" t="s">
        <v>50</v>
      </c>
      <c r="Z38" s="255" t="s">
        <v>50</v>
      </c>
      <c r="AA38" s="268"/>
      <c r="AB38" s="255" t="s">
        <v>50</v>
      </c>
    </row>
    <row r="39" spans="1:28" ht="30" customHeight="1">
      <c r="A39" s="296" t="s">
        <v>2046</v>
      </c>
      <c r="B39" s="294" t="s">
        <v>695</v>
      </c>
      <c r="C39" s="294" t="s">
        <v>696</v>
      </c>
      <c r="D39" s="311" t="s">
        <v>650</v>
      </c>
      <c r="E39" s="312"/>
      <c r="F39" s="294"/>
      <c r="G39" s="312"/>
      <c r="H39" s="294"/>
      <c r="I39" s="312"/>
      <c r="J39" s="294"/>
      <c r="K39" s="312"/>
      <c r="L39" s="294"/>
      <c r="M39" s="312"/>
      <c r="N39" s="294"/>
      <c r="O39" s="312"/>
      <c r="P39" s="312"/>
      <c r="Q39" s="312"/>
      <c r="R39" s="312"/>
      <c r="S39" s="312"/>
      <c r="T39" s="312"/>
      <c r="U39" s="312"/>
      <c r="V39" s="312"/>
      <c r="W39" s="294" t="s">
        <v>1428</v>
      </c>
      <c r="X39" s="294" t="s">
        <v>645</v>
      </c>
      <c r="Y39" s="255" t="s">
        <v>50</v>
      </c>
      <c r="Z39" s="255" t="s">
        <v>50</v>
      </c>
      <c r="AA39" s="268"/>
      <c r="AB39" s="255" t="s">
        <v>50</v>
      </c>
    </row>
    <row r="40" spans="1:28" ht="30" customHeight="1">
      <c r="A40" s="296" t="s">
        <v>1890</v>
      </c>
      <c r="B40" s="294" t="s">
        <v>736</v>
      </c>
      <c r="C40" s="294" t="s">
        <v>737</v>
      </c>
      <c r="D40" s="311" t="s">
        <v>650</v>
      </c>
      <c r="E40" s="312"/>
      <c r="F40" s="294"/>
      <c r="G40" s="312"/>
      <c r="H40" s="294"/>
      <c r="I40" s="312"/>
      <c r="J40" s="294"/>
      <c r="K40" s="312"/>
      <c r="L40" s="294"/>
      <c r="M40" s="312"/>
      <c r="N40" s="294"/>
      <c r="O40" s="312"/>
      <c r="P40" s="312"/>
      <c r="Q40" s="312"/>
      <c r="R40" s="312"/>
      <c r="S40" s="312"/>
      <c r="T40" s="312"/>
      <c r="U40" s="312"/>
      <c r="V40" s="312"/>
      <c r="W40" s="294" t="s">
        <v>1429</v>
      </c>
      <c r="X40" s="294" t="s">
        <v>1538</v>
      </c>
      <c r="Y40" s="255" t="s">
        <v>50</v>
      </c>
      <c r="Z40" s="255" t="s">
        <v>50</v>
      </c>
      <c r="AA40" s="268"/>
      <c r="AB40" s="255" t="s">
        <v>50</v>
      </c>
    </row>
    <row r="41" spans="1:28" ht="30" customHeight="1">
      <c r="A41" s="296" t="s">
        <v>1888</v>
      </c>
      <c r="B41" s="294" t="s">
        <v>731</v>
      </c>
      <c r="C41" s="294" t="s">
        <v>732</v>
      </c>
      <c r="D41" s="311" t="s">
        <v>723</v>
      </c>
      <c r="E41" s="312"/>
      <c r="F41" s="294"/>
      <c r="G41" s="312"/>
      <c r="H41" s="294"/>
      <c r="I41" s="312"/>
      <c r="J41" s="294"/>
      <c r="K41" s="312"/>
      <c r="L41" s="294"/>
      <c r="M41" s="312"/>
      <c r="N41" s="294"/>
      <c r="O41" s="312"/>
      <c r="P41" s="312"/>
      <c r="Q41" s="312"/>
      <c r="R41" s="312"/>
      <c r="S41" s="312"/>
      <c r="T41" s="312"/>
      <c r="U41" s="312"/>
      <c r="V41" s="312"/>
      <c r="W41" s="294" t="s">
        <v>1430</v>
      </c>
      <c r="X41" s="294" t="s">
        <v>733</v>
      </c>
      <c r="Y41" s="255" t="s">
        <v>50</v>
      </c>
      <c r="Z41" s="255" t="s">
        <v>50</v>
      </c>
      <c r="AA41" s="268"/>
      <c r="AB41" s="255" t="s">
        <v>50</v>
      </c>
    </row>
    <row r="42" spans="1:28" ht="30" customHeight="1">
      <c r="A42" s="296" t="s">
        <v>2080</v>
      </c>
      <c r="B42" s="294" t="s">
        <v>731</v>
      </c>
      <c r="C42" s="294" t="s">
        <v>872</v>
      </c>
      <c r="D42" s="311" t="s">
        <v>805</v>
      </c>
      <c r="E42" s="312"/>
      <c r="F42" s="294"/>
      <c r="G42" s="312"/>
      <c r="H42" s="294"/>
      <c r="I42" s="312"/>
      <c r="J42" s="294"/>
      <c r="K42" s="312"/>
      <c r="L42" s="294"/>
      <c r="M42" s="312"/>
      <c r="N42" s="294"/>
      <c r="O42" s="312"/>
      <c r="P42" s="312"/>
      <c r="Q42" s="312"/>
      <c r="R42" s="312"/>
      <c r="S42" s="312"/>
      <c r="T42" s="312"/>
      <c r="U42" s="312"/>
      <c r="V42" s="312"/>
      <c r="W42" s="294" t="s">
        <v>1431</v>
      </c>
      <c r="X42" s="294" t="s">
        <v>870</v>
      </c>
      <c r="Y42" s="255" t="s">
        <v>50</v>
      </c>
      <c r="Z42" s="255" t="s">
        <v>50</v>
      </c>
      <c r="AA42" s="268"/>
      <c r="AB42" s="255" t="s">
        <v>50</v>
      </c>
    </row>
    <row r="43" spans="1:28" ht="30" customHeight="1">
      <c r="A43" s="296" t="s">
        <v>2157</v>
      </c>
      <c r="B43" s="294" t="s">
        <v>1517</v>
      </c>
      <c r="C43" s="294" t="s">
        <v>1518</v>
      </c>
      <c r="D43" s="311" t="s">
        <v>705</v>
      </c>
      <c r="E43" s="312"/>
      <c r="F43" s="294"/>
      <c r="G43" s="312"/>
      <c r="H43" s="294"/>
      <c r="I43" s="312"/>
      <c r="J43" s="294"/>
      <c r="K43" s="312"/>
      <c r="L43" s="294"/>
      <c r="M43" s="312"/>
      <c r="N43" s="294"/>
      <c r="O43" s="312"/>
      <c r="P43" s="312"/>
      <c r="Q43" s="312"/>
      <c r="R43" s="312"/>
      <c r="S43" s="312"/>
      <c r="T43" s="312"/>
      <c r="U43" s="312"/>
      <c r="V43" s="312"/>
      <c r="W43" s="294" t="s">
        <v>1432</v>
      </c>
      <c r="X43" s="294" t="s">
        <v>50</v>
      </c>
      <c r="Y43" s="255" t="s">
        <v>50</v>
      </c>
      <c r="Z43" s="255" t="s">
        <v>50</v>
      </c>
      <c r="AA43" s="268"/>
      <c r="AB43" s="255" t="s">
        <v>50</v>
      </c>
    </row>
    <row r="44" spans="1:28" ht="30" customHeight="1">
      <c r="A44" s="296" t="s">
        <v>2113</v>
      </c>
      <c r="B44" s="294" t="s">
        <v>887</v>
      </c>
      <c r="C44" s="294" t="s">
        <v>888</v>
      </c>
      <c r="D44" s="311" t="s">
        <v>596</v>
      </c>
      <c r="E44" s="312"/>
      <c r="F44" s="294"/>
      <c r="G44" s="312"/>
      <c r="H44" s="294"/>
      <c r="I44" s="312"/>
      <c r="J44" s="294"/>
      <c r="K44" s="312"/>
      <c r="L44" s="294"/>
      <c r="M44" s="312"/>
      <c r="N44" s="294"/>
      <c r="O44" s="312"/>
      <c r="P44" s="312"/>
      <c r="Q44" s="312"/>
      <c r="R44" s="312"/>
      <c r="S44" s="312"/>
      <c r="T44" s="312"/>
      <c r="U44" s="312"/>
      <c r="V44" s="312"/>
      <c r="W44" s="294" t="s">
        <v>1433</v>
      </c>
      <c r="X44" s="294" t="s">
        <v>50</v>
      </c>
      <c r="Y44" s="255" t="s">
        <v>50</v>
      </c>
      <c r="Z44" s="255" t="s">
        <v>50</v>
      </c>
      <c r="AA44" s="268"/>
      <c r="AB44" s="255" t="s">
        <v>50</v>
      </c>
    </row>
    <row r="45" spans="1:28" ht="30" customHeight="1">
      <c r="A45" s="296" t="s">
        <v>2119</v>
      </c>
      <c r="B45" s="294" t="s">
        <v>890</v>
      </c>
      <c r="C45" s="294" t="s">
        <v>892</v>
      </c>
      <c r="D45" s="311" t="s">
        <v>704</v>
      </c>
      <c r="E45" s="312"/>
      <c r="F45" s="294"/>
      <c r="G45" s="312"/>
      <c r="H45" s="294"/>
      <c r="I45" s="312"/>
      <c r="J45" s="294"/>
      <c r="K45" s="312"/>
      <c r="L45" s="294"/>
      <c r="M45" s="312"/>
      <c r="N45" s="294"/>
      <c r="O45" s="312"/>
      <c r="P45" s="312"/>
      <c r="Q45" s="312"/>
      <c r="R45" s="312"/>
      <c r="S45" s="312"/>
      <c r="T45" s="312"/>
      <c r="U45" s="312"/>
      <c r="V45" s="312"/>
      <c r="W45" s="294" t="s">
        <v>1434</v>
      </c>
      <c r="X45" s="294" t="s">
        <v>50</v>
      </c>
      <c r="Y45" s="255" t="s">
        <v>50</v>
      </c>
      <c r="Z45" s="255" t="s">
        <v>50</v>
      </c>
      <c r="AA45" s="268"/>
      <c r="AB45" s="255" t="s">
        <v>50</v>
      </c>
    </row>
    <row r="46" spans="1:28" ht="30" customHeight="1">
      <c r="A46" s="296" t="s">
        <v>2117</v>
      </c>
      <c r="B46" s="294" t="s">
        <v>890</v>
      </c>
      <c r="C46" s="294" t="s">
        <v>891</v>
      </c>
      <c r="D46" s="311" t="s">
        <v>704</v>
      </c>
      <c r="E46" s="312"/>
      <c r="F46" s="294"/>
      <c r="G46" s="312"/>
      <c r="H46" s="294"/>
      <c r="I46" s="312"/>
      <c r="J46" s="294"/>
      <c r="K46" s="312"/>
      <c r="L46" s="294"/>
      <c r="M46" s="312"/>
      <c r="N46" s="294"/>
      <c r="O46" s="312"/>
      <c r="P46" s="312"/>
      <c r="Q46" s="312"/>
      <c r="R46" s="312"/>
      <c r="S46" s="312"/>
      <c r="T46" s="312"/>
      <c r="U46" s="312"/>
      <c r="V46" s="312"/>
      <c r="W46" s="294" t="s">
        <v>1435</v>
      </c>
      <c r="X46" s="294" t="s">
        <v>50</v>
      </c>
      <c r="Y46" s="255" t="s">
        <v>50</v>
      </c>
      <c r="Z46" s="255" t="s">
        <v>50</v>
      </c>
      <c r="AA46" s="268"/>
      <c r="AB46" s="255" t="s">
        <v>50</v>
      </c>
    </row>
    <row r="47" spans="1:28" ht="30" customHeight="1">
      <c r="A47" s="296" t="s">
        <v>2109</v>
      </c>
      <c r="B47" s="294" t="s">
        <v>884</v>
      </c>
      <c r="C47" s="294" t="s">
        <v>885</v>
      </c>
      <c r="D47" s="311" t="s">
        <v>705</v>
      </c>
      <c r="E47" s="312"/>
      <c r="F47" s="294"/>
      <c r="G47" s="312"/>
      <c r="H47" s="294"/>
      <c r="I47" s="312"/>
      <c r="J47" s="294"/>
      <c r="K47" s="312"/>
      <c r="L47" s="294"/>
      <c r="M47" s="312"/>
      <c r="N47" s="294"/>
      <c r="O47" s="312"/>
      <c r="P47" s="312"/>
      <c r="Q47" s="312"/>
      <c r="R47" s="312"/>
      <c r="S47" s="312"/>
      <c r="T47" s="312"/>
      <c r="U47" s="312"/>
      <c r="V47" s="312"/>
      <c r="W47" s="294" t="s">
        <v>1436</v>
      </c>
      <c r="X47" s="294" t="s">
        <v>50</v>
      </c>
      <c r="Y47" s="255" t="s">
        <v>50</v>
      </c>
      <c r="Z47" s="255" t="s">
        <v>50</v>
      </c>
      <c r="AA47" s="268"/>
      <c r="AB47" s="255" t="s">
        <v>50</v>
      </c>
    </row>
    <row r="48" spans="1:28" ht="30" customHeight="1">
      <c r="A48" s="296" t="s">
        <v>2124</v>
      </c>
      <c r="B48" s="294" t="s">
        <v>884</v>
      </c>
      <c r="C48" s="294" t="s">
        <v>894</v>
      </c>
      <c r="D48" s="311" t="s">
        <v>704</v>
      </c>
      <c r="E48" s="312"/>
      <c r="F48" s="294"/>
      <c r="G48" s="312"/>
      <c r="H48" s="294"/>
      <c r="I48" s="312"/>
      <c r="J48" s="294"/>
      <c r="K48" s="312"/>
      <c r="L48" s="294"/>
      <c r="M48" s="312"/>
      <c r="N48" s="294"/>
      <c r="O48" s="312"/>
      <c r="P48" s="312"/>
      <c r="Q48" s="312"/>
      <c r="R48" s="312"/>
      <c r="S48" s="312"/>
      <c r="T48" s="312"/>
      <c r="U48" s="312"/>
      <c r="V48" s="312"/>
      <c r="W48" s="294" t="s">
        <v>1437</v>
      </c>
      <c r="X48" s="294" t="s">
        <v>50</v>
      </c>
      <c r="Y48" s="255" t="s">
        <v>50</v>
      </c>
      <c r="Z48" s="255" t="s">
        <v>50</v>
      </c>
      <c r="AA48" s="268"/>
      <c r="AB48" s="255" t="s">
        <v>50</v>
      </c>
    </row>
    <row r="49" spans="1:28" ht="30" customHeight="1">
      <c r="A49" s="296" t="s">
        <v>1992</v>
      </c>
      <c r="B49" s="294" t="s">
        <v>1544</v>
      </c>
      <c r="C49" s="294" t="s">
        <v>1545</v>
      </c>
      <c r="D49" s="311" t="s">
        <v>704</v>
      </c>
      <c r="E49" s="312"/>
      <c r="F49" s="294"/>
      <c r="G49" s="312"/>
      <c r="H49" s="294"/>
      <c r="I49" s="312"/>
      <c r="J49" s="294"/>
      <c r="K49" s="312"/>
      <c r="L49" s="294"/>
      <c r="M49" s="312"/>
      <c r="N49" s="294"/>
      <c r="O49" s="312"/>
      <c r="P49" s="312"/>
      <c r="Q49" s="312"/>
      <c r="R49" s="312"/>
      <c r="S49" s="312"/>
      <c r="T49" s="312"/>
      <c r="U49" s="312"/>
      <c r="V49" s="312"/>
      <c r="W49" s="294" t="s">
        <v>1438</v>
      </c>
      <c r="X49" s="294" t="s">
        <v>50</v>
      </c>
      <c r="Y49" s="255" t="s">
        <v>50</v>
      </c>
      <c r="Z49" s="255" t="s">
        <v>50</v>
      </c>
      <c r="AA49" s="268"/>
      <c r="AB49" s="255" t="s">
        <v>50</v>
      </c>
    </row>
    <row r="50" spans="1:28" ht="30" customHeight="1">
      <c r="A50" s="296" t="s">
        <v>1999</v>
      </c>
      <c r="B50" s="294" t="s">
        <v>1544</v>
      </c>
      <c r="C50" s="294" t="s">
        <v>1548</v>
      </c>
      <c r="D50" s="311" t="s">
        <v>704</v>
      </c>
      <c r="E50" s="312"/>
      <c r="F50" s="294"/>
      <c r="G50" s="312"/>
      <c r="H50" s="294"/>
      <c r="I50" s="312"/>
      <c r="J50" s="294"/>
      <c r="K50" s="312"/>
      <c r="L50" s="294"/>
      <c r="M50" s="312"/>
      <c r="N50" s="294"/>
      <c r="O50" s="312"/>
      <c r="P50" s="312"/>
      <c r="Q50" s="312"/>
      <c r="R50" s="312"/>
      <c r="S50" s="312"/>
      <c r="T50" s="312"/>
      <c r="U50" s="312"/>
      <c r="V50" s="312"/>
      <c r="W50" s="294" t="s">
        <v>1439</v>
      </c>
      <c r="X50" s="294" t="s">
        <v>50</v>
      </c>
      <c r="Y50" s="255" t="s">
        <v>50</v>
      </c>
      <c r="Z50" s="255" t="s">
        <v>50</v>
      </c>
      <c r="AA50" s="268"/>
      <c r="AB50" s="255" t="s">
        <v>50</v>
      </c>
    </row>
    <row r="51" spans="1:28" ht="30" customHeight="1">
      <c r="A51" s="296" t="s">
        <v>2012</v>
      </c>
      <c r="B51" s="294" t="s">
        <v>834</v>
      </c>
      <c r="C51" s="294" t="s">
        <v>50</v>
      </c>
      <c r="D51" s="311" t="s">
        <v>50</v>
      </c>
      <c r="E51" s="312"/>
      <c r="F51" s="294"/>
      <c r="G51" s="312"/>
      <c r="H51" s="294"/>
      <c r="I51" s="312"/>
      <c r="J51" s="294"/>
      <c r="K51" s="312"/>
      <c r="L51" s="294"/>
      <c r="M51" s="312"/>
      <c r="N51" s="294"/>
      <c r="O51" s="312"/>
      <c r="P51" s="312"/>
      <c r="Q51" s="312"/>
      <c r="R51" s="312"/>
      <c r="S51" s="312"/>
      <c r="T51" s="312"/>
      <c r="U51" s="312"/>
      <c r="V51" s="312"/>
      <c r="W51" s="294" t="s">
        <v>1440</v>
      </c>
      <c r="X51" s="294" t="s">
        <v>847</v>
      </c>
      <c r="Y51" s="255" t="s">
        <v>50</v>
      </c>
      <c r="Z51" s="255" t="s">
        <v>50</v>
      </c>
      <c r="AA51" s="268"/>
      <c r="AB51" s="255" t="s">
        <v>50</v>
      </c>
    </row>
    <row r="52" spans="1:28" ht="30" customHeight="1">
      <c r="A52" s="296" t="s">
        <v>2016</v>
      </c>
      <c r="B52" s="294" t="s">
        <v>838</v>
      </c>
      <c r="C52" s="294" t="s">
        <v>50</v>
      </c>
      <c r="D52" s="311" t="s">
        <v>50</v>
      </c>
      <c r="E52" s="312"/>
      <c r="F52" s="294"/>
      <c r="G52" s="312"/>
      <c r="H52" s="294"/>
      <c r="I52" s="312"/>
      <c r="J52" s="294"/>
      <c r="K52" s="312"/>
      <c r="L52" s="294"/>
      <c r="M52" s="312"/>
      <c r="N52" s="294"/>
      <c r="O52" s="312"/>
      <c r="P52" s="312"/>
      <c r="Q52" s="312"/>
      <c r="R52" s="312"/>
      <c r="S52" s="312"/>
      <c r="T52" s="312"/>
      <c r="U52" s="312"/>
      <c r="V52" s="312"/>
      <c r="W52" s="294" t="s">
        <v>1441</v>
      </c>
      <c r="X52" s="294" t="s">
        <v>847</v>
      </c>
      <c r="Y52" s="255" t="s">
        <v>50</v>
      </c>
      <c r="Z52" s="255" t="s">
        <v>50</v>
      </c>
      <c r="AA52" s="268"/>
      <c r="AB52" s="255" t="s">
        <v>50</v>
      </c>
    </row>
    <row r="53" spans="1:28" ht="30" customHeight="1">
      <c r="A53" s="296" t="s">
        <v>2021</v>
      </c>
      <c r="B53" s="294" t="s">
        <v>841</v>
      </c>
      <c r="C53" s="294" t="s">
        <v>842</v>
      </c>
      <c r="D53" s="311" t="s">
        <v>596</v>
      </c>
      <c r="E53" s="312"/>
      <c r="F53" s="294"/>
      <c r="G53" s="312"/>
      <c r="H53" s="294"/>
      <c r="I53" s="312"/>
      <c r="J53" s="294"/>
      <c r="K53" s="312"/>
      <c r="L53" s="294"/>
      <c r="M53" s="312"/>
      <c r="N53" s="294"/>
      <c r="O53" s="312"/>
      <c r="P53" s="312"/>
      <c r="Q53" s="312"/>
      <c r="R53" s="312"/>
      <c r="S53" s="312"/>
      <c r="T53" s="312"/>
      <c r="U53" s="312"/>
      <c r="V53" s="312"/>
      <c r="W53" s="294" t="s">
        <v>1442</v>
      </c>
      <c r="X53" s="294" t="s">
        <v>50</v>
      </c>
      <c r="Y53" s="255" t="s">
        <v>50</v>
      </c>
      <c r="Z53" s="255" t="s">
        <v>50</v>
      </c>
      <c r="AA53" s="268"/>
      <c r="AB53" s="255" t="s">
        <v>50</v>
      </c>
    </row>
    <row r="54" spans="1:28" ht="30" customHeight="1">
      <c r="A54" s="296" t="s">
        <v>2023</v>
      </c>
      <c r="B54" s="294" t="s">
        <v>843</v>
      </c>
      <c r="C54" s="294" t="s">
        <v>844</v>
      </c>
      <c r="D54" s="311" t="s">
        <v>819</v>
      </c>
      <c r="E54" s="312"/>
      <c r="F54" s="294"/>
      <c r="G54" s="312"/>
      <c r="H54" s="294"/>
      <c r="I54" s="312"/>
      <c r="J54" s="294"/>
      <c r="K54" s="312"/>
      <c r="L54" s="294"/>
      <c r="M54" s="312"/>
      <c r="N54" s="294"/>
      <c r="O54" s="312"/>
      <c r="P54" s="312"/>
      <c r="Q54" s="312"/>
      <c r="R54" s="312"/>
      <c r="S54" s="312"/>
      <c r="T54" s="312"/>
      <c r="U54" s="312"/>
      <c r="V54" s="312"/>
      <c r="W54" s="294" t="s">
        <v>1443</v>
      </c>
      <c r="X54" s="294" t="s">
        <v>50</v>
      </c>
      <c r="Y54" s="255" t="s">
        <v>50</v>
      </c>
      <c r="Z54" s="255" t="s">
        <v>50</v>
      </c>
      <c r="AA54" s="268"/>
      <c r="AB54" s="255" t="s">
        <v>50</v>
      </c>
    </row>
    <row r="55" spans="1:28" ht="30" customHeight="1">
      <c r="A55" s="296" t="s">
        <v>1818</v>
      </c>
      <c r="B55" s="294" t="s">
        <v>615</v>
      </c>
      <c r="C55" s="294" t="s">
        <v>616</v>
      </c>
      <c r="D55" s="311" t="s">
        <v>602</v>
      </c>
      <c r="E55" s="312"/>
      <c r="F55" s="294"/>
      <c r="G55" s="312"/>
      <c r="H55" s="294"/>
      <c r="I55" s="312"/>
      <c r="J55" s="294"/>
      <c r="K55" s="312"/>
      <c r="L55" s="294"/>
      <c r="M55" s="312"/>
      <c r="N55" s="294"/>
      <c r="O55" s="312"/>
      <c r="P55" s="312"/>
      <c r="Q55" s="312"/>
      <c r="R55" s="312"/>
      <c r="S55" s="312"/>
      <c r="T55" s="312"/>
      <c r="U55" s="312"/>
      <c r="V55" s="312"/>
      <c r="W55" s="294" t="s">
        <v>1444</v>
      </c>
      <c r="X55" s="294" t="s">
        <v>50</v>
      </c>
      <c r="Y55" s="255" t="s">
        <v>563</v>
      </c>
      <c r="Z55" s="255" t="s">
        <v>50</v>
      </c>
      <c r="AA55" s="268"/>
      <c r="AB55" s="255" t="s">
        <v>50</v>
      </c>
    </row>
    <row r="56" spans="1:28" ht="30" customHeight="1">
      <c r="A56" s="296" t="s">
        <v>2159</v>
      </c>
      <c r="B56" s="294" t="s">
        <v>898</v>
      </c>
      <c r="C56" s="294" t="s">
        <v>899</v>
      </c>
      <c r="D56" s="311" t="s">
        <v>704</v>
      </c>
      <c r="E56" s="312"/>
      <c r="F56" s="294"/>
      <c r="G56" s="312"/>
      <c r="H56" s="294"/>
      <c r="I56" s="312"/>
      <c r="J56" s="294"/>
      <c r="K56" s="312"/>
      <c r="L56" s="294"/>
      <c r="M56" s="312"/>
      <c r="N56" s="294"/>
      <c r="O56" s="312"/>
      <c r="P56" s="312"/>
      <c r="Q56" s="312"/>
      <c r="R56" s="312"/>
      <c r="S56" s="312"/>
      <c r="T56" s="312"/>
      <c r="U56" s="312"/>
      <c r="V56" s="312"/>
      <c r="W56" s="294" t="s">
        <v>1445</v>
      </c>
      <c r="X56" s="294" t="s">
        <v>50</v>
      </c>
      <c r="Y56" s="255" t="s">
        <v>50</v>
      </c>
      <c r="Z56" s="255" t="s">
        <v>50</v>
      </c>
      <c r="AA56" s="268"/>
      <c r="AB56" s="255" t="s">
        <v>50</v>
      </c>
    </row>
    <row r="57" spans="1:28" ht="30" customHeight="1">
      <c r="A57" s="296" t="s">
        <v>1986</v>
      </c>
      <c r="B57" s="294" t="s">
        <v>821</v>
      </c>
      <c r="C57" s="294" t="s">
        <v>822</v>
      </c>
      <c r="D57" s="311" t="s">
        <v>604</v>
      </c>
      <c r="E57" s="312"/>
      <c r="F57" s="294"/>
      <c r="G57" s="312"/>
      <c r="H57" s="294"/>
      <c r="I57" s="312"/>
      <c r="J57" s="294"/>
      <c r="K57" s="312"/>
      <c r="L57" s="294"/>
      <c r="M57" s="312"/>
      <c r="N57" s="294"/>
      <c r="O57" s="312"/>
      <c r="P57" s="312"/>
      <c r="Q57" s="312"/>
      <c r="R57" s="312"/>
      <c r="S57" s="312"/>
      <c r="T57" s="312"/>
      <c r="U57" s="312"/>
      <c r="V57" s="312"/>
      <c r="W57" s="294" t="s">
        <v>1446</v>
      </c>
      <c r="X57" s="294" t="s">
        <v>50</v>
      </c>
      <c r="Y57" s="255" t="s">
        <v>50</v>
      </c>
      <c r="Z57" s="255" t="s">
        <v>50</v>
      </c>
      <c r="AA57" s="268"/>
      <c r="AB57" s="255" t="s">
        <v>50</v>
      </c>
    </row>
    <row r="58" spans="1:28" ht="30" customHeight="1">
      <c r="A58" s="296" t="s">
        <v>2014</v>
      </c>
      <c r="B58" s="294" t="s">
        <v>835</v>
      </c>
      <c r="C58" s="294" t="s">
        <v>836</v>
      </c>
      <c r="D58" s="311" t="s">
        <v>837</v>
      </c>
      <c r="E58" s="312"/>
      <c r="F58" s="294"/>
      <c r="G58" s="312"/>
      <c r="H58" s="294"/>
      <c r="I58" s="312"/>
      <c r="J58" s="294"/>
      <c r="K58" s="312"/>
      <c r="L58" s="294"/>
      <c r="M58" s="312"/>
      <c r="N58" s="294"/>
      <c r="O58" s="312"/>
      <c r="P58" s="312"/>
      <c r="Q58" s="312"/>
      <c r="R58" s="312"/>
      <c r="S58" s="312"/>
      <c r="T58" s="312"/>
      <c r="U58" s="312"/>
      <c r="V58" s="312"/>
      <c r="W58" s="294" t="s">
        <v>1447</v>
      </c>
      <c r="X58" s="294" t="s">
        <v>50</v>
      </c>
      <c r="Y58" s="255" t="s">
        <v>50</v>
      </c>
      <c r="Z58" s="255" t="s">
        <v>50</v>
      </c>
      <c r="AA58" s="268"/>
      <c r="AB58" s="255" t="s">
        <v>50</v>
      </c>
    </row>
    <row r="59" spans="1:28" ht="30" customHeight="1">
      <c r="A59" s="296" t="s">
        <v>2008</v>
      </c>
      <c r="B59" s="294" t="s">
        <v>832</v>
      </c>
      <c r="C59" s="294" t="s">
        <v>833</v>
      </c>
      <c r="D59" s="311" t="s">
        <v>610</v>
      </c>
      <c r="E59" s="312"/>
      <c r="F59" s="294"/>
      <c r="G59" s="312"/>
      <c r="H59" s="294"/>
      <c r="I59" s="312"/>
      <c r="J59" s="294"/>
      <c r="K59" s="312"/>
      <c r="L59" s="294"/>
      <c r="M59" s="312"/>
      <c r="N59" s="294"/>
      <c r="O59" s="312"/>
      <c r="P59" s="312"/>
      <c r="Q59" s="312"/>
      <c r="R59" s="312"/>
      <c r="S59" s="312"/>
      <c r="T59" s="312"/>
      <c r="U59" s="312"/>
      <c r="V59" s="312"/>
      <c r="W59" s="294" t="s">
        <v>1448</v>
      </c>
      <c r="X59" s="294" t="s">
        <v>50</v>
      </c>
      <c r="Y59" s="255" t="s">
        <v>50</v>
      </c>
      <c r="Z59" s="255" t="s">
        <v>50</v>
      </c>
      <c r="AA59" s="268"/>
      <c r="AB59" s="255" t="s">
        <v>50</v>
      </c>
    </row>
    <row r="60" spans="1:28" ht="30" customHeight="1">
      <c r="A60" s="296" t="s">
        <v>2099</v>
      </c>
      <c r="B60" s="294" t="s">
        <v>879</v>
      </c>
      <c r="C60" s="294" t="s">
        <v>50</v>
      </c>
      <c r="D60" s="311" t="s">
        <v>704</v>
      </c>
      <c r="E60" s="312"/>
      <c r="F60" s="294"/>
      <c r="G60" s="312"/>
      <c r="H60" s="294"/>
      <c r="I60" s="312"/>
      <c r="J60" s="294"/>
      <c r="K60" s="312"/>
      <c r="L60" s="294"/>
      <c r="M60" s="312"/>
      <c r="N60" s="294"/>
      <c r="O60" s="312"/>
      <c r="P60" s="312"/>
      <c r="Q60" s="312"/>
      <c r="R60" s="312"/>
      <c r="S60" s="312"/>
      <c r="T60" s="312"/>
      <c r="U60" s="312"/>
      <c r="V60" s="312"/>
      <c r="W60" s="294" t="s">
        <v>1449</v>
      </c>
      <c r="X60" s="294" t="s">
        <v>1475</v>
      </c>
      <c r="Y60" s="255" t="s">
        <v>50</v>
      </c>
      <c r="Z60" s="255" t="s">
        <v>50</v>
      </c>
      <c r="AA60" s="268"/>
      <c r="AB60" s="255" t="s">
        <v>50</v>
      </c>
    </row>
    <row r="61" spans="1:28" ht="30" customHeight="1">
      <c r="A61" s="296" t="s">
        <v>2319</v>
      </c>
      <c r="B61" s="294" t="s">
        <v>2320</v>
      </c>
      <c r="C61" s="294" t="s">
        <v>1476</v>
      </c>
      <c r="D61" s="311" t="s">
        <v>762</v>
      </c>
      <c r="E61" s="312"/>
      <c r="F61" s="294"/>
      <c r="G61" s="312"/>
      <c r="H61" s="294"/>
      <c r="I61" s="312"/>
      <c r="J61" s="294"/>
      <c r="K61" s="312"/>
      <c r="L61" s="294"/>
      <c r="M61" s="312"/>
      <c r="N61" s="294"/>
      <c r="O61" s="312"/>
      <c r="P61" s="312"/>
      <c r="Q61" s="312"/>
      <c r="R61" s="312"/>
      <c r="S61" s="312"/>
      <c r="T61" s="312"/>
      <c r="U61" s="312"/>
      <c r="V61" s="312"/>
      <c r="W61" s="294" t="s">
        <v>1450</v>
      </c>
      <c r="X61" s="294" t="s">
        <v>1477</v>
      </c>
      <c r="Y61" s="255" t="s">
        <v>50</v>
      </c>
      <c r="Z61" s="255" t="s">
        <v>50</v>
      </c>
      <c r="AA61" s="268"/>
      <c r="AB61" s="255" t="s">
        <v>50</v>
      </c>
    </row>
    <row r="62" spans="1:28" ht="30" customHeight="1">
      <c r="A62" s="296" t="s">
        <v>1892</v>
      </c>
      <c r="B62" s="294" t="s">
        <v>738</v>
      </c>
      <c r="C62" s="294" t="s">
        <v>643</v>
      </c>
      <c r="D62" s="311" t="s">
        <v>644</v>
      </c>
      <c r="E62" s="312"/>
      <c r="F62" s="294"/>
      <c r="G62" s="312"/>
      <c r="H62" s="294"/>
      <c r="I62" s="312"/>
      <c r="J62" s="294"/>
      <c r="K62" s="312"/>
      <c r="L62" s="294"/>
      <c r="M62" s="312"/>
      <c r="N62" s="294"/>
      <c r="O62" s="312"/>
      <c r="P62" s="312"/>
      <c r="Q62" s="312"/>
      <c r="R62" s="312"/>
      <c r="S62" s="312"/>
      <c r="T62" s="312"/>
      <c r="U62" s="312"/>
      <c r="V62" s="312"/>
      <c r="W62" s="294" t="s">
        <v>1451</v>
      </c>
      <c r="X62" s="294" t="s">
        <v>50</v>
      </c>
      <c r="Y62" s="255" t="s">
        <v>50</v>
      </c>
      <c r="Z62" s="255" t="s">
        <v>50</v>
      </c>
      <c r="AA62" s="268"/>
      <c r="AB62" s="255" t="s">
        <v>50</v>
      </c>
    </row>
    <row r="63" spans="1:28" ht="30" customHeight="1">
      <c r="A63" s="296" t="s">
        <v>1894</v>
      </c>
      <c r="B63" s="294" t="s">
        <v>738</v>
      </c>
      <c r="C63" s="294" t="s">
        <v>646</v>
      </c>
      <c r="D63" s="311" t="s">
        <v>644</v>
      </c>
      <c r="E63" s="312"/>
      <c r="F63" s="294"/>
      <c r="G63" s="312"/>
      <c r="H63" s="294"/>
      <c r="I63" s="312"/>
      <c r="J63" s="294"/>
      <c r="K63" s="312"/>
      <c r="L63" s="294"/>
      <c r="M63" s="312"/>
      <c r="N63" s="294"/>
      <c r="O63" s="312"/>
      <c r="P63" s="312"/>
      <c r="Q63" s="312"/>
      <c r="R63" s="312"/>
      <c r="S63" s="312"/>
      <c r="T63" s="312"/>
      <c r="U63" s="312"/>
      <c r="V63" s="312"/>
      <c r="W63" s="294" t="s">
        <v>1452</v>
      </c>
      <c r="X63" s="294" t="s">
        <v>50</v>
      </c>
      <c r="Y63" s="255" t="s">
        <v>50</v>
      </c>
      <c r="Z63" s="255" t="s">
        <v>50</v>
      </c>
      <c r="AA63" s="268"/>
      <c r="AB63" s="255" t="s">
        <v>50</v>
      </c>
    </row>
    <row r="64" spans="1:28" ht="30" customHeight="1">
      <c r="A64" s="296" t="s">
        <v>1933</v>
      </c>
      <c r="B64" s="294" t="s">
        <v>738</v>
      </c>
      <c r="C64" s="294" t="s">
        <v>647</v>
      </c>
      <c r="D64" s="311" t="s">
        <v>644</v>
      </c>
      <c r="E64" s="312"/>
      <c r="F64" s="294"/>
      <c r="G64" s="312"/>
      <c r="H64" s="294"/>
      <c r="I64" s="312"/>
      <c r="J64" s="294"/>
      <c r="K64" s="312"/>
      <c r="L64" s="294"/>
      <c r="M64" s="312"/>
      <c r="N64" s="294"/>
      <c r="O64" s="312"/>
      <c r="P64" s="312"/>
      <c r="Q64" s="312"/>
      <c r="R64" s="312"/>
      <c r="S64" s="312"/>
      <c r="T64" s="312"/>
      <c r="U64" s="312"/>
      <c r="V64" s="312"/>
      <c r="W64" s="294" t="s">
        <v>1453</v>
      </c>
      <c r="X64" s="294" t="s">
        <v>50</v>
      </c>
      <c r="Y64" s="255" t="s">
        <v>50</v>
      </c>
      <c r="Z64" s="255" t="s">
        <v>50</v>
      </c>
      <c r="AA64" s="268"/>
      <c r="AB64" s="255" t="s">
        <v>50</v>
      </c>
    </row>
    <row r="65" spans="1:28" ht="30" customHeight="1">
      <c r="A65" s="296" t="s">
        <v>1935</v>
      </c>
      <c r="B65" s="294" t="s">
        <v>738</v>
      </c>
      <c r="C65" s="294" t="s">
        <v>1508</v>
      </c>
      <c r="D65" s="311" t="s">
        <v>644</v>
      </c>
      <c r="E65" s="312"/>
      <c r="F65" s="294"/>
      <c r="G65" s="312"/>
      <c r="H65" s="294"/>
      <c r="I65" s="312"/>
      <c r="J65" s="294"/>
      <c r="K65" s="312"/>
      <c r="L65" s="294"/>
      <c r="M65" s="312"/>
      <c r="N65" s="294"/>
      <c r="O65" s="312"/>
      <c r="P65" s="312"/>
      <c r="Q65" s="312"/>
      <c r="R65" s="312"/>
      <c r="S65" s="312"/>
      <c r="T65" s="312"/>
      <c r="U65" s="312"/>
      <c r="V65" s="312"/>
      <c r="W65" s="294" t="s">
        <v>1454</v>
      </c>
      <c r="X65" s="294" t="s">
        <v>50</v>
      </c>
      <c r="Y65" s="255" t="s">
        <v>50</v>
      </c>
      <c r="Z65" s="255" t="s">
        <v>50</v>
      </c>
      <c r="AA65" s="268"/>
      <c r="AB65" s="255" t="s">
        <v>50</v>
      </c>
    </row>
    <row r="66" spans="1:28" ht="30" customHeight="1">
      <c r="A66" s="296" t="s">
        <v>1896</v>
      </c>
      <c r="B66" s="294" t="s">
        <v>738</v>
      </c>
      <c r="C66" s="294" t="s">
        <v>1505</v>
      </c>
      <c r="D66" s="311" t="s">
        <v>644</v>
      </c>
      <c r="E66" s="312"/>
      <c r="F66" s="294"/>
      <c r="G66" s="312"/>
      <c r="H66" s="294"/>
      <c r="I66" s="312"/>
      <c r="J66" s="294"/>
      <c r="K66" s="312"/>
      <c r="L66" s="294"/>
      <c r="M66" s="312"/>
      <c r="N66" s="294"/>
      <c r="O66" s="312"/>
      <c r="P66" s="312"/>
      <c r="Q66" s="312"/>
      <c r="R66" s="312"/>
      <c r="S66" s="312"/>
      <c r="T66" s="312"/>
      <c r="U66" s="312"/>
      <c r="V66" s="312"/>
      <c r="W66" s="294" t="s">
        <v>1455</v>
      </c>
      <c r="X66" s="294" t="s">
        <v>50</v>
      </c>
      <c r="Y66" s="255" t="s">
        <v>50</v>
      </c>
      <c r="Z66" s="255" t="s">
        <v>50</v>
      </c>
      <c r="AA66" s="268"/>
      <c r="AB66" s="255" t="s">
        <v>50</v>
      </c>
    </row>
    <row r="67" spans="1:28" ht="30" customHeight="1">
      <c r="A67" s="296" t="s">
        <v>1898</v>
      </c>
      <c r="B67" s="294" t="s">
        <v>738</v>
      </c>
      <c r="C67" s="294" t="s">
        <v>1506</v>
      </c>
      <c r="D67" s="311" t="s">
        <v>644</v>
      </c>
      <c r="E67" s="312"/>
      <c r="F67" s="294"/>
      <c r="G67" s="312"/>
      <c r="H67" s="294"/>
      <c r="I67" s="312"/>
      <c r="J67" s="294"/>
      <c r="K67" s="312"/>
      <c r="L67" s="294"/>
      <c r="M67" s="312"/>
      <c r="N67" s="294"/>
      <c r="O67" s="312"/>
      <c r="P67" s="312"/>
      <c r="Q67" s="312"/>
      <c r="R67" s="312"/>
      <c r="S67" s="312"/>
      <c r="T67" s="312"/>
      <c r="U67" s="312"/>
      <c r="V67" s="312"/>
      <c r="W67" s="294" t="s">
        <v>1456</v>
      </c>
      <c r="X67" s="294" t="s">
        <v>50</v>
      </c>
      <c r="Y67" s="255" t="s">
        <v>50</v>
      </c>
      <c r="Z67" s="255" t="s">
        <v>50</v>
      </c>
      <c r="AA67" s="268"/>
      <c r="AB67" s="255" t="s">
        <v>50</v>
      </c>
    </row>
    <row r="68" spans="1:28" ht="30" customHeight="1">
      <c r="A68" s="296" t="s">
        <v>2043</v>
      </c>
      <c r="B68" s="294" t="s">
        <v>858</v>
      </c>
      <c r="C68" s="294" t="s">
        <v>859</v>
      </c>
      <c r="D68" s="311" t="s">
        <v>704</v>
      </c>
      <c r="E68" s="312"/>
      <c r="F68" s="294"/>
      <c r="G68" s="312"/>
      <c r="H68" s="294"/>
      <c r="I68" s="312"/>
      <c r="J68" s="294"/>
      <c r="K68" s="312"/>
      <c r="L68" s="294"/>
      <c r="M68" s="312"/>
      <c r="N68" s="294"/>
      <c r="O68" s="312"/>
      <c r="P68" s="312"/>
      <c r="Q68" s="312"/>
      <c r="R68" s="312"/>
      <c r="S68" s="312"/>
      <c r="T68" s="312"/>
      <c r="U68" s="312"/>
      <c r="V68" s="312"/>
      <c r="W68" s="294" t="s">
        <v>1457</v>
      </c>
      <c r="X68" s="294" t="s">
        <v>50</v>
      </c>
      <c r="Y68" s="255" t="s">
        <v>50</v>
      </c>
      <c r="Z68" s="255" t="s">
        <v>50</v>
      </c>
      <c r="AA68" s="268"/>
      <c r="AB68" s="255" t="s">
        <v>50</v>
      </c>
    </row>
    <row r="69" spans="1:28" ht="30" customHeight="1">
      <c r="A69" s="296" t="s">
        <v>2088</v>
      </c>
      <c r="B69" s="294" t="s">
        <v>876</v>
      </c>
      <c r="C69" s="294" t="s">
        <v>50</v>
      </c>
      <c r="D69" s="311" t="s">
        <v>704</v>
      </c>
      <c r="E69" s="312"/>
      <c r="F69" s="294"/>
      <c r="G69" s="312"/>
      <c r="H69" s="294"/>
      <c r="I69" s="312"/>
      <c r="J69" s="294"/>
      <c r="K69" s="312"/>
      <c r="L69" s="294"/>
      <c r="M69" s="312"/>
      <c r="N69" s="294"/>
      <c r="O69" s="312"/>
      <c r="P69" s="312"/>
      <c r="Q69" s="312"/>
      <c r="R69" s="312"/>
      <c r="S69" s="312"/>
      <c r="T69" s="312"/>
      <c r="U69" s="312"/>
      <c r="V69" s="312"/>
      <c r="W69" s="294" t="s">
        <v>1458</v>
      </c>
      <c r="X69" s="294" t="s">
        <v>1475</v>
      </c>
      <c r="Y69" s="255" t="s">
        <v>50</v>
      </c>
      <c r="Z69" s="255" t="s">
        <v>50</v>
      </c>
      <c r="AA69" s="268"/>
      <c r="AB69" s="255" t="s">
        <v>50</v>
      </c>
    </row>
    <row r="70" spans="1:28" ht="30" customHeight="1">
      <c r="A70" s="296" t="s">
        <v>2090</v>
      </c>
      <c r="B70" s="294" t="s">
        <v>877</v>
      </c>
      <c r="C70" s="294" t="s">
        <v>50</v>
      </c>
      <c r="D70" s="311" t="s">
        <v>704</v>
      </c>
      <c r="E70" s="312"/>
      <c r="F70" s="294"/>
      <c r="G70" s="312"/>
      <c r="H70" s="294"/>
      <c r="I70" s="312"/>
      <c r="J70" s="294"/>
      <c r="K70" s="312"/>
      <c r="L70" s="294"/>
      <c r="M70" s="312"/>
      <c r="N70" s="294"/>
      <c r="O70" s="312"/>
      <c r="P70" s="312"/>
      <c r="Q70" s="312"/>
      <c r="R70" s="312"/>
      <c r="S70" s="312"/>
      <c r="T70" s="312"/>
      <c r="U70" s="312"/>
      <c r="V70" s="312"/>
      <c r="W70" s="294" t="s">
        <v>1459</v>
      </c>
      <c r="X70" s="294" t="s">
        <v>1475</v>
      </c>
      <c r="Y70" s="255" t="s">
        <v>50</v>
      </c>
      <c r="Z70" s="255" t="s">
        <v>50</v>
      </c>
      <c r="AA70" s="268"/>
      <c r="AB70" s="255" t="s">
        <v>50</v>
      </c>
    </row>
    <row r="71" spans="1:28" ht="30" customHeight="1">
      <c r="A71" s="296" t="s">
        <v>2092</v>
      </c>
      <c r="B71" s="294" t="s">
        <v>878</v>
      </c>
      <c r="C71" s="294" t="s">
        <v>50</v>
      </c>
      <c r="D71" s="311" t="s">
        <v>762</v>
      </c>
      <c r="E71" s="312"/>
      <c r="F71" s="294"/>
      <c r="G71" s="312"/>
      <c r="H71" s="294"/>
      <c r="I71" s="312"/>
      <c r="J71" s="294"/>
      <c r="K71" s="312"/>
      <c r="L71" s="294"/>
      <c r="M71" s="312"/>
      <c r="N71" s="294"/>
      <c r="O71" s="312"/>
      <c r="P71" s="312"/>
      <c r="Q71" s="312"/>
      <c r="R71" s="312"/>
      <c r="S71" s="312"/>
      <c r="T71" s="312"/>
      <c r="U71" s="312"/>
      <c r="V71" s="312"/>
      <c r="W71" s="294" t="s">
        <v>1460</v>
      </c>
      <c r="X71" s="294" t="s">
        <v>1475</v>
      </c>
      <c r="Y71" s="255" t="s">
        <v>50</v>
      </c>
      <c r="Z71" s="255" t="s">
        <v>50</v>
      </c>
      <c r="AA71" s="268"/>
      <c r="AB71" s="255" t="s">
        <v>50</v>
      </c>
    </row>
    <row r="72" spans="1:28" ht="30" customHeight="1">
      <c r="A72" s="296" t="s">
        <v>2101</v>
      </c>
      <c r="B72" s="294" t="s">
        <v>880</v>
      </c>
      <c r="C72" s="294" t="s">
        <v>50</v>
      </c>
      <c r="D72" s="311" t="s">
        <v>762</v>
      </c>
      <c r="E72" s="312"/>
      <c r="F72" s="294"/>
      <c r="G72" s="312"/>
      <c r="H72" s="294"/>
      <c r="I72" s="312"/>
      <c r="J72" s="294"/>
      <c r="K72" s="312"/>
      <c r="L72" s="294"/>
      <c r="M72" s="312"/>
      <c r="N72" s="294"/>
      <c r="O72" s="312"/>
      <c r="P72" s="312"/>
      <c r="Q72" s="312"/>
      <c r="R72" s="312"/>
      <c r="S72" s="312"/>
      <c r="T72" s="312"/>
      <c r="U72" s="312"/>
      <c r="V72" s="312"/>
      <c r="W72" s="294" t="s">
        <v>1461</v>
      </c>
      <c r="X72" s="294" t="s">
        <v>1475</v>
      </c>
      <c r="Y72" s="255" t="s">
        <v>50</v>
      </c>
      <c r="Z72" s="255" t="s">
        <v>50</v>
      </c>
      <c r="AA72" s="268"/>
      <c r="AB72" s="255" t="s">
        <v>50</v>
      </c>
    </row>
    <row r="73" spans="1:28" ht="30" customHeight="1">
      <c r="A73" s="296" t="s">
        <v>2103</v>
      </c>
      <c r="B73" s="294" t="s">
        <v>881</v>
      </c>
      <c r="C73" s="294" t="s">
        <v>882</v>
      </c>
      <c r="D73" s="311" t="s">
        <v>762</v>
      </c>
      <c r="E73" s="312"/>
      <c r="F73" s="294"/>
      <c r="G73" s="312"/>
      <c r="H73" s="294"/>
      <c r="I73" s="312"/>
      <c r="J73" s="294"/>
      <c r="K73" s="312"/>
      <c r="L73" s="294"/>
      <c r="M73" s="312"/>
      <c r="N73" s="294"/>
      <c r="O73" s="312"/>
      <c r="P73" s="312"/>
      <c r="Q73" s="312"/>
      <c r="R73" s="312"/>
      <c r="S73" s="312"/>
      <c r="T73" s="312"/>
      <c r="U73" s="312"/>
      <c r="V73" s="312"/>
      <c r="W73" s="294" t="s">
        <v>1462</v>
      </c>
      <c r="X73" s="294" t="s">
        <v>1475</v>
      </c>
      <c r="Y73" s="255" t="s">
        <v>50</v>
      </c>
      <c r="Z73" s="255" t="s">
        <v>50</v>
      </c>
      <c r="AA73" s="268"/>
      <c r="AB73" s="255" t="s">
        <v>50</v>
      </c>
    </row>
    <row r="74" spans="1:28" ht="30" customHeight="1">
      <c r="A74" s="296" t="s">
        <v>1862</v>
      </c>
      <c r="B74" s="294" t="s">
        <v>710</v>
      </c>
      <c r="C74" s="294" t="s">
        <v>711</v>
      </c>
      <c r="D74" s="311" t="s">
        <v>685</v>
      </c>
      <c r="E74" s="312"/>
      <c r="F74" s="294"/>
      <c r="G74" s="312"/>
      <c r="H74" s="294"/>
      <c r="I74" s="312"/>
      <c r="J74" s="294"/>
      <c r="K74" s="312"/>
      <c r="L74" s="294"/>
      <c r="M74" s="312"/>
      <c r="N74" s="294"/>
      <c r="O74" s="312"/>
      <c r="P74" s="312"/>
      <c r="Q74" s="312"/>
      <c r="R74" s="312"/>
      <c r="S74" s="312"/>
      <c r="T74" s="312"/>
      <c r="U74" s="312"/>
      <c r="V74" s="312"/>
      <c r="W74" s="294" t="s">
        <v>1463</v>
      </c>
      <c r="X74" s="294" t="s">
        <v>50</v>
      </c>
      <c r="Y74" s="255" t="s">
        <v>563</v>
      </c>
      <c r="Z74" s="255" t="s">
        <v>50</v>
      </c>
      <c r="AA74" s="268"/>
      <c r="AB74" s="255" t="s">
        <v>50</v>
      </c>
    </row>
    <row r="75" spans="1:28" ht="30" customHeight="1">
      <c r="A75" s="296" t="s">
        <v>2321</v>
      </c>
      <c r="B75" s="294" t="s">
        <v>1509</v>
      </c>
      <c r="C75" s="294" t="s">
        <v>1510</v>
      </c>
      <c r="D75" s="311" t="s">
        <v>685</v>
      </c>
      <c r="E75" s="312"/>
      <c r="F75" s="294"/>
      <c r="G75" s="312"/>
      <c r="H75" s="294"/>
      <c r="I75" s="312"/>
      <c r="J75" s="294"/>
      <c r="K75" s="312"/>
      <c r="L75" s="294"/>
      <c r="M75" s="312"/>
      <c r="N75" s="294"/>
      <c r="O75" s="312"/>
      <c r="P75" s="312"/>
      <c r="Q75" s="312"/>
      <c r="R75" s="312"/>
      <c r="S75" s="312"/>
      <c r="T75" s="312"/>
      <c r="U75" s="312"/>
      <c r="V75" s="312"/>
      <c r="W75" s="294" t="s">
        <v>1464</v>
      </c>
      <c r="X75" s="294" t="s">
        <v>50</v>
      </c>
      <c r="Y75" s="255" t="s">
        <v>563</v>
      </c>
      <c r="Z75" s="255" t="s">
        <v>50</v>
      </c>
      <c r="AA75" s="268"/>
      <c r="AB75" s="255" t="s">
        <v>50</v>
      </c>
    </row>
    <row r="76" spans="1:28" ht="30" customHeight="1">
      <c r="A76" s="296" t="s">
        <v>2322</v>
      </c>
      <c r="B76" s="294" t="s">
        <v>1511</v>
      </c>
      <c r="C76" s="294" t="s">
        <v>1512</v>
      </c>
      <c r="D76" s="311" t="s">
        <v>685</v>
      </c>
      <c r="E76" s="312"/>
      <c r="F76" s="294"/>
      <c r="G76" s="312"/>
      <c r="H76" s="294"/>
      <c r="I76" s="312"/>
      <c r="J76" s="294"/>
      <c r="K76" s="312"/>
      <c r="L76" s="294"/>
      <c r="M76" s="312"/>
      <c r="N76" s="294"/>
      <c r="O76" s="312"/>
      <c r="P76" s="312"/>
      <c r="Q76" s="312"/>
      <c r="R76" s="312"/>
      <c r="S76" s="312"/>
      <c r="T76" s="312"/>
      <c r="U76" s="312"/>
      <c r="V76" s="312"/>
      <c r="W76" s="294" t="s">
        <v>1465</v>
      </c>
      <c r="X76" s="294" t="s">
        <v>50</v>
      </c>
      <c r="Y76" s="255" t="s">
        <v>563</v>
      </c>
      <c r="Z76" s="255" t="s">
        <v>50</v>
      </c>
      <c r="AA76" s="268"/>
      <c r="AB76" s="255" t="s">
        <v>50</v>
      </c>
    </row>
    <row r="77" spans="1:28" ht="30" customHeight="1">
      <c r="A77" s="296" t="s">
        <v>2294</v>
      </c>
      <c r="B77" s="294" t="s">
        <v>921</v>
      </c>
      <c r="C77" s="294" t="s">
        <v>922</v>
      </c>
      <c r="D77" s="311" t="s">
        <v>869</v>
      </c>
      <c r="E77" s="312"/>
      <c r="F77" s="294"/>
      <c r="G77" s="312"/>
      <c r="H77" s="294"/>
      <c r="I77" s="312"/>
      <c r="J77" s="294"/>
      <c r="K77" s="312"/>
      <c r="L77" s="294"/>
      <c r="M77" s="312"/>
      <c r="N77" s="294"/>
      <c r="O77" s="312"/>
      <c r="P77" s="312"/>
      <c r="Q77" s="312"/>
      <c r="R77" s="312"/>
      <c r="S77" s="312"/>
      <c r="T77" s="312"/>
      <c r="U77" s="312"/>
      <c r="V77" s="312"/>
      <c r="W77" s="294" t="s">
        <v>1466</v>
      </c>
      <c r="X77" s="294" t="s">
        <v>50</v>
      </c>
      <c r="Y77" s="255" t="s">
        <v>50</v>
      </c>
      <c r="Z77" s="255" t="s">
        <v>50</v>
      </c>
      <c r="AA77" s="268"/>
      <c r="AB77" s="255" t="s">
        <v>50</v>
      </c>
    </row>
    <row r="78" spans="1:28" ht="30" customHeight="1">
      <c r="A78" s="296" t="s">
        <v>2296</v>
      </c>
      <c r="B78" s="294" t="s">
        <v>923</v>
      </c>
      <c r="C78" s="294" t="s">
        <v>924</v>
      </c>
      <c r="D78" s="311" t="s">
        <v>925</v>
      </c>
      <c r="E78" s="312"/>
      <c r="F78" s="294"/>
      <c r="G78" s="312"/>
      <c r="H78" s="294"/>
      <c r="I78" s="312"/>
      <c r="J78" s="294"/>
      <c r="K78" s="312"/>
      <c r="L78" s="294"/>
      <c r="M78" s="312"/>
      <c r="N78" s="294"/>
      <c r="O78" s="312"/>
      <c r="P78" s="312"/>
      <c r="Q78" s="312"/>
      <c r="R78" s="312"/>
      <c r="S78" s="312"/>
      <c r="T78" s="312"/>
      <c r="U78" s="312"/>
      <c r="V78" s="312"/>
      <c r="W78" s="294" t="s">
        <v>1467</v>
      </c>
      <c r="X78" s="294" t="s">
        <v>50</v>
      </c>
      <c r="Y78" s="255" t="s">
        <v>50</v>
      </c>
      <c r="Z78" s="255" t="s">
        <v>50</v>
      </c>
      <c r="AA78" s="268"/>
      <c r="AB78" s="255" t="s">
        <v>50</v>
      </c>
    </row>
    <row r="79" spans="1:28" ht="30" customHeight="1">
      <c r="A79" s="296" t="s">
        <v>2298</v>
      </c>
      <c r="B79" s="294" t="s">
        <v>926</v>
      </c>
      <c r="C79" s="294" t="s">
        <v>50</v>
      </c>
      <c r="D79" s="311" t="s">
        <v>927</v>
      </c>
      <c r="E79" s="312"/>
      <c r="F79" s="294"/>
      <c r="G79" s="312"/>
      <c r="H79" s="294"/>
      <c r="I79" s="312"/>
      <c r="J79" s="294"/>
      <c r="K79" s="312"/>
      <c r="L79" s="294"/>
      <c r="M79" s="312"/>
      <c r="N79" s="294"/>
      <c r="O79" s="312"/>
      <c r="P79" s="312"/>
      <c r="Q79" s="312"/>
      <c r="R79" s="312"/>
      <c r="S79" s="312"/>
      <c r="T79" s="312"/>
      <c r="U79" s="312"/>
      <c r="V79" s="312"/>
      <c r="W79" s="294" t="s">
        <v>1468</v>
      </c>
      <c r="X79" s="294" t="s">
        <v>50</v>
      </c>
      <c r="Y79" s="255" t="s">
        <v>50</v>
      </c>
      <c r="Z79" s="255" t="s">
        <v>50</v>
      </c>
      <c r="AA79" s="268"/>
      <c r="AB79" s="255" t="s">
        <v>50</v>
      </c>
    </row>
    <row r="80" spans="1:28" ht="30" customHeight="1">
      <c r="A80" s="296" t="s">
        <v>2300</v>
      </c>
      <c r="B80" s="294" t="s">
        <v>928</v>
      </c>
      <c r="C80" s="294" t="s">
        <v>50</v>
      </c>
      <c r="D80" s="311" t="s">
        <v>596</v>
      </c>
      <c r="E80" s="312"/>
      <c r="F80" s="294"/>
      <c r="G80" s="312"/>
      <c r="H80" s="294"/>
      <c r="I80" s="312"/>
      <c r="J80" s="294"/>
      <c r="K80" s="312"/>
      <c r="L80" s="294"/>
      <c r="M80" s="312"/>
      <c r="N80" s="294"/>
      <c r="O80" s="312"/>
      <c r="P80" s="312"/>
      <c r="Q80" s="312"/>
      <c r="R80" s="312"/>
      <c r="S80" s="312"/>
      <c r="T80" s="312"/>
      <c r="U80" s="312"/>
      <c r="V80" s="312"/>
      <c r="W80" s="294" t="s">
        <v>1469</v>
      </c>
      <c r="X80" s="294" t="s">
        <v>50</v>
      </c>
      <c r="Y80" s="255" t="s">
        <v>50</v>
      </c>
      <c r="Z80" s="255" t="s">
        <v>50</v>
      </c>
      <c r="AA80" s="268"/>
      <c r="AB80" s="255" t="s">
        <v>50</v>
      </c>
    </row>
    <row r="81" spans="1:28" ht="30" customHeight="1">
      <c r="A81" s="296" t="s">
        <v>2302</v>
      </c>
      <c r="B81" s="294" t="s">
        <v>929</v>
      </c>
      <c r="C81" s="294" t="s">
        <v>50</v>
      </c>
      <c r="D81" s="311" t="s">
        <v>704</v>
      </c>
      <c r="E81" s="312"/>
      <c r="F81" s="294"/>
      <c r="G81" s="312"/>
      <c r="H81" s="294"/>
      <c r="I81" s="312"/>
      <c r="J81" s="294"/>
      <c r="K81" s="312"/>
      <c r="L81" s="294"/>
      <c r="M81" s="312"/>
      <c r="N81" s="294"/>
      <c r="O81" s="312"/>
      <c r="P81" s="312"/>
      <c r="Q81" s="312"/>
      <c r="R81" s="312"/>
      <c r="S81" s="312"/>
      <c r="T81" s="312"/>
      <c r="U81" s="312"/>
      <c r="V81" s="312"/>
      <c r="W81" s="294" t="s">
        <v>1470</v>
      </c>
      <c r="X81" s="294" t="s">
        <v>50</v>
      </c>
      <c r="Y81" s="255" t="s">
        <v>50</v>
      </c>
      <c r="Z81" s="255" t="s">
        <v>50</v>
      </c>
      <c r="AA81" s="268"/>
      <c r="AB81" s="255" t="s">
        <v>50</v>
      </c>
    </row>
    <row r="82" spans="1:28" ht="30" customHeight="1">
      <c r="A82" s="296" t="s">
        <v>2304</v>
      </c>
      <c r="B82" s="294" t="s">
        <v>930</v>
      </c>
      <c r="C82" s="294" t="s">
        <v>50</v>
      </c>
      <c r="D82" s="311" t="s">
        <v>704</v>
      </c>
      <c r="E82" s="312"/>
      <c r="F82" s="294"/>
      <c r="G82" s="312"/>
      <c r="H82" s="294"/>
      <c r="I82" s="312"/>
      <c r="J82" s="294"/>
      <c r="K82" s="312"/>
      <c r="L82" s="294"/>
      <c r="M82" s="312"/>
      <c r="N82" s="294"/>
      <c r="O82" s="312"/>
      <c r="P82" s="312"/>
      <c r="Q82" s="312"/>
      <c r="R82" s="312"/>
      <c r="S82" s="312"/>
      <c r="T82" s="312"/>
      <c r="U82" s="312"/>
      <c r="V82" s="312"/>
      <c r="W82" s="294" t="s">
        <v>1471</v>
      </c>
      <c r="X82" s="294" t="s">
        <v>50</v>
      </c>
      <c r="Y82" s="255" t="s">
        <v>50</v>
      </c>
      <c r="Z82" s="255" t="s">
        <v>50</v>
      </c>
      <c r="AA82" s="268"/>
      <c r="AB82" s="255" t="s">
        <v>50</v>
      </c>
    </row>
    <row r="83" spans="1:28" ht="30" customHeight="1">
      <c r="A83" s="296" t="s">
        <v>1876</v>
      </c>
      <c r="B83" s="294" t="s">
        <v>1774</v>
      </c>
      <c r="C83" s="294" t="s">
        <v>50</v>
      </c>
      <c r="D83" s="311" t="s">
        <v>146</v>
      </c>
      <c r="E83" s="312"/>
      <c r="F83" s="294"/>
      <c r="G83" s="312"/>
      <c r="H83" s="294"/>
      <c r="I83" s="312"/>
      <c r="J83" s="294"/>
      <c r="K83" s="312"/>
      <c r="L83" s="294"/>
      <c r="M83" s="312"/>
      <c r="N83" s="294"/>
      <c r="O83" s="312"/>
      <c r="P83" s="312"/>
      <c r="Q83" s="312"/>
      <c r="R83" s="312"/>
      <c r="S83" s="312"/>
      <c r="T83" s="312"/>
      <c r="U83" s="312"/>
      <c r="V83" s="312"/>
      <c r="W83" s="294" t="s">
        <v>1472</v>
      </c>
      <c r="X83" s="294" t="s">
        <v>50</v>
      </c>
      <c r="Y83" s="255" t="s">
        <v>50</v>
      </c>
      <c r="Z83" s="255" t="s">
        <v>50</v>
      </c>
      <c r="AA83" s="268"/>
      <c r="AB83" s="255" t="s">
        <v>50</v>
      </c>
    </row>
    <row r="84" spans="1:28" ht="30" customHeight="1">
      <c r="A84" s="296" t="s">
        <v>1878</v>
      </c>
      <c r="B84" s="294" t="s">
        <v>1775</v>
      </c>
      <c r="C84" s="294" t="s">
        <v>50</v>
      </c>
      <c r="D84" s="311" t="s">
        <v>146</v>
      </c>
      <c r="E84" s="312"/>
      <c r="F84" s="294"/>
      <c r="G84" s="312"/>
      <c r="H84" s="294"/>
      <c r="I84" s="312"/>
      <c r="J84" s="294"/>
      <c r="K84" s="312"/>
      <c r="L84" s="294"/>
      <c r="M84" s="312"/>
      <c r="N84" s="294"/>
      <c r="O84" s="312"/>
      <c r="P84" s="312"/>
      <c r="Q84" s="312"/>
      <c r="R84" s="312"/>
      <c r="S84" s="312"/>
      <c r="T84" s="312"/>
      <c r="U84" s="312"/>
      <c r="V84" s="312"/>
      <c r="W84" s="294" t="s">
        <v>1473</v>
      </c>
      <c r="X84" s="294" t="s">
        <v>50</v>
      </c>
      <c r="Y84" s="255" t="s">
        <v>50</v>
      </c>
      <c r="Z84" s="255" t="s">
        <v>50</v>
      </c>
      <c r="AA84" s="268"/>
      <c r="AB84" s="255" t="s">
        <v>50</v>
      </c>
    </row>
    <row r="85" spans="1:28" ht="30" customHeight="1">
      <c r="A85" s="296" t="s">
        <v>1880</v>
      </c>
      <c r="B85" s="294" t="s">
        <v>1776</v>
      </c>
      <c r="C85" s="294" t="s">
        <v>1777</v>
      </c>
      <c r="D85" s="311" t="s">
        <v>678</v>
      </c>
      <c r="E85" s="312"/>
      <c r="F85" s="294"/>
      <c r="G85" s="312"/>
      <c r="H85" s="294"/>
      <c r="I85" s="312"/>
      <c r="J85" s="294"/>
      <c r="K85" s="312"/>
      <c r="L85" s="294"/>
      <c r="M85" s="312"/>
      <c r="N85" s="294"/>
      <c r="O85" s="312"/>
      <c r="P85" s="312"/>
      <c r="Q85" s="312"/>
      <c r="R85" s="312"/>
      <c r="S85" s="312"/>
      <c r="T85" s="312"/>
      <c r="U85" s="312"/>
      <c r="V85" s="312"/>
      <c r="W85" s="294" t="s">
        <v>1785</v>
      </c>
      <c r="X85" s="294" t="s">
        <v>50</v>
      </c>
      <c r="Y85" s="255" t="s">
        <v>50</v>
      </c>
      <c r="Z85" s="255" t="s">
        <v>50</v>
      </c>
      <c r="AA85" s="268"/>
      <c r="AB85" s="255" t="s">
        <v>50</v>
      </c>
    </row>
    <row r="86" spans="1:28" ht="30" customHeight="1">
      <c r="A86" s="296" t="s">
        <v>1882</v>
      </c>
      <c r="B86" s="294" t="s">
        <v>1778</v>
      </c>
      <c r="C86" s="294" t="s">
        <v>50</v>
      </c>
      <c r="D86" s="311" t="s">
        <v>146</v>
      </c>
      <c r="E86" s="312"/>
      <c r="F86" s="294"/>
      <c r="G86" s="312"/>
      <c r="H86" s="294"/>
      <c r="I86" s="312"/>
      <c r="J86" s="294"/>
      <c r="K86" s="312"/>
      <c r="L86" s="294"/>
      <c r="M86" s="312"/>
      <c r="N86" s="294"/>
      <c r="O86" s="312"/>
      <c r="P86" s="312"/>
      <c r="Q86" s="312"/>
      <c r="R86" s="312"/>
      <c r="S86" s="312"/>
      <c r="T86" s="312"/>
      <c r="U86" s="312"/>
      <c r="V86" s="312"/>
      <c r="W86" s="294" t="s">
        <v>1786</v>
      </c>
      <c r="X86" s="294" t="s">
        <v>50</v>
      </c>
      <c r="Y86" s="255" t="s">
        <v>50</v>
      </c>
      <c r="Z86" s="255" t="s">
        <v>50</v>
      </c>
      <c r="AA86" s="268"/>
      <c r="AB86" s="255" t="s">
        <v>50</v>
      </c>
    </row>
    <row r="87" spans="1:28" ht="30" customHeight="1">
      <c r="A87" s="296" t="s">
        <v>1884</v>
      </c>
      <c r="B87" s="294" t="s">
        <v>1779</v>
      </c>
      <c r="C87" s="294" t="s">
        <v>50</v>
      </c>
      <c r="D87" s="311" t="s">
        <v>146</v>
      </c>
      <c r="E87" s="312"/>
      <c r="F87" s="294"/>
      <c r="G87" s="312"/>
      <c r="H87" s="294"/>
      <c r="I87" s="312"/>
      <c r="J87" s="294"/>
      <c r="K87" s="312"/>
      <c r="L87" s="294"/>
      <c r="M87" s="312"/>
      <c r="N87" s="294"/>
      <c r="O87" s="312"/>
      <c r="P87" s="312"/>
      <c r="Q87" s="312"/>
      <c r="R87" s="312"/>
      <c r="S87" s="312"/>
      <c r="T87" s="312"/>
      <c r="U87" s="312"/>
      <c r="V87" s="312"/>
      <c r="W87" s="294" t="s">
        <v>1787</v>
      </c>
      <c r="X87" s="294" t="s">
        <v>50</v>
      </c>
      <c r="Y87" s="255" t="s">
        <v>50</v>
      </c>
      <c r="Z87" s="255" t="s">
        <v>50</v>
      </c>
      <c r="AA87" s="268"/>
      <c r="AB87" s="255" t="s">
        <v>50</v>
      </c>
    </row>
    <row r="88" spans="1:28" ht="30" customHeight="1">
      <c r="A88" s="296" t="s">
        <v>1886</v>
      </c>
      <c r="B88" s="294" t="s">
        <v>1780</v>
      </c>
      <c r="C88" s="294" t="s">
        <v>50</v>
      </c>
      <c r="D88" s="311" t="s">
        <v>146</v>
      </c>
      <c r="E88" s="312"/>
      <c r="F88" s="294"/>
      <c r="G88" s="312"/>
      <c r="H88" s="294"/>
      <c r="I88" s="312"/>
      <c r="J88" s="294"/>
      <c r="K88" s="312"/>
      <c r="L88" s="294"/>
      <c r="M88" s="312"/>
      <c r="N88" s="294"/>
      <c r="O88" s="312"/>
      <c r="P88" s="312"/>
      <c r="Q88" s="312"/>
      <c r="R88" s="312"/>
      <c r="S88" s="312"/>
      <c r="T88" s="312"/>
      <c r="U88" s="312"/>
      <c r="V88" s="312"/>
      <c r="W88" s="294" t="s">
        <v>1788</v>
      </c>
      <c r="X88" s="294" t="s">
        <v>50</v>
      </c>
      <c r="Y88" s="255" t="s">
        <v>50</v>
      </c>
      <c r="Z88" s="255" t="s">
        <v>50</v>
      </c>
      <c r="AA88" s="268"/>
      <c r="AB88" s="255" t="s">
        <v>50</v>
      </c>
    </row>
    <row r="89" spans="1:28" ht="30" customHeight="1">
      <c r="A89" s="296" t="s">
        <v>2041</v>
      </c>
      <c r="B89" s="294" t="s">
        <v>1515</v>
      </c>
      <c r="C89" s="294" t="s">
        <v>1516</v>
      </c>
      <c r="D89" s="311" t="s">
        <v>644</v>
      </c>
      <c r="E89" s="312"/>
      <c r="F89" s="294"/>
      <c r="G89" s="312"/>
      <c r="H89" s="294"/>
      <c r="I89" s="312"/>
      <c r="J89" s="294"/>
      <c r="K89" s="312"/>
      <c r="L89" s="294"/>
      <c r="M89" s="312"/>
      <c r="N89" s="294"/>
      <c r="O89" s="312"/>
      <c r="P89" s="312"/>
      <c r="Q89" s="312"/>
      <c r="R89" s="312"/>
      <c r="S89" s="312"/>
      <c r="T89" s="312"/>
      <c r="U89" s="312"/>
      <c r="V89" s="312"/>
      <c r="W89" s="294" t="s">
        <v>1789</v>
      </c>
      <c r="X89" s="294" t="s">
        <v>848</v>
      </c>
      <c r="Y89" s="255" t="s">
        <v>1478</v>
      </c>
      <c r="Z89" s="255" t="s">
        <v>50</v>
      </c>
      <c r="AA89" s="268"/>
      <c r="AB89" s="255" t="s">
        <v>50</v>
      </c>
    </row>
    <row r="90" spans="1:28" ht="30" customHeight="1">
      <c r="A90" s="296" t="s">
        <v>2018</v>
      </c>
      <c r="B90" s="294" t="s">
        <v>839</v>
      </c>
      <c r="C90" s="294" t="s">
        <v>840</v>
      </c>
      <c r="D90" s="311" t="s">
        <v>650</v>
      </c>
      <c r="E90" s="312"/>
      <c r="F90" s="294"/>
      <c r="G90" s="312"/>
      <c r="H90" s="294"/>
      <c r="I90" s="312"/>
      <c r="J90" s="294"/>
      <c r="K90" s="312"/>
      <c r="L90" s="294"/>
      <c r="M90" s="312"/>
      <c r="N90" s="294"/>
      <c r="O90" s="312"/>
      <c r="P90" s="312"/>
      <c r="Q90" s="312"/>
      <c r="R90" s="312"/>
      <c r="S90" s="312"/>
      <c r="T90" s="312"/>
      <c r="U90" s="312"/>
      <c r="V90" s="312"/>
      <c r="W90" s="294" t="s">
        <v>1790</v>
      </c>
      <c r="X90" s="294" t="s">
        <v>50</v>
      </c>
      <c r="Y90" s="255" t="s">
        <v>50</v>
      </c>
      <c r="Z90" s="255" t="s">
        <v>50</v>
      </c>
      <c r="AA90" s="268"/>
      <c r="AB90" s="255" t="s">
        <v>50</v>
      </c>
    </row>
    <row r="91" spans="1:28" ht="30" customHeight="1">
      <c r="A91" s="296" t="s">
        <v>2027</v>
      </c>
      <c r="B91" s="294" t="s">
        <v>829</v>
      </c>
      <c r="C91" s="294" t="s">
        <v>830</v>
      </c>
      <c r="D91" s="311" t="s">
        <v>831</v>
      </c>
      <c r="E91" s="312"/>
      <c r="F91" s="294"/>
      <c r="G91" s="312"/>
      <c r="H91" s="294"/>
      <c r="I91" s="312"/>
      <c r="J91" s="294"/>
      <c r="K91" s="312"/>
      <c r="L91" s="294"/>
      <c r="M91" s="312"/>
      <c r="N91" s="294"/>
      <c r="O91" s="312"/>
      <c r="P91" s="312"/>
      <c r="Q91" s="312"/>
      <c r="R91" s="312"/>
      <c r="S91" s="312"/>
      <c r="T91" s="312"/>
      <c r="U91" s="312"/>
      <c r="V91" s="312"/>
      <c r="W91" s="294" t="s">
        <v>1479</v>
      </c>
      <c r="X91" s="294" t="s">
        <v>50</v>
      </c>
      <c r="Y91" s="255" t="s">
        <v>562</v>
      </c>
      <c r="Z91" s="255" t="s">
        <v>50</v>
      </c>
      <c r="AA91" s="268"/>
      <c r="AB91" s="255" t="s">
        <v>50</v>
      </c>
    </row>
    <row r="92" spans="1:28" ht="30" customHeight="1">
      <c r="A92" s="296" t="s">
        <v>2051</v>
      </c>
      <c r="B92" s="294" t="s">
        <v>860</v>
      </c>
      <c r="C92" s="294" t="s">
        <v>830</v>
      </c>
      <c r="D92" s="311" t="s">
        <v>831</v>
      </c>
      <c r="E92" s="312"/>
      <c r="F92" s="294"/>
      <c r="G92" s="312"/>
      <c r="H92" s="294"/>
      <c r="I92" s="312"/>
      <c r="J92" s="294"/>
      <c r="K92" s="312"/>
      <c r="L92" s="294"/>
      <c r="M92" s="312"/>
      <c r="N92" s="294"/>
      <c r="O92" s="312"/>
      <c r="P92" s="312"/>
      <c r="Q92" s="312"/>
      <c r="R92" s="312"/>
      <c r="S92" s="312"/>
      <c r="T92" s="312"/>
      <c r="U92" s="312"/>
      <c r="V92" s="312"/>
      <c r="W92" s="294" t="s">
        <v>1480</v>
      </c>
      <c r="X92" s="294" t="s">
        <v>50</v>
      </c>
      <c r="Y92" s="255" t="s">
        <v>562</v>
      </c>
      <c r="Z92" s="255" t="s">
        <v>50</v>
      </c>
      <c r="AA92" s="268"/>
      <c r="AB92" s="255" t="s">
        <v>50</v>
      </c>
    </row>
    <row r="93" spans="1:28" ht="30" customHeight="1">
      <c r="A93" s="296" t="s">
        <v>2129</v>
      </c>
      <c r="B93" s="294" t="s">
        <v>903</v>
      </c>
      <c r="C93" s="294" t="s">
        <v>830</v>
      </c>
      <c r="D93" s="311" t="s">
        <v>831</v>
      </c>
      <c r="E93" s="312"/>
      <c r="F93" s="294"/>
      <c r="G93" s="312"/>
      <c r="H93" s="294"/>
      <c r="I93" s="312"/>
      <c r="J93" s="294"/>
      <c r="K93" s="312"/>
      <c r="L93" s="294"/>
      <c r="M93" s="312"/>
      <c r="N93" s="294"/>
      <c r="O93" s="312"/>
      <c r="P93" s="312"/>
      <c r="Q93" s="312"/>
      <c r="R93" s="312"/>
      <c r="S93" s="312"/>
      <c r="T93" s="312"/>
      <c r="U93" s="312"/>
      <c r="V93" s="312"/>
      <c r="W93" s="294" t="s">
        <v>1481</v>
      </c>
      <c r="X93" s="294" t="s">
        <v>50</v>
      </c>
      <c r="Y93" s="255" t="s">
        <v>562</v>
      </c>
      <c r="Z93" s="255" t="s">
        <v>50</v>
      </c>
      <c r="AA93" s="268"/>
      <c r="AB93" s="255" t="s">
        <v>50</v>
      </c>
    </row>
    <row r="94" spans="1:28" ht="30" customHeight="1">
      <c r="A94" s="296" t="s">
        <v>2060</v>
      </c>
      <c r="B94" s="294" t="s">
        <v>864</v>
      </c>
      <c r="C94" s="294" t="s">
        <v>830</v>
      </c>
      <c r="D94" s="311" t="s">
        <v>831</v>
      </c>
      <c r="E94" s="312"/>
      <c r="F94" s="294"/>
      <c r="G94" s="312"/>
      <c r="H94" s="294"/>
      <c r="I94" s="312"/>
      <c r="J94" s="294"/>
      <c r="K94" s="312"/>
      <c r="L94" s="294"/>
      <c r="M94" s="312"/>
      <c r="N94" s="294"/>
      <c r="O94" s="312"/>
      <c r="P94" s="312"/>
      <c r="Q94" s="312"/>
      <c r="R94" s="312"/>
      <c r="S94" s="312"/>
      <c r="T94" s="312"/>
      <c r="U94" s="312"/>
      <c r="V94" s="312"/>
      <c r="W94" s="294" t="s">
        <v>1482</v>
      </c>
      <c r="X94" s="294" t="s">
        <v>50</v>
      </c>
      <c r="Y94" s="255" t="s">
        <v>562</v>
      </c>
      <c r="Z94" s="255" t="s">
        <v>50</v>
      </c>
      <c r="AA94" s="268"/>
      <c r="AB94" s="255" t="s">
        <v>50</v>
      </c>
    </row>
    <row r="95" spans="1:28" ht="30" customHeight="1">
      <c r="A95" s="296" t="s">
        <v>2323</v>
      </c>
      <c r="B95" s="294" t="s">
        <v>867</v>
      </c>
      <c r="C95" s="294" t="s">
        <v>830</v>
      </c>
      <c r="D95" s="311" t="s">
        <v>831</v>
      </c>
      <c r="E95" s="312"/>
      <c r="F95" s="294"/>
      <c r="G95" s="312"/>
      <c r="H95" s="294"/>
      <c r="I95" s="312"/>
      <c r="J95" s="294"/>
      <c r="K95" s="312"/>
      <c r="L95" s="294"/>
      <c r="M95" s="312"/>
      <c r="N95" s="294"/>
      <c r="O95" s="312"/>
      <c r="P95" s="312"/>
      <c r="Q95" s="312"/>
      <c r="R95" s="312"/>
      <c r="S95" s="312"/>
      <c r="T95" s="312"/>
      <c r="U95" s="312"/>
      <c r="V95" s="312"/>
      <c r="W95" s="294" t="s">
        <v>1483</v>
      </c>
      <c r="X95" s="294" t="s">
        <v>50</v>
      </c>
      <c r="Y95" s="255" t="s">
        <v>562</v>
      </c>
      <c r="Z95" s="255" t="s">
        <v>50</v>
      </c>
      <c r="AA95" s="268"/>
      <c r="AB95" s="255" t="s">
        <v>50</v>
      </c>
    </row>
    <row r="96" spans="1:28" ht="30" customHeight="1">
      <c r="A96" s="296" t="s">
        <v>2153</v>
      </c>
      <c r="B96" s="294" t="s">
        <v>897</v>
      </c>
      <c r="C96" s="294" t="s">
        <v>830</v>
      </c>
      <c r="D96" s="311" t="s">
        <v>831</v>
      </c>
      <c r="E96" s="312"/>
      <c r="F96" s="294"/>
      <c r="G96" s="312"/>
      <c r="H96" s="294"/>
      <c r="I96" s="312"/>
      <c r="J96" s="294"/>
      <c r="K96" s="312"/>
      <c r="L96" s="294"/>
      <c r="M96" s="312"/>
      <c r="N96" s="294"/>
      <c r="O96" s="312"/>
      <c r="P96" s="312"/>
      <c r="Q96" s="312"/>
      <c r="R96" s="312"/>
      <c r="S96" s="312"/>
      <c r="T96" s="312"/>
      <c r="U96" s="312"/>
      <c r="V96" s="312"/>
      <c r="W96" s="294" t="s">
        <v>1484</v>
      </c>
      <c r="X96" s="294" t="s">
        <v>50</v>
      </c>
      <c r="Y96" s="255" t="s">
        <v>562</v>
      </c>
      <c r="Z96" s="255" t="s">
        <v>50</v>
      </c>
      <c r="AA96" s="268"/>
      <c r="AB96" s="255" t="s">
        <v>50</v>
      </c>
    </row>
    <row r="97" spans="1:28" ht="30" customHeight="1">
      <c r="A97" s="296" t="s">
        <v>2324</v>
      </c>
      <c r="B97" s="294" t="s">
        <v>1486</v>
      </c>
      <c r="C97" s="294" t="s">
        <v>830</v>
      </c>
      <c r="D97" s="311" t="s">
        <v>831</v>
      </c>
      <c r="E97" s="312"/>
      <c r="F97" s="294"/>
      <c r="G97" s="312"/>
      <c r="H97" s="294"/>
      <c r="I97" s="312"/>
      <c r="J97" s="294"/>
      <c r="K97" s="312"/>
      <c r="L97" s="294"/>
      <c r="M97" s="312"/>
      <c r="N97" s="294"/>
      <c r="O97" s="312"/>
      <c r="P97" s="312"/>
      <c r="Q97" s="312"/>
      <c r="R97" s="312"/>
      <c r="S97" s="312"/>
      <c r="T97" s="312"/>
      <c r="U97" s="312"/>
      <c r="V97" s="312"/>
      <c r="W97" s="294" t="s">
        <v>1485</v>
      </c>
      <c r="X97" s="294" t="s">
        <v>50</v>
      </c>
      <c r="Y97" s="255" t="s">
        <v>562</v>
      </c>
      <c r="Z97" s="255" t="s">
        <v>50</v>
      </c>
      <c r="AA97" s="268"/>
      <c r="AB97" s="255" t="s">
        <v>50</v>
      </c>
    </row>
    <row r="98" spans="1:28" ht="30" customHeight="1">
      <c r="A98" s="296" t="s">
        <v>2025</v>
      </c>
      <c r="B98" s="294" t="s">
        <v>845</v>
      </c>
      <c r="C98" s="294" t="s">
        <v>830</v>
      </c>
      <c r="D98" s="311" t="s">
        <v>831</v>
      </c>
      <c r="E98" s="312"/>
      <c r="F98" s="294"/>
      <c r="G98" s="312"/>
      <c r="H98" s="294"/>
      <c r="I98" s="312"/>
      <c r="J98" s="294"/>
      <c r="K98" s="312"/>
      <c r="L98" s="294"/>
      <c r="M98" s="312"/>
      <c r="N98" s="294"/>
      <c r="O98" s="312"/>
      <c r="P98" s="312"/>
      <c r="Q98" s="312"/>
      <c r="R98" s="312"/>
      <c r="S98" s="312"/>
      <c r="T98" s="312"/>
      <c r="U98" s="312"/>
      <c r="V98" s="312"/>
      <c r="W98" s="294" t="s">
        <v>1487</v>
      </c>
      <c r="X98" s="294" t="s">
        <v>50</v>
      </c>
      <c r="Y98" s="255" t="s">
        <v>562</v>
      </c>
      <c r="Z98" s="255" t="s">
        <v>50</v>
      </c>
      <c r="AA98" s="268"/>
      <c r="AB98" s="255" t="s">
        <v>50</v>
      </c>
    </row>
    <row r="99" spans="1:28" ht="30" customHeight="1">
      <c r="A99" s="296" t="s">
        <v>2151</v>
      </c>
      <c r="B99" s="294" t="s">
        <v>907</v>
      </c>
      <c r="C99" s="294" t="s">
        <v>830</v>
      </c>
      <c r="D99" s="311" t="s">
        <v>831</v>
      </c>
      <c r="E99" s="312"/>
      <c r="F99" s="294"/>
      <c r="G99" s="312"/>
      <c r="H99" s="294"/>
      <c r="I99" s="312"/>
      <c r="J99" s="294"/>
      <c r="K99" s="312"/>
      <c r="L99" s="294"/>
      <c r="M99" s="312"/>
      <c r="N99" s="294"/>
      <c r="O99" s="312"/>
      <c r="P99" s="312"/>
      <c r="Q99" s="312"/>
      <c r="R99" s="312"/>
      <c r="S99" s="312"/>
      <c r="T99" s="312"/>
      <c r="U99" s="312"/>
      <c r="V99" s="312"/>
      <c r="W99" s="294" t="s">
        <v>1488</v>
      </c>
      <c r="X99" s="294" t="s">
        <v>50</v>
      </c>
      <c r="Y99" s="255" t="s">
        <v>562</v>
      </c>
      <c r="Z99" s="255" t="s">
        <v>50</v>
      </c>
      <c r="AA99" s="268"/>
      <c r="AB99" s="255" t="s">
        <v>50</v>
      </c>
    </row>
    <row r="100" spans="1:28" ht="30" customHeight="1">
      <c r="A100" s="296" t="s">
        <v>2267</v>
      </c>
      <c r="B100" s="294" t="s">
        <v>919</v>
      </c>
      <c r="C100" s="294" t="s">
        <v>830</v>
      </c>
      <c r="D100" s="311" t="s">
        <v>831</v>
      </c>
      <c r="E100" s="312"/>
      <c r="F100" s="294"/>
      <c r="G100" s="312"/>
      <c r="H100" s="294"/>
      <c r="I100" s="312"/>
      <c r="J100" s="294"/>
      <c r="K100" s="312"/>
      <c r="L100" s="294"/>
      <c r="M100" s="312"/>
      <c r="N100" s="294"/>
      <c r="O100" s="312"/>
      <c r="P100" s="312"/>
      <c r="Q100" s="312"/>
      <c r="R100" s="312"/>
      <c r="S100" s="312"/>
      <c r="T100" s="312"/>
      <c r="U100" s="312"/>
      <c r="V100" s="312"/>
      <c r="W100" s="294" t="s">
        <v>1489</v>
      </c>
      <c r="X100" s="294" t="s">
        <v>50</v>
      </c>
      <c r="Y100" s="255" t="s">
        <v>562</v>
      </c>
      <c r="Z100" s="255" t="s">
        <v>50</v>
      </c>
      <c r="AA100" s="268"/>
      <c r="AB100" s="255" t="s">
        <v>50</v>
      </c>
    </row>
    <row r="101" spans="1:28" ht="30" customHeight="1">
      <c r="A101" s="296" t="s">
        <v>2226</v>
      </c>
      <c r="B101" s="294" t="s">
        <v>913</v>
      </c>
      <c r="C101" s="294" t="s">
        <v>830</v>
      </c>
      <c r="D101" s="311" t="s">
        <v>831</v>
      </c>
      <c r="E101" s="312"/>
      <c r="F101" s="294"/>
      <c r="G101" s="312"/>
      <c r="H101" s="294"/>
      <c r="I101" s="312"/>
      <c r="J101" s="294"/>
      <c r="K101" s="312"/>
      <c r="L101" s="294"/>
      <c r="M101" s="312"/>
      <c r="N101" s="294"/>
      <c r="O101" s="312"/>
      <c r="P101" s="312"/>
      <c r="Q101" s="312"/>
      <c r="R101" s="312"/>
      <c r="S101" s="312"/>
      <c r="T101" s="312"/>
      <c r="U101" s="312"/>
      <c r="V101" s="312"/>
      <c r="W101" s="294" t="s">
        <v>1490</v>
      </c>
      <c r="X101" s="294" t="s">
        <v>50</v>
      </c>
      <c r="Y101" s="255" t="s">
        <v>562</v>
      </c>
      <c r="Z101" s="255" t="s">
        <v>50</v>
      </c>
      <c r="AA101" s="268"/>
      <c r="AB101" s="255" t="s">
        <v>50</v>
      </c>
    </row>
    <row r="102" spans="1:28" ht="30" customHeight="1">
      <c r="A102" s="296" t="s">
        <v>2058</v>
      </c>
      <c r="B102" s="294" t="s">
        <v>863</v>
      </c>
      <c r="C102" s="294" t="s">
        <v>830</v>
      </c>
      <c r="D102" s="311" t="s">
        <v>831</v>
      </c>
      <c r="E102" s="312"/>
      <c r="F102" s="294"/>
      <c r="G102" s="312"/>
      <c r="H102" s="294"/>
      <c r="I102" s="312"/>
      <c r="J102" s="294"/>
      <c r="K102" s="312"/>
      <c r="L102" s="294"/>
      <c r="M102" s="312"/>
      <c r="N102" s="294"/>
      <c r="O102" s="312"/>
      <c r="P102" s="312"/>
      <c r="Q102" s="312"/>
      <c r="R102" s="312"/>
      <c r="S102" s="312"/>
      <c r="T102" s="312"/>
      <c r="U102" s="312"/>
      <c r="V102" s="312"/>
      <c r="W102" s="294" t="s">
        <v>1491</v>
      </c>
      <c r="X102" s="294" t="s">
        <v>50</v>
      </c>
      <c r="Y102" s="255" t="s">
        <v>562</v>
      </c>
      <c r="Z102" s="255" t="s">
        <v>50</v>
      </c>
      <c r="AA102" s="268"/>
      <c r="AB102" s="255" t="s">
        <v>50</v>
      </c>
    </row>
    <row r="103" spans="1:28" ht="30" customHeight="1">
      <c r="A103" s="296" t="s">
        <v>2308</v>
      </c>
      <c r="B103" s="294" t="s">
        <v>931</v>
      </c>
      <c r="C103" s="294" t="s">
        <v>830</v>
      </c>
      <c r="D103" s="311" t="s">
        <v>831</v>
      </c>
      <c r="E103" s="312"/>
      <c r="F103" s="294"/>
      <c r="G103" s="312"/>
      <c r="H103" s="294"/>
      <c r="I103" s="312"/>
      <c r="J103" s="294"/>
      <c r="K103" s="312"/>
      <c r="L103" s="294"/>
      <c r="M103" s="312"/>
      <c r="N103" s="294"/>
      <c r="O103" s="312"/>
      <c r="P103" s="312"/>
      <c r="Q103" s="312"/>
      <c r="R103" s="312"/>
      <c r="S103" s="312"/>
      <c r="T103" s="312"/>
      <c r="U103" s="312"/>
      <c r="V103" s="312"/>
      <c r="W103" s="294" t="s">
        <v>1492</v>
      </c>
      <c r="X103" s="294" t="s">
        <v>50</v>
      </c>
      <c r="Y103" s="255" t="s">
        <v>562</v>
      </c>
      <c r="Z103" s="255" t="s">
        <v>50</v>
      </c>
      <c r="AA103" s="268"/>
      <c r="AB103" s="255" t="s">
        <v>50</v>
      </c>
    </row>
    <row r="104" spans="1:28" ht="30" customHeight="1">
      <c r="A104" s="296" t="s">
        <v>2306</v>
      </c>
      <c r="B104" s="294" t="s">
        <v>883</v>
      </c>
      <c r="C104" s="294" t="s">
        <v>830</v>
      </c>
      <c r="D104" s="311" t="s">
        <v>831</v>
      </c>
      <c r="E104" s="312"/>
      <c r="F104" s="294"/>
      <c r="G104" s="312"/>
      <c r="H104" s="294"/>
      <c r="I104" s="312"/>
      <c r="J104" s="294"/>
      <c r="K104" s="312"/>
      <c r="L104" s="294"/>
      <c r="M104" s="312"/>
      <c r="N104" s="294"/>
      <c r="O104" s="312"/>
      <c r="P104" s="312"/>
      <c r="Q104" s="312"/>
      <c r="R104" s="312"/>
      <c r="S104" s="312"/>
      <c r="T104" s="312"/>
      <c r="U104" s="312"/>
      <c r="V104" s="312"/>
      <c r="W104" s="294" t="s">
        <v>1493</v>
      </c>
      <c r="X104" s="294" t="s">
        <v>50</v>
      </c>
      <c r="Y104" s="255" t="s">
        <v>562</v>
      </c>
      <c r="Z104" s="255" t="s">
        <v>50</v>
      </c>
      <c r="AA104" s="268"/>
      <c r="AB104" s="255" t="s">
        <v>50</v>
      </c>
    </row>
    <row r="105" spans="1:28" ht="30" customHeight="1">
      <c r="A105" s="296" t="s">
        <v>2029</v>
      </c>
      <c r="B105" s="294" t="s">
        <v>846</v>
      </c>
      <c r="C105" s="294" t="s">
        <v>830</v>
      </c>
      <c r="D105" s="311" t="s">
        <v>831</v>
      </c>
      <c r="E105" s="312"/>
      <c r="F105" s="294"/>
      <c r="G105" s="312"/>
      <c r="H105" s="294"/>
      <c r="I105" s="312"/>
      <c r="J105" s="294"/>
      <c r="K105" s="312"/>
      <c r="L105" s="294"/>
      <c r="M105" s="312"/>
      <c r="N105" s="294"/>
      <c r="O105" s="312"/>
      <c r="P105" s="312"/>
      <c r="Q105" s="312"/>
      <c r="R105" s="312"/>
      <c r="S105" s="312"/>
      <c r="T105" s="312"/>
      <c r="U105" s="312"/>
      <c r="V105" s="312"/>
      <c r="W105" s="294" t="s">
        <v>1494</v>
      </c>
      <c r="X105" s="294" t="s">
        <v>50</v>
      </c>
      <c r="Y105" s="255" t="s">
        <v>562</v>
      </c>
      <c r="Z105" s="255" t="s">
        <v>50</v>
      </c>
      <c r="AA105" s="268"/>
      <c r="AB105" s="255" t="s">
        <v>50</v>
      </c>
    </row>
    <row r="106" spans="1:28" ht="30" customHeight="1">
      <c r="A106" s="296" t="s">
        <v>2310</v>
      </c>
      <c r="B106" s="294" t="s">
        <v>932</v>
      </c>
      <c r="C106" s="294" t="s">
        <v>830</v>
      </c>
      <c r="D106" s="311" t="s">
        <v>831</v>
      </c>
      <c r="E106" s="312"/>
      <c r="F106" s="294"/>
      <c r="G106" s="312"/>
      <c r="H106" s="294"/>
      <c r="I106" s="312"/>
      <c r="J106" s="294"/>
      <c r="K106" s="312"/>
      <c r="L106" s="294"/>
      <c r="M106" s="312"/>
      <c r="N106" s="294"/>
      <c r="O106" s="312"/>
      <c r="P106" s="312"/>
      <c r="Q106" s="312"/>
      <c r="R106" s="312"/>
      <c r="S106" s="312"/>
      <c r="T106" s="312"/>
      <c r="U106" s="312"/>
      <c r="V106" s="312"/>
      <c r="W106" s="294" t="s">
        <v>1495</v>
      </c>
      <c r="X106" s="294" t="s">
        <v>50</v>
      </c>
      <c r="Y106" s="255" t="s">
        <v>562</v>
      </c>
      <c r="Z106" s="255" t="s">
        <v>50</v>
      </c>
      <c r="AA106" s="268"/>
      <c r="AB106" s="255" t="s">
        <v>50</v>
      </c>
    </row>
    <row r="107" spans="1:28" ht="30" customHeight="1">
      <c r="A107" s="296" t="s">
        <v>2082</v>
      </c>
      <c r="B107" s="294" t="s">
        <v>383</v>
      </c>
      <c r="C107" s="294" t="s">
        <v>875</v>
      </c>
      <c r="D107" s="311" t="s">
        <v>831</v>
      </c>
      <c r="E107" s="312"/>
      <c r="F107" s="294"/>
      <c r="G107" s="312"/>
      <c r="H107" s="294"/>
      <c r="I107" s="312"/>
      <c r="J107" s="294"/>
      <c r="K107" s="312"/>
      <c r="L107" s="294"/>
      <c r="M107" s="312"/>
      <c r="N107" s="294"/>
      <c r="O107" s="312"/>
      <c r="P107" s="312"/>
      <c r="Q107" s="312"/>
      <c r="R107" s="312"/>
      <c r="S107" s="312"/>
      <c r="T107" s="312"/>
      <c r="U107" s="312"/>
      <c r="V107" s="312"/>
      <c r="W107" s="294" t="s">
        <v>1496</v>
      </c>
      <c r="X107" s="294" t="s">
        <v>50</v>
      </c>
      <c r="Y107" s="255" t="s">
        <v>562</v>
      </c>
      <c r="Z107" s="255" t="s">
        <v>50</v>
      </c>
      <c r="AA107" s="268"/>
      <c r="AB107" s="255" t="s">
        <v>50</v>
      </c>
    </row>
    <row r="108" spans="1:28" ht="30" customHeight="1">
      <c r="A108" s="296" t="s">
        <v>2084</v>
      </c>
      <c r="B108" s="294" t="s">
        <v>461</v>
      </c>
      <c r="C108" s="294" t="s">
        <v>875</v>
      </c>
      <c r="D108" s="311" t="s">
        <v>831</v>
      </c>
      <c r="E108" s="312"/>
      <c r="F108" s="294"/>
      <c r="G108" s="312"/>
      <c r="H108" s="294"/>
      <c r="I108" s="312"/>
      <c r="J108" s="294"/>
      <c r="K108" s="312"/>
      <c r="L108" s="294"/>
      <c r="M108" s="312"/>
      <c r="N108" s="294"/>
      <c r="O108" s="312"/>
      <c r="P108" s="312"/>
      <c r="Q108" s="312"/>
      <c r="R108" s="312"/>
      <c r="S108" s="312"/>
      <c r="T108" s="312"/>
      <c r="U108" s="312"/>
      <c r="V108" s="312"/>
      <c r="W108" s="294" t="s">
        <v>1497</v>
      </c>
      <c r="X108" s="294" t="s">
        <v>50</v>
      </c>
      <c r="Y108" s="255" t="s">
        <v>562</v>
      </c>
      <c r="Z108" s="255" t="s">
        <v>50</v>
      </c>
      <c r="AA108" s="268"/>
      <c r="AB108" s="255" t="s">
        <v>50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3" type="noConversion"/>
  <pageMargins left="0.59055118110236215" right="0.39370078740157483" top="0.39370078740157483" bottom="0.39370078740157483" header="0.19685039370078741" footer="0.19685039370078741"/>
  <pageSetup paperSize="9" scale="4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C2:H21"/>
  <sheetViews>
    <sheetView view="pageBreakPreview" topLeftCell="A2" zoomScaleSheetLayoutView="100" workbookViewId="0">
      <selection activeCell="N13" sqref="N13"/>
    </sheetView>
  </sheetViews>
  <sheetFormatPr defaultColWidth="9" defaultRowHeight="16.5"/>
  <cols>
    <col min="1" max="1" width="1.75" style="317" customWidth="1"/>
    <col min="2" max="2" width="1.625" style="317" customWidth="1"/>
    <col min="3" max="3" width="6.375" style="317" customWidth="1"/>
    <col min="4" max="4" width="26.125" style="317" customWidth="1"/>
    <col min="5" max="5" width="21.125" style="317" customWidth="1"/>
    <col min="6" max="6" width="32.875" style="317" customWidth="1"/>
    <col min="7" max="256" width="9" style="317"/>
    <col min="257" max="257" width="1.75" style="317" customWidth="1"/>
    <col min="258" max="258" width="1.625" style="317" customWidth="1"/>
    <col min="259" max="259" width="6.375" style="317" customWidth="1"/>
    <col min="260" max="260" width="26.125" style="317" customWidth="1"/>
    <col min="261" max="261" width="19.75" style="317" customWidth="1"/>
    <col min="262" max="262" width="35.375" style="317" customWidth="1"/>
    <col min="263" max="512" width="9" style="317"/>
    <col min="513" max="513" width="1.75" style="317" customWidth="1"/>
    <col min="514" max="514" width="1.625" style="317" customWidth="1"/>
    <col min="515" max="515" width="6.375" style="317" customWidth="1"/>
    <col min="516" max="516" width="26.125" style="317" customWidth="1"/>
    <col min="517" max="517" width="19.75" style="317" customWidth="1"/>
    <col min="518" max="518" width="35.375" style="317" customWidth="1"/>
    <col min="519" max="768" width="9" style="317"/>
    <col min="769" max="769" width="1.75" style="317" customWidth="1"/>
    <col min="770" max="770" width="1.625" style="317" customWidth="1"/>
    <col min="771" max="771" width="6.375" style="317" customWidth="1"/>
    <col min="772" max="772" width="26.125" style="317" customWidth="1"/>
    <col min="773" max="773" width="19.75" style="317" customWidth="1"/>
    <col min="774" max="774" width="35.375" style="317" customWidth="1"/>
    <col min="775" max="1024" width="9" style="317"/>
    <col min="1025" max="1025" width="1.75" style="317" customWidth="1"/>
    <col min="1026" max="1026" width="1.625" style="317" customWidth="1"/>
    <col min="1027" max="1027" width="6.375" style="317" customWidth="1"/>
    <col min="1028" max="1028" width="26.125" style="317" customWidth="1"/>
    <col min="1029" max="1029" width="19.75" style="317" customWidth="1"/>
    <col min="1030" max="1030" width="35.375" style="317" customWidth="1"/>
    <col min="1031" max="1280" width="9" style="317"/>
    <col min="1281" max="1281" width="1.75" style="317" customWidth="1"/>
    <col min="1282" max="1282" width="1.625" style="317" customWidth="1"/>
    <col min="1283" max="1283" width="6.375" style="317" customWidth="1"/>
    <col min="1284" max="1284" width="26.125" style="317" customWidth="1"/>
    <col min="1285" max="1285" width="19.75" style="317" customWidth="1"/>
    <col min="1286" max="1286" width="35.375" style="317" customWidth="1"/>
    <col min="1287" max="1536" width="9" style="317"/>
    <col min="1537" max="1537" width="1.75" style="317" customWidth="1"/>
    <col min="1538" max="1538" width="1.625" style="317" customWidth="1"/>
    <col min="1539" max="1539" width="6.375" style="317" customWidth="1"/>
    <col min="1540" max="1540" width="26.125" style="317" customWidth="1"/>
    <col min="1541" max="1541" width="19.75" style="317" customWidth="1"/>
    <col min="1542" max="1542" width="35.375" style="317" customWidth="1"/>
    <col min="1543" max="1792" width="9" style="317"/>
    <col min="1793" max="1793" width="1.75" style="317" customWidth="1"/>
    <col min="1794" max="1794" width="1.625" style="317" customWidth="1"/>
    <col min="1795" max="1795" width="6.375" style="317" customWidth="1"/>
    <col min="1796" max="1796" width="26.125" style="317" customWidth="1"/>
    <col min="1797" max="1797" width="19.75" style="317" customWidth="1"/>
    <col min="1798" max="1798" width="35.375" style="317" customWidth="1"/>
    <col min="1799" max="2048" width="9" style="317"/>
    <col min="2049" max="2049" width="1.75" style="317" customWidth="1"/>
    <col min="2050" max="2050" width="1.625" style="317" customWidth="1"/>
    <col min="2051" max="2051" width="6.375" style="317" customWidth="1"/>
    <col min="2052" max="2052" width="26.125" style="317" customWidth="1"/>
    <col min="2053" max="2053" width="19.75" style="317" customWidth="1"/>
    <col min="2054" max="2054" width="35.375" style="317" customWidth="1"/>
    <col min="2055" max="2304" width="9" style="317"/>
    <col min="2305" max="2305" width="1.75" style="317" customWidth="1"/>
    <col min="2306" max="2306" width="1.625" style="317" customWidth="1"/>
    <col min="2307" max="2307" width="6.375" style="317" customWidth="1"/>
    <col min="2308" max="2308" width="26.125" style="317" customWidth="1"/>
    <col min="2309" max="2309" width="19.75" style="317" customWidth="1"/>
    <col min="2310" max="2310" width="35.375" style="317" customWidth="1"/>
    <col min="2311" max="2560" width="9" style="317"/>
    <col min="2561" max="2561" width="1.75" style="317" customWidth="1"/>
    <col min="2562" max="2562" width="1.625" style="317" customWidth="1"/>
    <col min="2563" max="2563" width="6.375" style="317" customWidth="1"/>
    <col min="2564" max="2564" width="26.125" style="317" customWidth="1"/>
    <col min="2565" max="2565" width="19.75" style="317" customWidth="1"/>
    <col min="2566" max="2566" width="35.375" style="317" customWidth="1"/>
    <col min="2567" max="2816" width="9" style="317"/>
    <col min="2817" max="2817" width="1.75" style="317" customWidth="1"/>
    <col min="2818" max="2818" width="1.625" style="317" customWidth="1"/>
    <col min="2819" max="2819" width="6.375" style="317" customWidth="1"/>
    <col min="2820" max="2820" width="26.125" style="317" customWidth="1"/>
    <col min="2821" max="2821" width="19.75" style="317" customWidth="1"/>
    <col min="2822" max="2822" width="35.375" style="317" customWidth="1"/>
    <col min="2823" max="3072" width="9" style="317"/>
    <col min="3073" max="3073" width="1.75" style="317" customWidth="1"/>
    <col min="3074" max="3074" width="1.625" style="317" customWidth="1"/>
    <col min="3075" max="3075" width="6.375" style="317" customWidth="1"/>
    <col min="3076" max="3076" width="26.125" style="317" customWidth="1"/>
    <col min="3077" max="3077" width="19.75" style="317" customWidth="1"/>
    <col min="3078" max="3078" width="35.375" style="317" customWidth="1"/>
    <col min="3079" max="3328" width="9" style="317"/>
    <col min="3329" max="3329" width="1.75" style="317" customWidth="1"/>
    <col min="3330" max="3330" width="1.625" style="317" customWidth="1"/>
    <col min="3331" max="3331" width="6.375" style="317" customWidth="1"/>
    <col min="3332" max="3332" width="26.125" style="317" customWidth="1"/>
    <col min="3333" max="3333" width="19.75" style="317" customWidth="1"/>
    <col min="3334" max="3334" width="35.375" style="317" customWidth="1"/>
    <col min="3335" max="3584" width="9" style="317"/>
    <col min="3585" max="3585" width="1.75" style="317" customWidth="1"/>
    <col min="3586" max="3586" width="1.625" style="317" customWidth="1"/>
    <col min="3587" max="3587" width="6.375" style="317" customWidth="1"/>
    <col min="3588" max="3588" width="26.125" style="317" customWidth="1"/>
    <col min="3589" max="3589" width="19.75" style="317" customWidth="1"/>
    <col min="3590" max="3590" width="35.375" style="317" customWidth="1"/>
    <col min="3591" max="3840" width="9" style="317"/>
    <col min="3841" max="3841" width="1.75" style="317" customWidth="1"/>
    <col min="3842" max="3842" width="1.625" style="317" customWidth="1"/>
    <col min="3843" max="3843" width="6.375" style="317" customWidth="1"/>
    <col min="3844" max="3844" width="26.125" style="317" customWidth="1"/>
    <col min="3845" max="3845" width="19.75" style="317" customWidth="1"/>
    <col min="3846" max="3846" width="35.375" style="317" customWidth="1"/>
    <col min="3847" max="4096" width="9" style="317"/>
    <col min="4097" max="4097" width="1.75" style="317" customWidth="1"/>
    <col min="4098" max="4098" width="1.625" style="317" customWidth="1"/>
    <col min="4099" max="4099" width="6.375" style="317" customWidth="1"/>
    <col min="4100" max="4100" width="26.125" style="317" customWidth="1"/>
    <col min="4101" max="4101" width="19.75" style="317" customWidth="1"/>
    <col min="4102" max="4102" width="35.375" style="317" customWidth="1"/>
    <col min="4103" max="4352" width="9" style="317"/>
    <col min="4353" max="4353" width="1.75" style="317" customWidth="1"/>
    <col min="4354" max="4354" width="1.625" style="317" customWidth="1"/>
    <col min="4355" max="4355" width="6.375" style="317" customWidth="1"/>
    <col min="4356" max="4356" width="26.125" style="317" customWidth="1"/>
    <col min="4357" max="4357" width="19.75" style="317" customWidth="1"/>
    <col min="4358" max="4358" width="35.375" style="317" customWidth="1"/>
    <col min="4359" max="4608" width="9" style="317"/>
    <col min="4609" max="4609" width="1.75" style="317" customWidth="1"/>
    <col min="4610" max="4610" width="1.625" style="317" customWidth="1"/>
    <col min="4611" max="4611" width="6.375" style="317" customWidth="1"/>
    <col min="4612" max="4612" width="26.125" style="317" customWidth="1"/>
    <col min="4613" max="4613" width="19.75" style="317" customWidth="1"/>
    <col min="4614" max="4614" width="35.375" style="317" customWidth="1"/>
    <col min="4615" max="4864" width="9" style="317"/>
    <col min="4865" max="4865" width="1.75" style="317" customWidth="1"/>
    <col min="4866" max="4866" width="1.625" style="317" customWidth="1"/>
    <col min="4867" max="4867" width="6.375" style="317" customWidth="1"/>
    <col min="4868" max="4868" width="26.125" style="317" customWidth="1"/>
    <col min="4869" max="4869" width="19.75" style="317" customWidth="1"/>
    <col min="4870" max="4870" width="35.375" style="317" customWidth="1"/>
    <col min="4871" max="5120" width="9" style="317"/>
    <col min="5121" max="5121" width="1.75" style="317" customWidth="1"/>
    <col min="5122" max="5122" width="1.625" style="317" customWidth="1"/>
    <col min="5123" max="5123" width="6.375" style="317" customWidth="1"/>
    <col min="5124" max="5124" width="26.125" style="317" customWidth="1"/>
    <col min="5125" max="5125" width="19.75" style="317" customWidth="1"/>
    <col min="5126" max="5126" width="35.375" style="317" customWidth="1"/>
    <col min="5127" max="5376" width="9" style="317"/>
    <col min="5377" max="5377" width="1.75" style="317" customWidth="1"/>
    <col min="5378" max="5378" width="1.625" style="317" customWidth="1"/>
    <col min="5379" max="5379" width="6.375" style="317" customWidth="1"/>
    <col min="5380" max="5380" width="26.125" style="317" customWidth="1"/>
    <col min="5381" max="5381" width="19.75" style="317" customWidth="1"/>
    <col min="5382" max="5382" width="35.375" style="317" customWidth="1"/>
    <col min="5383" max="5632" width="9" style="317"/>
    <col min="5633" max="5633" width="1.75" style="317" customWidth="1"/>
    <col min="5634" max="5634" width="1.625" style="317" customWidth="1"/>
    <col min="5635" max="5635" width="6.375" style="317" customWidth="1"/>
    <col min="5636" max="5636" width="26.125" style="317" customWidth="1"/>
    <col min="5637" max="5637" width="19.75" style="317" customWidth="1"/>
    <col min="5638" max="5638" width="35.375" style="317" customWidth="1"/>
    <col min="5639" max="5888" width="9" style="317"/>
    <col min="5889" max="5889" width="1.75" style="317" customWidth="1"/>
    <col min="5890" max="5890" width="1.625" style="317" customWidth="1"/>
    <col min="5891" max="5891" width="6.375" style="317" customWidth="1"/>
    <col min="5892" max="5892" width="26.125" style="317" customWidth="1"/>
    <col min="5893" max="5893" width="19.75" style="317" customWidth="1"/>
    <col min="5894" max="5894" width="35.375" style="317" customWidth="1"/>
    <col min="5895" max="6144" width="9" style="317"/>
    <col min="6145" max="6145" width="1.75" style="317" customWidth="1"/>
    <col min="6146" max="6146" width="1.625" style="317" customWidth="1"/>
    <col min="6147" max="6147" width="6.375" style="317" customWidth="1"/>
    <col min="6148" max="6148" width="26.125" style="317" customWidth="1"/>
    <col min="6149" max="6149" width="19.75" style="317" customWidth="1"/>
    <col min="6150" max="6150" width="35.375" style="317" customWidth="1"/>
    <col min="6151" max="6400" width="9" style="317"/>
    <col min="6401" max="6401" width="1.75" style="317" customWidth="1"/>
    <col min="6402" max="6402" width="1.625" style="317" customWidth="1"/>
    <col min="6403" max="6403" width="6.375" style="317" customWidth="1"/>
    <col min="6404" max="6404" width="26.125" style="317" customWidth="1"/>
    <col min="6405" max="6405" width="19.75" style="317" customWidth="1"/>
    <col min="6406" max="6406" width="35.375" style="317" customWidth="1"/>
    <col min="6407" max="6656" width="9" style="317"/>
    <col min="6657" max="6657" width="1.75" style="317" customWidth="1"/>
    <col min="6658" max="6658" width="1.625" style="317" customWidth="1"/>
    <col min="6659" max="6659" width="6.375" style="317" customWidth="1"/>
    <col min="6660" max="6660" width="26.125" style="317" customWidth="1"/>
    <col min="6661" max="6661" width="19.75" style="317" customWidth="1"/>
    <col min="6662" max="6662" width="35.375" style="317" customWidth="1"/>
    <col min="6663" max="6912" width="9" style="317"/>
    <col min="6913" max="6913" width="1.75" style="317" customWidth="1"/>
    <col min="6914" max="6914" width="1.625" style="317" customWidth="1"/>
    <col min="6915" max="6915" width="6.375" style="317" customWidth="1"/>
    <col min="6916" max="6916" width="26.125" style="317" customWidth="1"/>
    <col min="6917" max="6917" width="19.75" style="317" customWidth="1"/>
    <col min="6918" max="6918" width="35.375" style="317" customWidth="1"/>
    <col min="6919" max="7168" width="9" style="317"/>
    <col min="7169" max="7169" width="1.75" style="317" customWidth="1"/>
    <col min="7170" max="7170" width="1.625" style="317" customWidth="1"/>
    <col min="7171" max="7171" width="6.375" style="317" customWidth="1"/>
    <col min="7172" max="7172" width="26.125" style="317" customWidth="1"/>
    <col min="7173" max="7173" width="19.75" style="317" customWidth="1"/>
    <col min="7174" max="7174" width="35.375" style="317" customWidth="1"/>
    <col min="7175" max="7424" width="9" style="317"/>
    <col min="7425" max="7425" width="1.75" style="317" customWidth="1"/>
    <col min="7426" max="7426" width="1.625" style="317" customWidth="1"/>
    <col min="7427" max="7427" width="6.375" style="317" customWidth="1"/>
    <col min="7428" max="7428" width="26.125" style="317" customWidth="1"/>
    <col min="7429" max="7429" width="19.75" style="317" customWidth="1"/>
    <col min="7430" max="7430" width="35.375" style="317" customWidth="1"/>
    <col min="7431" max="7680" width="9" style="317"/>
    <col min="7681" max="7681" width="1.75" style="317" customWidth="1"/>
    <col min="7682" max="7682" width="1.625" style="317" customWidth="1"/>
    <col min="7683" max="7683" width="6.375" style="317" customWidth="1"/>
    <col min="7684" max="7684" width="26.125" style="317" customWidth="1"/>
    <col min="7685" max="7685" width="19.75" style="317" customWidth="1"/>
    <col min="7686" max="7686" width="35.375" style="317" customWidth="1"/>
    <col min="7687" max="7936" width="9" style="317"/>
    <col min="7937" max="7937" width="1.75" style="317" customWidth="1"/>
    <col min="7938" max="7938" width="1.625" style="317" customWidth="1"/>
    <col min="7939" max="7939" width="6.375" style="317" customWidth="1"/>
    <col min="7940" max="7940" width="26.125" style="317" customWidth="1"/>
    <col min="7941" max="7941" width="19.75" style="317" customWidth="1"/>
    <col min="7942" max="7942" width="35.375" style="317" customWidth="1"/>
    <col min="7943" max="8192" width="9" style="317"/>
    <col min="8193" max="8193" width="1.75" style="317" customWidth="1"/>
    <col min="8194" max="8194" width="1.625" style="317" customWidth="1"/>
    <col min="8195" max="8195" width="6.375" style="317" customWidth="1"/>
    <col min="8196" max="8196" width="26.125" style="317" customWidth="1"/>
    <col min="8197" max="8197" width="19.75" style="317" customWidth="1"/>
    <col min="8198" max="8198" width="35.375" style="317" customWidth="1"/>
    <col min="8199" max="8448" width="9" style="317"/>
    <col min="8449" max="8449" width="1.75" style="317" customWidth="1"/>
    <col min="8450" max="8450" width="1.625" style="317" customWidth="1"/>
    <col min="8451" max="8451" width="6.375" style="317" customWidth="1"/>
    <col min="8452" max="8452" width="26.125" style="317" customWidth="1"/>
    <col min="8453" max="8453" width="19.75" style="317" customWidth="1"/>
    <col min="8454" max="8454" width="35.375" style="317" customWidth="1"/>
    <col min="8455" max="8704" width="9" style="317"/>
    <col min="8705" max="8705" width="1.75" style="317" customWidth="1"/>
    <col min="8706" max="8706" width="1.625" style="317" customWidth="1"/>
    <col min="8707" max="8707" width="6.375" style="317" customWidth="1"/>
    <col min="8708" max="8708" width="26.125" style="317" customWidth="1"/>
    <col min="8709" max="8709" width="19.75" style="317" customWidth="1"/>
    <col min="8710" max="8710" width="35.375" style="317" customWidth="1"/>
    <col min="8711" max="8960" width="9" style="317"/>
    <col min="8961" max="8961" width="1.75" style="317" customWidth="1"/>
    <col min="8962" max="8962" width="1.625" style="317" customWidth="1"/>
    <col min="8963" max="8963" width="6.375" style="317" customWidth="1"/>
    <col min="8964" max="8964" width="26.125" style="317" customWidth="1"/>
    <col min="8965" max="8965" width="19.75" style="317" customWidth="1"/>
    <col min="8966" max="8966" width="35.375" style="317" customWidth="1"/>
    <col min="8967" max="9216" width="9" style="317"/>
    <col min="9217" max="9217" width="1.75" style="317" customWidth="1"/>
    <col min="9218" max="9218" width="1.625" style="317" customWidth="1"/>
    <col min="9219" max="9219" width="6.375" style="317" customWidth="1"/>
    <col min="9220" max="9220" width="26.125" style="317" customWidth="1"/>
    <col min="9221" max="9221" width="19.75" style="317" customWidth="1"/>
    <col min="9222" max="9222" width="35.375" style="317" customWidth="1"/>
    <col min="9223" max="9472" width="9" style="317"/>
    <col min="9473" max="9473" width="1.75" style="317" customWidth="1"/>
    <col min="9474" max="9474" width="1.625" style="317" customWidth="1"/>
    <col min="9475" max="9475" width="6.375" style="317" customWidth="1"/>
    <col min="9476" max="9476" width="26.125" style="317" customWidth="1"/>
    <col min="9477" max="9477" width="19.75" style="317" customWidth="1"/>
    <col min="9478" max="9478" width="35.375" style="317" customWidth="1"/>
    <col min="9479" max="9728" width="9" style="317"/>
    <col min="9729" max="9729" width="1.75" style="317" customWidth="1"/>
    <col min="9730" max="9730" width="1.625" style="317" customWidth="1"/>
    <col min="9731" max="9731" width="6.375" style="317" customWidth="1"/>
    <col min="9732" max="9732" width="26.125" style="317" customWidth="1"/>
    <col min="9733" max="9733" width="19.75" style="317" customWidth="1"/>
    <col min="9734" max="9734" width="35.375" style="317" customWidth="1"/>
    <col min="9735" max="9984" width="9" style="317"/>
    <col min="9985" max="9985" width="1.75" style="317" customWidth="1"/>
    <col min="9986" max="9986" width="1.625" style="317" customWidth="1"/>
    <col min="9987" max="9987" width="6.375" style="317" customWidth="1"/>
    <col min="9988" max="9988" width="26.125" style="317" customWidth="1"/>
    <col min="9989" max="9989" width="19.75" style="317" customWidth="1"/>
    <col min="9990" max="9990" width="35.375" style="317" customWidth="1"/>
    <col min="9991" max="10240" width="9" style="317"/>
    <col min="10241" max="10241" width="1.75" style="317" customWidth="1"/>
    <col min="10242" max="10242" width="1.625" style="317" customWidth="1"/>
    <col min="10243" max="10243" width="6.375" style="317" customWidth="1"/>
    <col min="10244" max="10244" width="26.125" style="317" customWidth="1"/>
    <col min="10245" max="10245" width="19.75" style="317" customWidth="1"/>
    <col min="10246" max="10246" width="35.375" style="317" customWidth="1"/>
    <col min="10247" max="10496" width="9" style="317"/>
    <col min="10497" max="10497" width="1.75" style="317" customWidth="1"/>
    <col min="10498" max="10498" width="1.625" style="317" customWidth="1"/>
    <col min="10499" max="10499" width="6.375" style="317" customWidth="1"/>
    <col min="10500" max="10500" width="26.125" style="317" customWidth="1"/>
    <col min="10501" max="10501" width="19.75" style="317" customWidth="1"/>
    <col min="10502" max="10502" width="35.375" style="317" customWidth="1"/>
    <col min="10503" max="10752" width="9" style="317"/>
    <col min="10753" max="10753" width="1.75" style="317" customWidth="1"/>
    <col min="10754" max="10754" width="1.625" style="317" customWidth="1"/>
    <col min="10755" max="10755" width="6.375" style="317" customWidth="1"/>
    <col min="10756" max="10756" width="26.125" style="317" customWidth="1"/>
    <col min="10757" max="10757" width="19.75" style="317" customWidth="1"/>
    <col min="10758" max="10758" width="35.375" style="317" customWidth="1"/>
    <col min="10759" max="11008" width="9" style="317"/>
    <col min="11009" max="11009" width="1.75" style="317" customWidth="1"/>
    <col min="11010" max="11010" width="1.625" style="317" customWidth="1"/>
    <col min="11011" max="11011" width="6.375" style="317" customWidth="1"/>
    <col min="11012" max="11012" width="26.125" style="317" customWidth="1"/>
    <col min="11013" max="11013" width="19.75" style="317" customWidth="1"/>
    <col min="11014" max="11014" width="35.375" style="317" customWidth="1"/>
    <col min="11015" max="11264" width="9" style="317"/>
    <col min="11265" max="11265" width="1.75" style="317" customWidth="1"/>
    <col min="11266" max="11266" width="1.625" style="317" customWidth="1"/>
    <col min="11267" max="11267" width="6.375" style="317" customWidth="1"/>
    <col min="11268" max="11268" width="26.125" style="317" customWidth="1"/>
    <col min="11269" max="11269" width="19.75" style="317" customWidth="1"/>
    <col min="11270" max="11270" width="35.375" style="317" customWidth="1"/>
    <col min="11271" max="11520" width="9" style="317"/>
    <col min="11521" max="11521" width="1.75" style="317" customWidth="1"/>
    <col min="11522" max="11522" width="1.625" style="317" customWidth="1"/>
    <col min="11523" max="11523" width="6.375" style="317" customWidth="1"/>
    <col min="11524" max="11524" width="26.125" style="317" customWidth="1"/>
    <col min="11525" max="11525" width="19.75" style="317" customWidth="1"/>
    <col min="11526" max="11526" width="35.375" style="317" customWidth="1"/>
    <col min="11527" max="11776" width="9" style="317"/>
    <col min="11777" max="11777" width="1.75" style="317" customWidth="1"/>
    <col min="11778" max="11778" width="1.625" style="317" customWidth="1"/>
    <col min="11779" max="11779" width="6.375" style="317" customWidth="1"/>
    <col min="11780" max="11780" width="26.125" style="317" customWidth="1"/>
    <col min="11781" max="11781" width="19.75" style="317" customWidth="1"/>
    <col min="11782" max="11782" width="35.375" style="317" customWidth="1"/>
    <col min="11783" max="12032" width="9" style="317"/>
    <col min="12033" max="12033" width="1.75" style="317" customWidth="1"/>
    <col min="12034" max="12034" width="1.625" style="317" customWidth="1"/>
    <col min="12035" max="12035" width="6.375" style="317" customWidth="1"/>
    <col min="12036" max="12036" width="26.125" style="317" customWidth="1"/>
    <col min="12037" max="12037" width="19.75" style="317" customWidth="1"/>
    <col min="12038" max="12038" width="35.375" style="317" customWidth="1"/>
    <col min="12039" max="12288" width="9" style="317"/>
    <col min="12289" max="12289" width="1.75" style="317" customWidth="1"/>
    <col min="12290" max="12290" width="1.625" style="317" customWidth="1"/>
    <col min="12291" max="12291" width="6.375" style="317" customWidth="1"/>
    <col min="12292" max="12292" width="26.125" style="317" customWidth="1"/>
    <col min="12293" max="12293" width="19.75" style="317" customWidth="1"/>
    <col min="12294" max="12294" width="35.375" style="317" customWidth="1"/>
    <col min="12295" max="12544" width="9" style="317"/>
    <col min="12545" max="12545" width="1.75" style="317" customWidth="1"/>
    <col min="12546" max="12546" width="1.625" style="317" customWidth="1"/>
    <col min="12547" max="12547" width="6.375" style="317" customWidth="1"/>
    <col min="12548" max="12548" width="26.125" style="317" customWidth="1"/>
    <col min="12549" max="12549" width="19.75" style="317" customWidth="1"/>
    <col min="12550" max="12550" width="35.375" style="317" customWidth="1"/>
    <col min="12551" max="12800" width="9" style="317"/>
    <col min="12801" max="12801" width="1.75" style="317" customWidth="1"/>
    <col min="12802" max="12802" width="1.625" style="317" customWidth="1"/>
    <col min="12803" max="12803" width="6.375" style="317" customWidth="1"/>
    <col min="12804" max="12804" width="26.125" style="317" customWidth="1"/>
    <col min="12805" max="12805" width="19.75" style="317" customWidth="1"/>
    <col min="12806" max="12806" width="35.375" style="317" customWidth="1"/>
    <col min="12807" max="13056" width="9" style="317"/>
    <col min="13057" max="13057" width="1.75" style="317" customWidth="1"/>
    <col min="13058" max="13058" width="1.625" style="317" customWidth="1"/>
    <col min="13059" max="13059" width="6.375" style="317" customWidth="1"/>
    <col min="13060" max="13060" width="26.125" style="317" customWidth="1"/>
    <col min="13061" max="13061" width="19.75" style="317" customWidth="1"/>
    <col min="13062" max="13062" width="35.375" style="317" customWidth="1"/>
    <col min="13063" max="13312" width="9" style="317"/>
    <col min="13313" max="13313" width="1.75" style="317" customWidth="1"/>
    <col min="13314" max="13314" width="1.625" style="317" customWidth="1"/>
    <col min="13315" max="13315" width="6.375" style="317" customWidth="1"/>
    <col min="13316" max="13316" width="26.125" style="317" customWidth="1"/>
    <col min="13317" max="13317" width="19.75" style="317" customWidth="1"/>
    <col min="13318" max="13318" width="35.375" style="317" customWidth="1"/>
    <col min="13319" max="13568" width="9" style="317"/>
    <col min="13569" max="13569" width="1.75" style="317" customWidth="1"/>
    <col min="13570" max="13570" width="1.625" style="317" customWidth="1"/>
    <col min="13571" max="13571" width="6.375" style="317" customWidth="1"/>
    <col min="13572" max="13572" width="26.125" style="317" customWidth="1"/>
    <col min="13573" max="13573" width="19.75" style="317" customWidth="1"/>
    <col min="13574" max="13574" width="35.375" style="317" customWidth="1"/>
    <col min="13575" max="13824" width="9" style="317"/>
    <col min="13825" max="13825" width="1.75" style="317" customWidth="1"/>
    <col min="13826" max="13826" width="1.625" style="317" customWidth="1"/>
    <col min="13827" max="13827" width="6.375" style="317" customWidth="1"/>
    <col min="13828" max="13828" width="26.125" style="317" customWidth="1"/>
    <col min="13829" max="13829" width="19.75" style="317" customWidth="1"/>
    <col min="13830" max="13830" width="35.375" style="317" customWidth="1"/>
    <col min="13831" max="14080" width="9" style="317"/>
    <col min="14081" max="14081" width="1.75" style="317" customWidth="1"/>
    <col min="14082" max="14082" width="1.625" style="317" customWidth="1"/>
    <col min="14083" max="14083" width="6.375" style="317" customWidth="1"/>
    <col min="14084" max="14084" width="26.125" style="317" customWidth="1"/>
    <col min="14085" max="14085" width="19.75" style="317" customWidth="1"/>
    <col min="14086" max="14086" width="35.375" style="317" customWidth="1"/>
    <col min="14087" max="14336" width="9" style="317"/>
    <col min="14337" max="14337" width="1.75" style="317" customWidth="1"/>
    <col min="14338" max="14338" width="1.625" style="317" customWidth="1"/>
    <col min="14339" max="14339" width="6.375" style="317" customWidth="1"/>
    <col min="14340" max="14340" width="26.125" style="317" customWidth="1"/>
    <col min="14341" max="14341" width="19.75" style="317" customWidth="1"/>
    <col min="14342" max="14342" width="35.375" style="317" customWidth="1"/>
    <col min="14343" max="14592" width="9" style="317"/>
    <col min="14593" max="14593" width="1.75" style="317" customWidth="1"/>
    <col min="14594" max="14594" width="1.625" style="317" customWidth="1"/>
    <col min="14595" max="14595" width="6.375" style="317" customWidth="1"/>
    <col min="14596" max="14596" width="26.125" style="317" customWidth="1"/>
    <col min="14597" max="14597" width="19.75" style="317" customWidth="1"/>
    <col min="14598" max="14598" width="35.375" style="317" customWidth="1"/>
    <col min="14599" max="14848" width="9" style="317"/>
    <col min="14849" max="14849" width="1.75" style="317" customWidth="1"/>
    <col min="14850" max="14850" width="1.625" style="317" customWidth="1"/>
    <col min="14851" max="14851" width="6.375" style="317" customWidth="1"/>
    <col min="14852" max="14852" width="26.125" style="317" customWidth="1"/>
    <col min="14853" max="14853" width="19.75" style="317" customWidth="1"/>
    <col min="14854" max="14854" width="35.375" style="317" customWidth="1"/>
    <col min="14855" max="15104" width="9" style="317"/>
    <col min="15105" max="15105" width="1.75" style="317" customWidth="1"/>
    <col min="15106" max="15106" width="1.625" style="317" customWidth="1"/>
    <col min="15107" max="15107" width="6.375" style="317" customWidth="1"/>
    <col min="15108" max="15108" width="26.125" style="317" customWidth="1"/>
    <col min="15109" max="15109" width="19.75" style="317" customWidth="1"/>
    <col min="15110" max="15110" width="35.375" style="317" customWidth="1"/>
    <col min="15111" max="15360" width="9" style="317"/>
    <col min="15361" max="15361" width="1.75" style="317" customWidth="1"/>
    <col min="15362" max="15362" width="1.625" style="317" customWidth="1"/>
    <col min="15363" max="15363" width="6.375" style="317" customWidth="1"/>
    <col min="15364" max="15364" width="26.125" style="317" customWidth="1"/>
    <col min="15365" max="15365" width="19.75" style="317" customWidth="1"/>
    <col min="15366" max="15366" width="35.375" style="317" customWidth="1"/>
    <col min="15367" max="15616" width="9" style="317"/>
    <col min="15617" max="15617" width="1.75" style="317" customWidth="1"/>
    <col min="15618" max="15618" width="1.625" style="317" customWidth="1"/>
    <col min="15619" max="15619" width="6.375" style="317" customWidth="1"/>
    <col min="15620" max="15620" width="26.125" style="317" customWidth="1"/>
    <col min="15621" max="15621" width="19.75" style="317" customWidth="1"/>
    <col min="15622" max="15622" width="35.375" style="317" customWidth="1"/>
    <col min="15623" max="15872" width="9" style="317"/>
    <col min="15873" max="15873" width="1.75" style="317" customWidth="1"/>
    <col min="15874" max="15874" width="1.625" style="317" customWidth="1"/>
    <col min="15875" max="15875" width="6.375" style="317" customWidth="1"/>
    <col min="15876" max="15876" width="26.125" style="317" customWidth="1"/>
    <col min="15877" max="15877" width="19.75" style="317" customWidth="1"/>
    <col min="15878" max="15878" width="35.375" style="317" customWidth="1"/>
    <col min="15879" max="16128" width="9" style="317"/>
    <col min="16129" max="16129" width="1.75" style="317" customWidth="1"/>
    <col min="16130" max="16130" width="1.625" style="317" customWidth="1"/>
    <col min="16131" max="16131" width="6.375" style="317" customWidth="1"/>
    <col min="16132" max="16132" width="26.125" style="317" customWidth="1"/>
    <col min="16133" max="16133" width="19.75" style="317" customWidth="1"/>
    <col min="16134" max="16134" width="35.375" style="317" customWidth="1"/>
    <col min="16135" max="16384" width="9" style="317"/>
  </cols>
  <sheetData>
    <row r="2" spans="3:8" ht="39.950000000000003" customHeight="1">
      <c r="C2" s="315" t="s">
        <v>1627</v>
      </c>
      <c r="D2" s="316"/>
      <c r="E2" s="316"/>
      <c r="F2" s="316"/>
    </row>
    <row r="3" spans="3:8" ht="24.75" customHeight="1">
      <c r="C3" s="318"/>
      <c r="D3" s="318"/>
      <c r="E3" s="319"/>
      <c r="F3" s="320"/>
      <c r="H3" s="321"/>
    </row>
    <row r="4" spans="3:8" ht="39.950000000000003" customHeight="1">
      <c r="C4" s="322" t="s">
        <v>1628</v>
      </c>
      <c r="D4" s="322" t="s">
        <v>1629</v>
      </c>
      <c r="E4" s="322" t="s">
        <v>1630</v>
      </c>
      <c r="F4" s="323" t="s">
        <v>1631</v>
      </c>
    </row>
    <row r="5" spans="3:8" ht="39.950000000000003" customHeight="1">
      <c r="C5" s="324">
        <v>1</v>
      </c>
      <c r="D5" s="324" t="s">
        <v>1632</v>
      </c>
      <c r="E5" s="325"/>
      <c r="F5" s="326" t="s">
        <v>1633</v>
      </c>
    </row>
    <row r="6" spans="3:8" ht="39.950000000000003" customHeight="1">
      <c r="C6" s="324">
        <v>2</v>
      </c>
      <c r="D6" s="324" t="s">
        <v>1634</v>
      </c>
      <c r="E6" s="327"/>
      <c r="F6" s="328"/>
    </row>
    <row r="7" spans="3:8" ht="39.950000000000003" customHeight="1">
      <c r="C7" s="324">
        <v>3</v>
      </c>
      <c r="D7" s="324" t="s">
        <v>1635</v>
      </c>
      <c r="E7" s="327"/>
      <c r="F7" s="328"/>
    </row>
    <row r="8" spans="3:8" ht="39.950000000000003" customHeight="1">
      <c r="C8" s="324"/>
      <c r="D8" s="324"/>
      <c r="E8" s="327"/>
      <c r="F8" s="328"/>
    </row>
    <row r="9" spans="3:8" ht="39.950000000000003" customHeight="1">
      <c r="C9" s="324">
        <v>4</v>
      </c>
      <c r="D9" s="324" t="s">
        <v>1636</v>
      </c>
      <c r="E9" s="327"/>
      <c r="F9" s="328" t="s">
        <v>1637</v>
      </c>
    </row>
    <row r="21" spans="5:5">
      <c r="E21" s="329"/>
    </row>
  </sheetData>
  <phoneticPr fontId="3" type="noConversion"/>
  <pageMargins left="0.69972223043441772" right="0.69972223043441772" top="0.75" bottom="0.75" header="0.30000001192092896" footer="0.30000001192092896"/>
  <pageSetup paperSize="9" scale="88" orientation="portrait" r:id="rId1"/>
  <colBreaks count="1" manualBreakCount="1">
    <brk id="6" max="1638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R58"/>
  <sheetViews>
    <sheetView view="pageBreakPreview" zoomScaleSheetLayoutView="100" workbookViewId="0">
      <selection activeCell="C12" sqref="C12"/>
    </sheetView>
  </sheetViews>
  <sheetFormatPr defaultColWidth="9" defaultRowHeight="16.5"/>
  <cols>
    <col min="1" max="1" width="2.125" style="331" customWidth="1"/>
    <col min="2" max="2" width="26" style="331" customWidth="1"/>
    <col min="3" max="3" width="11.25" style="331" customWidth="1"/>
    <col min="4" max="4" width="17.625" style="331" customWidth="1"/>
    <col min="5" max="5" width="18.5" style="331" customWidth="1"/>
    <col min="6" max="6" width="14.625" style="331" customWidth="1"/>
    <col min="7" max="7" width="36.875" style="331" customWidth="1"/>
    <col min="8" max="8" width="3.75" style="331" customWidth="1"/>
    <col min="9" max="9" width="2.5" style="331" customWidth="1"/>
    <col min="10" max="10" width="8.125" style="331" customWidth="1"/>
    <col min="11" max="11" width="4.625" style="331" customWidth="1"/>
    <col min="12" max="12" width="6.625" style="331" customWidth="1"/>
    <col min="13" max="13" width="4.625" style="331" customWidth="1"/>
    <col min="14" max="14" width="6.625" style="331" customWidth="1"/>
    <col min="15" max="15" width="4.625" style="331" customWidth="1"/>
    <col min="16" max="16" width="6.625" style="331" customWidth="1"/>
    <col min="17" max="17" width="4.625" style="331" customWidth="1"/>
    <col min="18" max="18" width="6.625" style="331" customWidth="1"/>
    <col min="19" max="19" width="9" style="331"/>
    <col min="20" max="20" width="5.125" style="331" customWidth="1"/>
    <col min="21" max="21" width="3.625" style="331" customWidth="1"/>
    <col min="22" max="22" width="2.75" style="331" customWidth="1"/>
    <col min="23" max="23" width="9" style="331"/>
    <col min="24" max="24" width="1.25" style="331" customWidth="1"/>
    <col min="25" max="25" width="2.5" style="331" customWidth="1"/>
    <col min="26" max="26" width="4.625" style="331" customWidth="1"/>
    <col min="27" max="27" width="1.875" style="331" customWidth="1"/>
    <col min="28" max="28" width="1.375" style="331" customWidth="1"/>
    <col min="29" max="29" width="1.625" style="331" customWidth="1"/>
    <col min="30" max="30" width="2" style="331" customWidth="1"/>
    <col min="31" max="31" width="3.75" style="331" customWidth="1"/>
    <col min="32" max="16384" width="9" style="331"/>
  </cols>
  <sheetData>
    <row r="1" spans="1:9">
      <c r="A1" s="330"/>
      <c r="B1" s="591" t="s">
        <v>1638</v>
      </c>
      <c r="C1" s="591"/>
      <c r="D1" s="591"/>
      <c r="E1" s="591"/>
      <c r="F1" s="591"/>
      <c r="G1" s="591"/>
    </row>
    <row r="2" spans="1:9" ht="25.5" customHeight="1">
      <c r="A2" s="592" t="s">
        <v>1693</v>
      </c>
      <c r="B2" s="591"/>
      <c r="C2" s="591"/>
      <c r="D2" s="591"/>
      <c r="E2" s="591"/>
      <c r="F2" s="591"/>
      <c r="G2" s="591"/>
      <c r="I2" s="331" t="s">
        <v>1639</v>
      </c>
    </row>
    <row r="3" spans="1:9" ht="24" customHeight="1">
      <c r="A3" s="330"/>
      <c r="B3" s="332" t="s">
        <v>1640</v>
      </c>
      <c r="C3" s="333" t="str">
        <f>"일금 "&amp;NUMBERSTRING(F38,1)&amp;" 원"</f>
        <v>일금 이백칠십칠만칠천 원</v>
      </c>
      <c r="D3" s="332"/>
      <c r="E3" s="332"/>
      <c r="F3" s="332"/>
      <c r="G3" s="334"/>
    </row>
    <row r="4" spans="1:9" ht="32.25" customHeight="1">
      <c r="A4" s="335" t="s">
        <v>1641</v>
      </c>
      <c r="B4" s="336"/>
      <c r="C4" s="593" t="str">
        <f>A2</f>
        <v>(가칭)둔촌동 중학교 도시형캠퍼스 신축공사</v>
      </c>
      <c r="D4" s="594"/>
      <c r="E4" s="594"/>
      <c r="F4"/>
      <c r="G4" s="337" t="s">
        <v>1642</v>
      </c>
    </row>
    <row r="5" spans="1:9" ht="5.0999999999999996" customHeight="1">
      <c r="A5" s="335"/>
      <c r="B5" s="336"/>
      <c r="C5" s="338"/>
      <c r="D5" s="317"/>
      <c r="E5" s="317"/>
      <c r="F5" s="317"/>
      <c r="G5" s="339"/>
    </row>
    <row r="6" spans="1:9" ht="5.0999999999999996" customHeight="1">
      <c r="A6" s="340"/>
      <c r="B6" s="341"/>
      <c r="C6" s="341"/>
      <c r="D6" s="342"/>
      <c r="E6" s="342"/>
      <c r="F6" s="342"/>
      <c r="G6" s="343"/>
    </row>
    <row r="7" spans="1:9" ht="24" customHeight="1">
      <c r="A7" s="334" t="s">
        <v>1643</v>
      </c>
      <c r="B7" s="336"/>
      <c r="C7" s="344"/>
      <c r="D7" s="336"/>
      <c r="E7" s="336"/>
      <c r="F7" s="345"/>
      <c r="G7" s="346"/>
    </row>
    <row r="8" spans="1:9" ht="2.1" customHeight="1">
      <c r="A8" s="334"/>
      <c r="B8" s="336"/>
      <c r="C8" s="344"/>
      <c r="D8" s="336"/>
      <c r="E8" s="336"/>
      <c r="F8" s="336"/>
      <c r="G8" s="347"/>
    </row>
    <row r="9" spans="1:9" ht="2.1" customHeight="1">
      <c r="A9" s="334"/>
      <c r="B9" s="336"/>
      <c r="C9" s="344"/>
      <c r="D9" s="336"/>
      <c r="E9" s="336"/>
      <c r="F9" s="336"/>
      <c r="G9" s="347"/>
    </row>
    <row r="10" spans="1:9" ht="2.1" customHeight="1">
      <c r="A10" s="334"/>
      <c r="B10" s="336"/>
      <c r="C10" s="344"/>
      <c r="D10" s="336"/>
      <c r="E10" s="336"/>
      <c r="F10" s="336"/>
      <c r="G10" s="347"/>
    </row>
    <row r="11" spans="1:9" ht="2.1" customHeight="1">
      <c r="A11" s="334"/>
      <c r="B11" s="336"/>
      <c r="C11" s="344"/>
      <c r="D11" s="336"/>
      <c r="E11" s="336"/>
      <c r="F11" s="336"/>
      <c r="G11" s="347"/>
    </row>
    <row r="12" spans="1:9" ht="24" customHeight="1">
      <c r="A12" s="334"/>
      <c r="B12" s="348" t="s">
        <v>1644</v>
      </c>
      <c r="C12" s="349">
        <f>('원가계산서(금회발주분)'!F42+'원가계산서(금회발주분)'!F43)/1000</f>
        <v>1738742</v>
      </c>
      <c r="D12" s="350" t="s">
        <v>382</v>
      </c>
      <c r="E12" s="350" t="s">
        <v>1645</v>
      </c>
      <c r="F12" s="351">
        <f>365/12*6</f>
        <v>182.5</v>
      </c>
      <c r="G12" s="352" t="s">
        <v>1646</v>
      </c>
    </row>
    <row r="13" spans="1:9">
      <c r="A13" s="339"/>
      <c r="B13" s="336" t="s">
        <v>1647</v>
      </c>
      <c r="C13" s="345"/>
      <c r="D13" s="350"/>
      <c r="E13" s="345" t="s">
        <v>1648</v>
      </c>
      <c r="F13" s="345">
        <v>30</v>
      </c>
      <c r="G13" s="353"/>
      <c r="H13" s="353"/>
    </row>
    <row r="14" spans="1:9">
      <c r="A14" s="339"/>
      <c r="B14" s="336" t="s">
        <v>1649</v>
      </c>
      <c r="C14" s="354">
        <f>F12-F13</f>
        <v>152.5</v>
      </c>
      <c r="D14" s="350" t="s">
        <v>1650</v>
      </c>
      <c r="E14" s="355" t="s">
        <v>1651</v>
      </c>
      <c r="F14" s="356">
        <f>ROUNDDOWN(C14/15,0)</f>
        <v>10</v>
      </c>
      <c r="G14" s="357"/>
    </row>
    <row r="15" spans="1:9">
      <c r="A15" s="339"/>
      <c r="B15" s="595" t="s">
        <v>1694</v>
      </c>
      <c r="C15" s="595"/>
      <c r="D15" s="595"/>
      <c r="E15" s="358" t="s">
        <v>1652</v>
      </c>
      <c r="F15" s="336"/>
    </row>
    <row r="16" spans="1:9">
      <c r="A16" s="339"/>
      <c r="B16" s="359" t="s">
        <v>1653</v>
      </c>
      <c r="C16" s="360" t="s">
        <v>1654</v>
      </c>
      <c r="D16" s="359" t="s">
        <v>1655</v>
      </c>
      <c r="E16" s="359" t="s">
        <v>1656</v>
      </c>
      <c r="F16" s="336"/>
      <c r="G16" s="361">
        <f>F38/F14</f>
        <v>277700</v>
      </c>
    </row>
    <row r="17" spans="1:18">
      <c r="A17" s="339"/>
      <c r="B17" s="359" t="s">
        <v>1657</v>
      </c>
      <c r="C17" s="362">
        <v>373353</v>
      </c>
      <c r="D17" s="359" t="s">
        <v>1658</v>
      </c>
      <c r="E17" s="363">
        <f>ROUND(C17/2,0)</f>
        <v>186677</v>
      </c>
      <c r="G17" s="339"/>
      <c r="H17" s="339"/>
      <c r="I17" s="331" t="s">
        <v>1659</v>
      </c>
    </row>
    <row r="18" spans="1:18">
      <c r="A18" s="339"/>
      <c r="B18" s="359" t="s">
        <v>1660</v>
      </c>
      <c r="C18" s="362">
        <v>310884</v>
      </c>
      <c r="D18" s="359" t="s">
        <v>1661</v>
      </c>
      <c r="E18" s="363">
        <f>ROUND(C18/2.5,0)</f>
        <v>124354</v>
      </c>
      <c r="G18" s="339"/>
      <c r="H18" s="339"/>
    </row>
    <row r="19" spans="1:18">
      <c r="A19" s="339"/>
      <c r="B19" s="359" t="s">
        <v>383</v>
      </c>
      <c r="C19" s="362">
        <v>295138</v>
      </c>
      <c r="D19" s="359" t="s">
        <v>1662</v>
      </c>
      <c r="E19" s="364">
        <f>ROUND(C19/3,0)</f>
        <v>98379</v>
      </c>
      <c r="G19" s="339"/>
      <c r="H19" s="339"/>
    </row>
    <row r="20" spans="1:18" ht="13.5" customHeight="1">
      <c r="A20" s="365"/>
      <c r="B20" s="359" t="s">
        <v>1663</v>
      </c>
      <c r="C20" s="362">
        <v>235459</v>
      </c>
      <c r="D20" s="359" t="s">
        <v>1664</v>
      </c>
      <c r="E20" s="364">
        <f>ROUND(C20/4,0)</f>
        <v>58865</v>
      </c>
      <c r="G20" s="339"/>
      <c r="H20" s="339"/>
    </row>
    <row r="21" spans="1:18" ht="17.25" customHeight="1">
      <c r="A21" s="365"/>
      <c r="B21" s="345"/>
      <c r="C21" s="366"/>
      <c r="G21" s="339"/>
      <c r="H21" s="339"/>
    </row>
    <row r="22" spans="1:18" ht="27.75" customHeight="1" thickBot="1">
      <c r="A22" s="365"/>
      <c r="B22" s="350" t="s">
        <v>1665</v>
      </c>
      <c r="C22" s="366"/>
      <c r="G22" s="339"/>
      <c r="H22" s="339"/>
      <c r="P22" s="367"/>
      <c r="Q22" s="367"/>
    </row>
    <row r="23" spans="1:18" ht="23.25" customHeight="1">
      <c r="A23" s="368"/>
      <c r="B23" s="596" t="s">
        <v>1666</v>
      </c>
      <c r="C23" s="597"/>
      <c r="D23" s="598" t="s">
        <v>1667</v>
      </c>
      <c r="E23" s="597"/>
      <c r="F23" s="369" t="s">
        <v>1668</v>
      </c>
      <c r="G23" s="370" t="s">
        <v>1669</v>
      </c>
      <c r="H23" s="368"/>
      <c r="J23" s="371" t="s">
        <v>1670</v>
      </c>
      <c r="K23" s="372" t="s">
        <v>1671</v>
      </c>
      <c r="L23" s="372" t="s">
        <v>1672</v>
      </c>
      <c r="M23" s="372" t="s">
        <v>1673</v>
      </c>
      <c r="N23" s="372" t="s">
        <v>1674</v>
      </c>
      <c r="O23" s="372" t="s">
        <v>1673</v>
      </c>
      <c r="P23" s="373" t="s">
        <v>1675</v>
      </c>
      <c r="Q23" s="373" t="s">
        <v>1673</v>
      </c>
      <c r="R23" s="374" t="s">
        <v>1676</v>
      </c>
    </row>
    <row r="24" spans="1:18" ht="16.5" customHeight="1">
      <c r="A24" s="368"/>
      <c r="B24" s="375" t="s">
        <v>1677</v>
      </c>
      <c r="C24" s="376"/>
      <c r="D24" s="377"/>
      <c r="E24" s="376"/>
      <c r="F24" s="378">
        <f>F25</f>
        <v>983790</v>
      </c>
      <c r="G24" s="379"/>
      <c r="H24" s="368"/>
      <c r="J24" s="380">
        <f>L24+N24+P24+R24</f>
        <v>0</v>
      </c>
      <c r="K24" s="381"/>
      <c r="L24" s="382"/>
      <c r="M24" s="381"/>
      <c r="N24" s="383"/>
      <c r="O24" s="384"/>
      <c r="P24" s="385"/>
      <c r="Q24" s="386"/>
      <c r="R24" s="387"/>
    </row>
    <row r="25" spans="1:18">
      <c r="A25" s="368"/>
      <c r="B25" s="375" t="s">
        <v>1678</v>
      </c>
      <c r="C25" s="388"/>
      <c r="D25" s="389">
        <f>IF(C12&gt;=4000000,E17,IF(C12&lt;4000000,IF(C12&gt;=2000000,E18,IF(C12&gt;=300000,E19,E20))))</f>
        <v>98379</v>
      </c>
      <c r="E25" s="390" t="str">
        <f>"원 X"&amp;" 기술지도 횟수 "</f>
        <v xml:space="preserve">원 X 기술지도 횟수 </v>
      </c>
      <c r="F25" s="391">
        <f>D25*F14</f>
        <v>983790</v>
      </c>
      <c r="G25" s="392"/>
      <c r="H25" s="368"/>
      <c r="J25" s="393"/>
      <c r="K25" s="393"/>
      <c r="L25" s="394"/>
      <c r="M25" s="394"/>
      <c r="N25" s="394"/>
      <c r="O25" s="394"/>
      <c r="P25" s="395"/>
      <c r="Q25" s="395"/>
      <c r="R25" s="396"/>
    </row>
    <row r="26" spans="1:18">
      <c r="A26" s="368"/>
      <c r="B26" s="375" t="s">
        <v>1679</v>
      </c>
      <c r="C26" s="388"/>
      <c r="E26" s="397"/>
      <c r="F26" s="391"/>
      <c r="G26" s="398"/>
      <c r="H26" s="368"/>
      <c r="I26" s="331" t="s">
        <v>1680</v>
      </c>
      <c r="J26" s="399"/>
      <c r="K26" s="399"/>
      <c r="L26" s="396"/>
      <c r="M26" s="396"/>
      <c r="N26" s="396"/>
      <c r="O26" s="396"/>
      <c r="P26" s="400"/>
      <c r="Q26" s="400"/>
      <c r="R26" s="396"/>
    </row>
    <row r="27" spans="1:18" ht="19.5" customHeight="1">
      <c r="A27" s="368"/>
      <c r="B27" s="401" t="s">
        <v>1681</v>
      </c>
      <c r="C27" s="402"/>
      <c r="D27" s="403">
        <v>30000</v>
      </c>
      <c r="E27" s="390" t="str">
        <f>"원 X"&amp;" 기술지도 횟수 "</f>
        <v xml:space="preserve">원 X 기술지도 횟수 </v>
      </c>
      <c r="F27" s="404">
        <f>D27*F14</f>
        <v>300000</v>
      </c>
      <c r="G27" s="581"/>
      <c r="H27" s="368"/>
      <c r="J27" s="399"/>
      <c r="K27" s="399"/>
      <c r="L27" s="405"/>
      <c r="M27" s="405"/>
      <c r="N27" s="405"/>
      <c r="O27" s="405"/>
      <c r="P27" s="406"/>
      <c r="Q27" s="406"/>
      <c r="R27" s="396"/>
    </row>
    <row r="28" spans="1:18">
      <c r="A28" s="368"/>
      <c r="B28" s="375"/>
      <c r="C28" s="388"/>
      <c r="D28" s="407"/>
      <c r="E28" s="388"/>
      <c r="F28" s="391"/>
      <c r="G28" s="582"/>
      <c r="H28" s="368"/>
      <c r="J28" s="396"/>
      <c r="K28" s="396"/>
      <c r="L28" s="396"/>
      <c r="M28" s="396"/>
      <c r="N28" s="396"/>
      <c r="O28" s="396"/>
      <c r="P28" s="408"/>
      <c r="Q28" s="408"/>
      <c r="R28" s="409"/>
    </row>
    <row r="29" spans="1:18" ht="22.5">
      <c r="A29" s="368"/>
      <c r="B29" s="410" t="s">
        <v>1682</v>
      </c>
      <c r="C29" s="411">
        <v>1.1000000000000001</v>
      </c>
      <c r="D29" s="412">
        <f>F25</f>
        <v>983790</v>
      </c>
      <c r="E29" s="413" t="str">
        <f>"(A) X "&amp;C29</f>
        <v>(A) X 1.1</v>
      </c>
      <c r="F29" s="414">
        <f>INT(D29*C29)</f>
        <v>1082169</v>
      </c>
      <c r="G29" s="415" t="s">
        <v>1683</v>
      </c>
      <c r="H29" s="368"/>
    </row>
    <row r="30" spans="1:18">
      <c r="A30" s="368"/>
      <c r="B30" s="583" t="s">
        <v>1684</v>
      </c>
      <c r="C30" s="585">
        <v>0.2</v>
      </c>
      <c r="D30" s="416" t="str">
        <f>"("&amp;F25&amp;"(A)"</f>
        <v>(983790(A)</v>
      </c>
      <c r="E30" s="417" t="str">
        <f>"+"&amp;F29&amp;"(C)"&amp;")"</f>
        <v>+1082169(C))</v>
      </c>
      <c r="F30" s="587">
        <f>(F25+F29)*C30</f>
        <v>413191.80000000005</v>
      </c>
      <c r="G30" s="589" t="s">
        <v>1685</v>
      </c>
      <c r="H30" s="368"/>
    </row>
    <row r="31" spans="1:18" ht="15" customHeight="1">
      <c r="A31" s="368"/>
      <c r="B31" s="584"/>
      <c r="C31" s="586"/>
      <c r="D31" s="418" t="str">
        <f>"X"&amp;C30</f>
        <v>X0.2</v>
      </c>
      <c r="E31" s="388"/>
      <c r="F31" s="588"/>
      <c r="G31" s="590"/>
      <c r="H31" s="368"/>
    </row>
    <row r="32" spans="1:18" ht="20.25" customHeight="1">
      <c r="A32" s="368"/>
      <c r="B32" s="575" t="s">
        <v>349</v>
      </c>
      <c r="C32" s="576"/>
      <c r="D32" s="419" t="s">
        <v>1686</v>
      </c>
      <c r="E32" s="420">
        <v>90</v>
      </c>
      <c r="F32" s="414">
        <f>SUM(F24,F27,F29,F30)*(E32/100)</f>
        <v>2501235.7199999997</v>
      </c>
      <c r="G32" s="421" t="s">
        <v>1687</v>
      </c>
      <c r="H32" s="368"/>
    </row>
    <row r="33" spans="1:8" ht="20.25" customHeight="1">
      <c r="A33" s="368"/>
      <c r="B33" s="422"/>
      <c r="C33" s="423"/>
      <c r="D33" s="419"/>
      <c r="E33" s="420"/>
      <c r="F33" s="414"/>
      <c r="G33" s="424"/>
      <c r="H33" s="368"/>
    </row>
    <row r="34" spans="1:8" ht="20.25" customHeight="1">
      <c r="A34" s="368"/>
      <c r="B34" s="425" t="s">
        <v>1688</v>
      </c>
      <c r="C34" s="423"/>
      <c r="D34" s="419"/>
      <c r="E34" s="420"/>
      <c r="F34" s="414">
        <f>손해배상보험!C24</f>
        <v>24000</v>
      </c>
      <c r="G34" s="424"/>
      <c r="H34" s="368"/>
    </row>
    <row r="35" spans="1:8" ht="18" customHeight="1">
      <c r="A35" s="368"/>
      <c r="B35" s="575"/>
      <c r="C35" s="576"/>
      <c r="D35" s="426"/>
      <c r="E35" s="413"/>
      <c r="F35" s="414"/>
      <c r="G35" s="424"/>
      <c r="H35" s="368"/>
    </row>
    <row r="36" spans="1:8">
      <c r="A36" s="368"/>
      <c r="B36" s="577" t="s">
        <v>1689</v>
      </c>
      <c r="C36" s="578"/>
      <c r="D36" s="426" t="s">
        <v>1690</v>
      </c>
      <c r="E36" s="427"/>
      <c r="F36" s="414">
        <f>(F32+F34)*0.1</f>
        <v>252523.57199999999</v>
      </c>
      <c r="G36" s="421"/>
      <c r="H36" s="368"/>
    </row>
    <row r="37" spans="1:8">
      <c r="A37" s="368"/>
      <c r="B37" s="575"/>
      <c r="C37" s="576"/>
      <c r="D37" s="426"/>
      <c r="E37" s="427"/>
      <c r="F37" s="363"/>
      <c r="G37" s="421"/>
      <c r="H37" s="368"/>
    </row>
    <row r="38" spans="1:8" ht="17.25" thickBot="1">
      <c r="A38" s="368"/>
      <c r="B38" s="579" t="s">
        <v>1691</v>
      </c>
      <c r="C38" s="580"/>
      <c r="D38" s="428"/>
      <c r="E38" s="429"/>
      <c r="F38" s="430">
        <f>ROUNDDOWN(F32+F34+F36,-3)</f>
        <v>2777000</v>
      </c>
      <c r="G38" s="431"/>
      <c r="H38" s="368"/>
    </row>
    <row r="39" spans="1:8">
      <c r="A39" s="368"/>
      <c r="B39" s="368"/>
      <c r="C39" s="368"/>
      <c r="D39" s="368"/>
      <c r="E39" s="368"/>
      <c r="F39" s="368"/>
      <c r="G39" s="368"/>
      <c r="H39" s="368"/>
    </row>
    <row r="40" spans="1:8">
      <c r="A40" s="368"/>
      <c r="B40" s="432" t="s">
        <v>1692</v>
      </c>
      <c r="C40" s="368"/>
      <c r="D40" s="368"/>
      <c r="E40" s="368"/>
      <c r="F40" s="368"/>
      <c r="G40" s="368"/>
      <c r="H40" s="368"/>
    </row>
    <row r="41" spans="1:8">
      <c r="A41" s="368"/>
      <c r="B41" s="368"/>
      <c r="C41" s="368"/>
      <c r="D41" s="368"/>
      <c r="E41" s="368"/>
      <c r="F41" s="368"/>
      <c r="G41" s="368"/>
      <c r="H41" s="368"/>
    </row>
    <row r="42" spans="1:8">
      <c r="A42" s="368"/>
      <c r="B42" s="368"/>
      <c r="C42" s="368"/>
      <c r="D42" s="368"/>
      <c r="E42" s="368"/>
      <c r="F42" s="368"/>
      <c r="G42" s="368"/>
      <c r="H42" s="368"/>
    </row>
    <row r="43" spans="1:8">
      <c r="A43" s="368"/>
      <c r="B43" s="368"/>
      <c r="C43" s="368"/>
      <c r="D43" s="368"/>
      <c r="E43" s="368"/>
      <c r="F43" s="368"/>
      <c r="G43" s="368"/>
      <c r="H43" s="368"/>
    </row>
    <row r="44" spans="1:8">
      <c r="A44" s="368"/>
      <c r="B44" s="368"/>
      <c r="C44" s="368"/>
      <c r="D44" s="368"/>
      <c r="E44" s="368"/>
      <c r="F44" s="368"/>
      <c r="G44" s="368"/>
      <c r="H44" s="368"/>
    </row>
    <row r="45" spans="1:8">
      <c r="A45" s="368"/>
      <c r="B45" s="368"/>
      <c r="C45" s="368"/>
      <c r="D45" s="368"/>
      <c r="E45" s="368"/>
      <c r="F45" s="368"/>
      <c r="G45" s="368"/>
      <c r="H45" s="368"/>
    </row>
    <row r="46" spans="1:8">
      <c r="A46" s="368"/>
      <c r="B46" s="368"/>
      <c r="C46" s="368"/>
      <c r="D46" s="368"/>
      <c r="E46" s="368"/>
      <c r="F46" s="368"/>
      <c r="G46" s="368"/>
      <c r="H46" s="368"/>
    </row>
    <row r="47" spans="1:8">
      <c r="A47" s="368"/>
      <c r="B47" s="368"/>
      <c r="C47" s="368"/>
      <c r="D47" s="368"/>
      <c r="E47" s="368"/>
      <c r="F47" s="368"/>
      <c r="G47" s="368"/>
      <c r="H47" s="368"/>
    </row>
    <row r="48" spans="1:8">
      <c r="A48" s="368"/>
      <c r="B48" s="368"/>
      <c r="C48" s="368"/>
      <c r="D48" s="368"/>
      <c r="E48" s="368"/>
      <c r="F48" s="368"/>
      <c r="G48" s="368"/>
      <c r="H48" s="368"/>
    </row>
    <row r="49" spans="1:8">
      <c r="A49" s="368"/>
      <c r="B49" s="368"/>
      <c r="C49" s="368"/>
      <c r="D49" s="368"/>
      <c r="E49" s="368"/>
      <c r="F49" s="368"/>
      <c r="G49" s="368"/>
      <c r="H49" s="368"/>
    </row>
    <row r="50" spans="1:8">
      <c r="A50" s="368"/>
      <c r="B50" s="368"/>
      <c r="C50" s="368"/>
      <c r="D50" s="368"/>
      <c r="E50" s="368"/>
      <c r="F50" s="368"/>
      <c r="G50" s="368"/>
      <c r="H50" s="368"/>
    </row>
    <row r="51" spans="1:8">
      <c r="A51" s="368"/>
      <c r="B51" s="368"/>
      <c r="C51" s="368"/>
      <c r="D51" s="368"/>
      <c r="E51" s="368"/>
      <c r="F51" s="368"/>
      <c r="G51" s="368"/>
      <c r="H51" s="368"/>
    </row>
    <row r="52" spans="1:8">
      <c r="A52" s="368"/>
      <c r="B52" s="368"/>
      <c r="C52" s="368"/>
      <c r="D52" s="368"/>
      <c r="E52" s="368"/>
      <c r="F52" s="368"/>
      <c r="G52" s="368"/>
      <c r="H52" s="368"/>
    </row>
    <row r="53" spans="1:8">
      <c r="A53" s="368"/>
      <c r="B53" s="368"/>
      <c r="C53" s="368"/>
      <c r="D53" s="368"/>
      <c r="E53" s="368"/>
      <c r="F53" s="368"/>
      <c r="G53" s="368"/>
      <c r="H53" s="368"/>
    </row>
    <row r="54" spans="1:8">
      <c r="A54" s="368"/>
      <c r="B54" s="368"/>
      <c r="C54" s="368"/>
      <c r="D54" s="368"/>
      <c r="E54" s="368"/>
      <c r="F54" s="368"/>
      <c r="G54" s="368"/>
      <c r="H54" s="368"/>
    </row>
    <row r="55" spans="1:8">
      <c r="B55" s="368"/>
      <c r="C55" s="368"/>
      <c r="D55" s="368"/>
      <c r="E55" s="368"/>
      <c r="F55" s="368"/>
      <c r="G55" s="368"/>
    </row>
    <row r="56" spans="1:8">
      <c r="B56" s="368"/>
      <c r="C56" s="368"/>
      <c r="D56" s="368"/>
      <c r="E56" s="368"/>
      <c r="F56" s="368"/>
      <c r="G56" s="368"/>
    </row>
    <row r="57" spans="1:8">
      <c r="B57" s="368"/>
      <c r="C57" s="368"/>
      <c r="D57" s="368"/>
      <c r="E57" s="368"/>
      <c r="F57" s="368"/>
      <c r="G57" s="368"/>
    </row>
    <row r="58" spans="1:8">
      <c r="B58" s="368"/>
      <c r="C58" s="368"/>
      <c r="D58" s="368"/>
      <c r="E58" s="368"/>
      <c r="F58" s="368"/>
      <c r="G58" s="368"/>
    </row>
  </sheetData>
  <mergeCells count="16">
    <mergeCell ref="B1:G1"/>
    <mergeCell ref="A2:G2"/>
    <mergeCell ref="C4:E4"/>
    <mergeCell ref="B15:D15"/>
    <mergeCell ref="B23:C23"/>
    <mergeCell ref="D23:E23"/>
    <mergeCell ref="B35:C35"/>
    <mergeCell ref="B36:C36"/>
    <mergeCell ref="B37:C37"/>
    <mergeCell ref="B38:C38"/>
    <mergeCell ref="G27:G28"/>
    <mergeCell ref="B30:B31"/>
    <mergeCell ref="C30:C31"/>
    <mergeCell ref="F30:F31"/>
    <mergeCell ref="G30:G31"/>
    <mergeCell ref="B32:C32"/>
  </mergeCells>
  <phoneticPr fontId="3" type="noConversion"/>
  <pageMargins left="0.69972223043441772" right="0.69972223043441772" top="0.75" bottom="0.75" header="0.30000001192092896" footer="0.30000001192092896"/>
  <pageSetup paperSize="8" scale="97" orientation="portrait" r:id="rId1"/>
  <rowBreaks count="1" manualBreakCount="1">
    <brk id="52" max="1048575" man="1"/>
  </rowBreaks>
  <colBreaks count="1" manualBreakCount="1">
    <brk id="7" max="16383" man="1"/>
  </colBreak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2:R33"/>
  <sheetViews>
    <sheetView zoomScaleSheetLayoutView="75" workbookViewId="0">
      <selection activeCell="C12" sqref="C12"/>
    </sheetView>
  </sheetViews>
  <sheetFormatPr defaultColWidth="9" defaultRowHeight="16.5"/>
  <cols>
    <col min="1" max="1" width="22.375" style="331" bestFit="1" customWidth="1"/>
    <col min="2" max="2" width="18.5" style="331" bestFit="1" customWidth="1"/>
    <col min="3" max="3" width="11.875" style="331" bestFit="1" customWidth="1"/>
    <col min="4" max="4" width="17.25" style="331" bestFit="1" customWidth="1"/>
    <col min="5" max="6" width="9" style="331"/>
    <col min="7" max="7" width="16.125" style="331" bestFit="1" customWidth="1"/>
    <col min="8" max="10" width="9" style="331"/>
    <col min="11" max="11" width="9.875" style="331" customWidth="1"/>
    <col min="12" max="12" width="8" style="331" bestFit="1" customWidth="1"/>
    <col min="13" max="13" width="10.75" style="331" customWidth="1"/>
    <col min="14" max="14" width="9" style="331"/>
    <col min="15" max="15" width="10.5" style="331" customWidth="1"/>
    <col min="16" max="16" width="9" style="331"/>
    <col min="17" max="17" width="11.125" style="331" customWidth="1"/>
    <col min="18" max="16384" width="9" style="331"/>
  </cols>
  <sheetData>
    <row r="2" spans="1:18" ht="17.25">
      <c r="A2" s="602" t="s">
        <v>1695</v>
      </c>
      <c r="B2" s="602"/>
      <c r="C2" s="438"/>
      <c r="D2" s="439"/>
      <c r="E2" s="439"/>
      <c r="F2" s="336"/>
      <c r="G2" s="439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18" ht="24">
      <c r="A3" s="439"/>
      <c r="B3" s="438"/>
      <c r="C3" s="438"/>
      <c r="D3" s="439"/>
      <c r="E3" s="439"/>
      <c r="F3" s="336"/>
      <c r="G3" s="603" t="s">
        <v>1696</v>
      </c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336"/>
    </row>
    <row r="4" spans="1:18">
      <c r="A4" s="440" t="s">
        <v>1697</v>
      </c>
      <c r="B4" s="441"/>
      <c r="C4" s="442">
        <f>'산출내역서(재해예방기술지도)'!F32</f>
        <v>2501235.7199999997</v>
      </c>
      <c r="D4" s="439"/>
      <c r="E4" s="439"/>
      <c r="F4" s="336"/>
      <c r="G4" s="439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</row>
    <row r="5" spans="1:18">
      <c r="A5" s="439"/>
      <c r="B5" s="441"/>
      <c r="C5" s="442"/>
      <c r="D5" s="439"/>
      <c r="E5" s="439"/>
      <c r="F5" s="336"/>
      <c r="G5" s="604" t="s">
        <v>1698</v>
      </c>
      <c r="H5" s="604" t="s">
        <v>1699</v>
      </c>
      <c r="I5" s="604"/>
      <c r="J5" s="604"/>
      <c r="K5" s="604"/>
      <c r="L5" s="604"/>
      <c r="M5" s="604"/>
      <c r="N5" s="604"/>
      <c r="O5" s="604"/>
      <c r="P5" s="604"/>
      <c r="Q5" s="604"/>
      <c r="R5" s="605" t="s">
        <v>1700</v>
      </c>
    </row>
    <row r="6" spans="1:18">
      <c r="A6" s="439"/>
      <c r="B6" s="441"/>
      <c r="C6" s="442"/>
      <c r="D6" s="439"/>
      <c r="E6" s="439"/>
      <c r="F6" s="336"/>
      <c r="G6" s="604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605"/>
    </row>
    <row r="7" spans="1:18">
      <c r="A7" s="439"/>
      <c r="B7" s="441"/>
      <c r="C7" s="442"/>
      <c r="D7" s="439"/>
      <c r="E7" s="439"/>
      <c r="F7" s="336"/>
      <c r="G7" s="604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605"/>
    </row>
    <row r="8" spans="1:18">
      <c r="A8" s="439"/>
      <c r="B8" s="441"/>
      <c r="C8" s="442"/>
      <c r="D8" s="439"/>
      <c r="E8" s="439"/>
      <c r="F8" s="336"/>
      <c r="G8" s="604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605"/>
    </row>
    <row r="9" spans="1:18">
      <c r="A9" s="439"/>
      <c r="B9" s="441"/>
      <c r="C9" s="442"/>
      <c r="D9" s="439"/>
      <c r="E9" s="439"/>
      <c r="F9" s="336"/>
      <c r="G9" s="604"/>
      <c r="H9" s="604" t="s">
        <v>1701</v>
      </c>
      <c r="I9" s="604"/>
      <c r="J9" s="604" t="s">
        <v>1702</v>
      </c>
      <c r="K9" s="604"/>
      <c r="L9" s="604" t="s">
        <v>1703</v>
      </c>
      <c r="M9" s="604"/>
      <c r="N9" s="604" t="s">
        <v>1704</v>
      </c>
      <c r="O9" s="604"/>
      <c r="P9" s="604" t="s">
        <v>1705</v>
      </c>
      <c r="Q9" s="604"/>
      <c r="R9" s="605"/>
    </row>
    <row r="10" spans="1:18">
      <c r="A10" s="439"/>
      <c r="B10" s="441"/>
      <c r="C10" s="442"/>
      <c r="D10" s="439"/>
      <c r="E10" s="439"/>
      <c r="F10" s="336"/>
      <c r="G10" s="604"/>
      <c r="H10" s="328" t="s">
        <v>1706</v>
      </c>
      <c r="I10" s="328" t="s">
        <v>1707</v>
      </c>
      <c r="J10" s="328" t="s">
        <v>1706</v>
      </c>
      <c r="K10" s="328" t="s">
        <v>1707</v>
      </c>
      <c r="L10" s="328" t="s">
        <v>1706</v>
      </c>
      <c r="M10" s="328" t="s">
        <v>1707</v>
      </c>
      <c r="N10" s="328" t="s">
        <v>1706</v>
      </c>
      <c r="O10" s="328" t="s">
        <v>1707</v>
      </c>
      <c r="P10" s="328" t="s">
        <v>1706</v>
      </c>
      <c r="Q10" s="328" t="s">
        <v>1707</v>
      </c>
      <c r="R10" s="605"/>
    </row>
    <row r="11" spans="1:18" ht="17.25" thickBot="1">
      <c r="A11" s="439"/>
      <c r="B11" s="441"/>
      <c r="C11" s="442"/>
      <c r="D11" s="439"/>
      <c r="E11" s="439"/>
      <c r="F11" s="336"/>
      <c r="G11" s="443" t="s">
        <v>1708</v>
      </c>
      <c r="H11" s="443">
        <v>1.115</v>
      </c>
      <c r="I11" s="444">
        <v>0.17799999999999999</v>
      </c>
      <c r="J11" s="444">
        <v>1.081</v>
      </c>
      <c r="K11" s="443">
        <v>0.17299999999999999</v>
      </c>
      <c r="L11" s="443">
        <v>1.048</v>
      </c>
      <c r="M11" s="443">
        <v>0.16600000000000001</v>
      </c>
      <c r="N11" s="443">
        <v>1.0129999999999999</v>
      </c>
      <c r="O11" s="443">
        <v>0.16300000000000001</v>
      </c>
      <c r="P11" s="443">
        <v>0.98099999999999998</v>
      </c>
      <c r="Q11" s="443">
        <v>0.155</v>
      </c>
      <c r="R11" s="443">
        <v>3</v>
      </c>
    </row>
    <row r="12" spans="1:18" ht="17.25" thickBot="1">
      <c r="A12" s="439"/>
      <c r="B12" s="445" t="s">
        <v>1709</v>
      </c>
      <c r="C12" s="446">
        <f>C4</f>
        <v>2501235.7199999997</v>
      </c>
      <c r="D12" s="439"/>
      <c r="E12" s="439"/>
      <c r="F12" s="336"/>
      <c r="G12" s="443" t="s">
        <v>1710</v>
      </c>
      <c r="H12" s="443">
        <v>1.2629999999999999</v>
      </c>
      <c r="I12" s="444">
        <v>0.2</v>
      </c>
      <c r="J12" s="443">
        <v>1.2250000000000001</v>
      </c>
      <c r="K12" s="443">
        <v>0.19600000000000001</v>
      </c>
      <c r="L12" s="443">
        <v>1.1879999999999999</v>
      </c>
      <c r="M12" s="443">
        <v>0.19</v>
      </c>
      <c r="N12" s="443">
        <v>1.149</v>
      </c>
      <c r="O12" s="443">
        <v>0.184</v>
      </c>
      <c r="P12" s="443">
        <v>1.109</v>
      </c>
      <c r="Q12" s="444">
        <v>0.17799999999999999</v>
      </c>
      <c r="R12" s="443">
        <v>5</v>
      </c>
    </row>
    <row r="13" spans="1:18">
      <c r="A13" s="439" t="s">
        <v>1711</v>
      </c>
      <c r="B13" s="438"/>
      <c r="C13" s="438"/>
      <c r="D13" s="447" t="s">
        <v>1712</v>
      </c>
      <c r="E13" s="448" t="s">
        <v>1713</v>
      </c>
      <c r="F13" s="336"/>
      <c r="G13" s="443" t="s">
        <v>1714</v>
      </c>
      <c r="H13" s="443">
        <v>1.393</v>
      </c>
      <c r="I13" s="443">
        <v>0.222</v>
      </c>
      <c r="J13" s="443">
        <v>1.3540000000000001</v>
      </c>
      <c r="K13" s="443">
        <v>0.215</v>
      </c>
      <c r="L13" s="443">
        <v>1.31</v>
      </c>
      <c r="M13" s="443">
        <v>0.21</v>
      </c>
      <c r="N13" s="443">
        <v>1.27</v>
      </c>
      <c r="O13" s="443">
        <v>0.20300000000000001</v>
      </c>
      <c r="P13" s="443">
        <v>1.2270000000000001</v>
      </c>
      <c r="Q13" s="443">
        <v>0.19600000000000001</v>
      </c>
      <c r="R13" s="443">
        <v>5</v>
      </c>
    </row>
    <row r="14" spans="1:18">
      <c r="A14" s="440" t="s">
        <v>1715</v>
      </c>
      <c r="B14" s="449" t="s">
        <v>1668</v>
      </c>
      <c r="C14" s="449" t="s">
        <v>1667</v>
      </c>
      <c r="D14" s="440" t="s">
        <v>1706</v>
      </c>
      <c r="E14" s="440" t="s">
        <v>1707</v>
      </c>
      <c r="F14" s="336"/>
      <c r="G14" s="443" t="s">
        <v>1716</v>
      </c>
      <c r="H14" s="443">
        <v>1.0029999999999999</v>
      </c>
      <c r="I14" s="443">
        <v>0.161</v>
      </c>
      <c r="J14" s="443">
        <v>0.97299999999999998</v>
      </c>
      <c r="K14" s="443">
        <v>0.154</v>
      </c>
      <c r="L14" s="443">
        <v>0.94199999999999995</v>
      </c>
      <c r="M14" s="443">
        <v>0.151</v>
      </c>
      <c r="N14" s="443">
        <v>0.91300000000000003</v>
      </c>
      <c r="O14" s="443">
        <v>0.14499999999999999</v>
      </c>
      <c r="P14" s="443">
        <v>0.88200000000000001</v>
      </c>
      <c r="Q14" s="444">
        <v>0.14000000000000001</v>
      </c>
      <c r="R14" s="443">
        <v>3</v>
      </c>
    </row>
    <row r="15" spans="1:18">
      <c r="A15" s="440" t="s">
        <v>1701</v>
      </c>
      <c r="B15" s="449">
        <f>IF(C12&gt;=500000000,500000000,C12)</f>
        <v>2501235.7199999997</v>
      </c>
      <c r="C15" s="449">
        <f>B15*D15*0.01</f>
        <v>20034.898117199999</v>
      </c>
      <c r="D15" s="450">
        <f>VLOOKUP($D$13,$G$11:$Q$32,2,0)</f>
        <v>0.80100000000000005</v>
      </c>
      <c r="E15" s="450">
        <f>VLOOKUP($D$13,$G$11:$Q$32,3,0)</f>
        <v>0.128</v>
      </c>
      <c r="F15" s="336"/>
      <c r="G15" s="443" t="s">
        <v>1717</v>
      </c>
      <c r="H15" s="443">
        <v>1.0029999999999999</v>
      </c>
      <c r="I15" s="443">
        <v>0.161</v>
      </c>
      <c r="J15" s="443">
        <v>0.97299999999999998</v>
      </c>
      <c r="K15" s="443">
        <v>0.154</v>
      </c>
      <c r="L15" s="443">
        <v>0.94199999999999995</v>
      </c>
      <c r="M15" s="443">
        <v>0.151</v>
      </c>
      <c r="N15" s="443">
        <v>0.91300000000000003</v>
      </c>
      <c r="O15" s="443">
        <v>0.14499999999999999</v>
      </c>
      <c r="P15" s="443">
        <v>0.88200000000000001</v>
      </c>
      <c r="Q15" s="444">
        <v>0.14000000000000001</v>
      </c>
      <c r="R15" s="443">
        <v>3</v>
      </c>
    </row>
    <row r="16" spans="1:18">
      <c r="A16" s="440" t="s">
        <v>1702</v>
      </c>
      <c r="B16" s="449">
        <f>IF(C12&gt;=1000000000,500000000,IF(C12&gt;500000000,C12-500000000,0))</f>
        <v>0</v>
      </c>
      <c r="C16" s="449">
        <f>B16*D16*0.01</f>
        <v>0</v>
      </c>
      <c r="D16" s="450">
        <f>VLOOKUP($D$13,$G$11:$Q$32,4,0)</f>
        <v>0.77800000000000002</v>
      </c>
      <c r="E16" s="450">
        <f>VLOOKUP($D$13,$G$11:$Q$32,5,0)</f>
        <v>0.122</v>
      </c>
      <c r="F16" s="336"/>
      <c r="G16" s="443" t="s">
        <v>1718</v>
      </c>
      <c r="H16" s="443">
        <v>1.137</v>
      </c>
      <c r="I16" s="443">
        <v>0.18099999999999999</v>
      </c>
      <c r="J16" s="443">
        <v>1.103</v>
      </c>
      <c r="K16" s="443">
        <v>0.17599999999999999</v>
      </c>
      <c r="L16" s="443">
        <v>1.069</v>
      </c>
      <c r="M16" s="443">
        <v>0.16900000000000001</v>
      </c>
      <c r="N16" s="443">
        <v>1.034</v>
      </c>
      <c r="O16" s="443">
        <v>0.16600000000000001</v>
      </c>
      <c r="P16" s="444">
        <v>1</v>
      </c>
      <c r="Q16" s="443">
        <v>0.161</v>
      </c>
      <c r="R16" s="443">
        <v>5</v>
      </c>
    </row>
    <row r="17" spans="1:18">
      <c r="A17" s="440" t="s">
        <v>1703</v>
      </c>
      <c r="B17" s="449">
        <f>IF(C12&gt;=2000000000,1000000000,IF(C12&gt;1000000000,C12-1000000000,0))</f>
        <v>0</v>
      </c>
      <c r="C17" s="449">
        <f>B17*D17*0.01</f>
        <v>0</v>
      </c>
      <c r="D17" s="450">
        <f>VLOOKUP($D$13,$G$11:$Q$32,6,0)</f>
        <v>0.755</v>
      </c>
      <c r="E17" s="450">
        <f>VLOOKUP($D$13,$G$11:$Q$32,7,0)</f>
        <v>0.11899999999999999</v>
      </c>
      <c r="F17" s="336"/>
      <c r="G17" s="443" t="s">
        <v>1719</v>
      </c>
      <c r="H17" s="443">
        <v>1.137</v>
      </c>
      <c r="I17" s="443">
        <v>0.18099999999999999</v>
      </c>
      <c r="J17" s="443">
        <v>1.103</v>
      </c>
      <c r="K17" s="443">
        <v>0.17599999999999999</v>
      </c>
      <c r="L17" s="443">
        <v>1.069</v>
      </c>
      <c r="M17" s="443">
        <v>0.16900000000000001</v>
      </c>
      <c r="N17" s="443">
        <v>1.034</v>
      </c>
      <c r="O17" s="443">
        <v>0.16600000000000001</v>
      </c>
      <c r="P17" s="444">
        <v>1</v>
      </c>
      <c r="Q17" s="443">
        <v>0.161</v>
      </c>
      <c r="R17" s="443">
        <v>5</v>
      </c>
    </row>
    <row r="18" spans="1:18">
      <c r="A18" s="440" t="s">
        <v>1704</v>
      </c>
      <c r="B18" s="449">
        <f>IF(C12&gt;=3000000000,2000000000,IF(C12&gt;2000000000,C12-2000000000,0))</f>
        <v>0</v>
      </c>
      <c r="C18" s="449">
        <f>B18*D18*0.01</f>
        <v>0</v>
      </c>
      <c r="D18" s="450">
        <f>VLOOKUP($D$13,$G$11:$Q$32,8,0)</f>
        <v>0.73</v>
      </c>
      <c r="E18" s="450">
        <f>VLOOKUP($D$13,$G$11:$Q$32,9,0)</f>
        <v>0.11799999999999999</v>
      </c>
      <c r="F18" s="336"/>
      <c r="G18" s="443" t="s">
        <v>1720</v>
      </c>
      <c r="H18" s="443">
        <v>0.89300000000000002</v>
      </c>
      <c r="I18" s="443">
        <v>0.14299999999999999</v>
      </c>
      <c r="J18" s="443">
        <v>0.86399999999999999</v>
      </c>
      <c r="K18" s="443">
        <v>0.13700000000000001</v>
      </c>
      <c r="L18" s="443">
        <v>0.83699999999999997</v>
      </c>
      <c r="M18" s="443">
        <v>0.13400000000000001</v>
      </c>
      <c r="N18" s="443">
        <v>0.81200000000000006</v>
      </c>
      <c r="O18" s="443">
        <v>0.13</v>
      </c>
      <c r="P18" s="443">
        <v>0.78500000000000003</v>
      </c>
      <c r="Q18" s="443">
        <v>0.125</v>
      </c>
      <c r="R18" s="443">
        <v>3</v>
      </c>
    </row>
    <row r="19" spans="1:18" ht="17.25" thickBot="1">
      <c r="A19" s="440" t="s">
        <v>1705</v>
      </c>
      <c r="B19" s="449">
        <f>IF(C12&gt;=5000000000,3000000000,IF(C12&gt;3000000000,C12-3000000000,0))</f>
        <v>0</v>
      </c>
      <c r="C19" s="449">
        <f>B19*D19*0.01</f>
        <v>0</v>
      </c>
      <c r="D19" s="450">
        <f>VLOOKUP($D$13,$G$11:$Q$32,10,0)</f>
        <v>0.70599999999999996</v>
      </c>
      <c r="E19" s="450">
        <f>VLOOKUP($D$13,$G$11:$Q$32,11,0)</f>
        <v>0.115</v>
      </c>
      <c r="F19" s="336"/>
      <c r="G19" s="443" t="s">
        <v>1721</v>
      </c>
      <c r="H19" s="443">
        <v>1.393</v>
      </c>
      <c r="I19" s="443">
        <v>0.222</v>
      </c>
      <c r="J19" s="443">
        <v>1.3540000000000001</v>
      </c>
      <c r="K19" s="443">
        <v>0.215</v>
      </c>
      <c r="L19" s="443">
        <v>1.31</v>
      </c>
      <c r="M19" s="443">
        <v>0.21</v>
      </c>
      <c r="N19" s="443">
        <v>1.27</v>
      </c>
      <c r="O19" s="443">
        <v>0.20300000000000001</v>
      </c>
      <c r="P19" s="443">
        <v>1.2270000000000001</v>
      </c>
      <c r="Q19" s="443">
        <v>0.19600000000000001</v>
      </c>
      <c r="R19" s="443">
        <v>4</v>
      </c>
    </row>
    <row r="20" spans="1:18" ht="17.25" thickBot="1">
      <c r="A20" s="440" t="s">
        <v>1709</v>
      </c>
      <c r="B20" s="445"/>
      <c r="C20" s="446">
        <f>C15+C16+C17+C18+C19</f>
        <v>20034.898117199999</v>
      </c>
      <c r="D20" s="599" t="s">
        <v>1722</v>
      </c>
      <c r="E20" s="600"/>
      <c r="F20" s="336"/>
      <c r="G20" s="443" t="s">
        <v>1723</v>
      </c>
      <c r="H20" s="443">
        <v>1.393</v>
      </c>
      <c r="I20" s="443">
        <v>0.222</v>
      </c>
      <c r="J20" s="443">
        <v>1.3540000000000001</v>
      </c>
      <c r="K20" s="443">
        <v>0.215</v>
      </c>
      <c r="L20" s="443">
        <v>1.31</v>
      </c>
      <c r="M20" s="443">
        <v>0.21</v>
      </c>
      <c r="N20" s="443">
        <v>1.27</v>
      </c>
      <c r="O20" s="443">
        <v>0.20300000000000001</v>
      </c>
      <c r="P20" s="443">
        <v>1.2270000000000001</v>
      </c>
      <c r="Q20" s="443">
        <v>0.19600000000000001</v>
      </c>
      <c r="R20" s="443">
        <v>4</v>
      </c>
    </row>
    <row r="21" spans="1:18" ht="17.25" thickBot="1">
      <c r="A21" s="439" t="s">
        <v>1724</v>
      </c>
      <c r="B21" s="438"/>
      <c r="C21" s="438"/>
      <c r="D21" s="439"/>
      <c r="E21" s="439"/>
      <c r="F21" s="336"/>
      <c r="G21" s="443" t="s">
        <v>1725</v>
      </c>
      <c r="H21" s="443">
        <v>1.19</v>
      </c>
      <c r="I21" s="443">
        <v>0.19</v>
      </c>
      <c r="J21" s="443">
        <v>1.1519999999999999</v>
      </c>
      <c r="K21" s="443">
        <v>0.184</v>
      </c>
      <c r="L21" s="444">
        <v>1.1180000000000001</v>
      </c>
      <c r="M21" s="444">
        <v>0.17799999999999999</v>
      </c>
      <c r="N21" s="444">
        <v>1.081</v>
      </c>
      <c r="O21" s="443">
        <v>0.17299999999999999</v>
      </c>
      <c r="P21" s="443">
        <v>1.046</v>
      </c>
      <c r="Q21" s="443">
        <v>0.16600000000000001</v>
      </c>
      <c r="R21" s="443">
        <v>3</v>
      </c>
    </row>
    <row r="22" spans="1:18" ht="17.25" thickBot="1">
      <c r="A22" s="440" t="s">
        <v>1726</v>
      </c>
      <c r="B22" s="445"/>
      <c r="C22" s="446">
        <f>C12*0.16*0.01</f>
        <v>4001.9771519999999</v>
      </c>
      <c r="D22" s="451"/>
      <c r="E22" s="440"/>
      <c r="F22" s="336"/>
      <c r="G22" s="443" t="s">
        <v>1727</v>
      </c>
      <c r="H22" s="443">
        <v>1.5429999999999999</v>
      </c>
      <c r="I22" s="443">
        <v>0.248</v>
      </c>
      <c r="J22" s="443">
        <v>1.4970000000000001</v>
      </c>
      <c r="K22" s="443">
        <v>0.23899999999999999</v>
      </c>
      <c r="L22" s="443">
        <v>1.4510000000000001</v>
      </c>
      <c r="M22" s="443">
        <v>0.23300000000000001</v>
      </c>
      <c r="N22" s="443">
        <v>1.4039999999999999</v>
      </c>
      <c r="O22" s="443">
        <v>0.224</v>
      </c>
      <c r="P22" s="443">
        <v>1.3580000000000001</v>
      </c>
      <c r="Q22" s="443">
        <v>0.215</v>
      </c>
      <c r="R22" s="443">
        <v>2</v>
      </c>
    </row>
    <row r="23" spans="1:18" ht="17.25" thickBot="1">
      <c r="A23" s="439" t="s">
        <v>1728</v>
      </c>
      <c r="B23" s="438"/>
      <c r="C23" s="438"/>
      <c r="D23" s="439"/>
      <c r="E23" s="439"/>
      <c r="F23" s="336"/>
      <c r="G23" s="443" t="s">
        <v>1729</v>
      </c>
      <c r="H23" s="443">
        <v>1.2150000000000001</v>
      </c>
      <c r="I23" s="443">
        <v>0.193</v>
      </c>
      <c r="J23" s="444">
        <v>1.179</v>
      </c>
      <c r="K23" s="443">
        <v>0.188</v>
      </c>
      <c r="L23" s="443">
        <v>1.143</v>
      </c>
      <c r="M23" s="443">
        <v>0.184</v>
      </c>
      <c r="N23" s="443">
        <v>1.107</v>
      </c>
      <c r="O23" s="443">
        <v>0.17599999999999999</v>
      </c>
      <c r="P23" s="443">
        <v>1.07</v>
      </c>
      <c r="Q23" s="443">
        <v>0.16900000000000001</v>
      </c>
      <c r="R23" s="443">
        <v>2</v>
      </c>
    </row>
    <row r="24" spans="1:18" ht="17.25" thickBot="1">
      <c r="A24" s="440" t="s">
        <v>1730</v>
      </c>
      <c r="B24" s="445"/>
      <c r="C24" s="446">
        <f>ROUNDDOWN((C20+C22),-3)</f>
        <v>24000</v>
      </c>
      <c r="D24" s="451"/>
      <c r="E24" s="440"/>
      <c r="F24" s="336"/>
      <c r="G24" s="443" t="s">
        <v>1731</v>
      </c>
      <c r="H24" s="443">
        <v>1.2150000000000001</v>
      </c>
      <c r="I24" s="443">
        <v>0.193</v>
      </c>
      <c r="J24" s="444">
        <v>1.179</v>
      </c>
      <c r="K24" s="443">
        <v>0.188</v>
      </c>
      <c r="L24" s="443">
        <v>1.143</v>
      </c>
      <c r="M24" s="443">
        <v>0.184</v>
      </c>
      <c r="N24" s="443">
        <v>1.107</v>
      </c>
      <c r="O24" s="443">
        <v>0.17599999999999999</v>
      </c>
      <c r="P24" s="443">
        <v>1.07</v>
      </c>
      <c r="Q24" s="443">
        <v>0.16900000000000001</v>
      </c>
      <c r="R24" s="443">
        <v>2</v>
      </c>
    </row>
    <row r="25" spans="1:18">
      <c r="A25" s="439"/>
      <c r="B25" s="438"/>
      <c r="C25" s="438"/>
      <c r="D25" s="439"/>
      <c r="E25" s="439"/>
      <c r="F25" s="336"/>
      <c r="G25" s="443" t="s">
        <v>1732</v>
      </c>
      <c r="H25" s="443">
        <v>1.3029999999999999</v>
      </c>
      <c r="I25" s="443">
        <v>0.20699999999999999</v>
      </c>
      <c r="J25" s="443">
        <v>1.264</v>
      </c>
      <c r="K25" s="444">
        <v>0.2</v>
      </c>
      <c r="L25" s="443">
        <v>1.2250000000000001</v>
      </c>
      <c r="M25" s="443">
        <v>0.19600000000000001</v>
      </c>
      <c r="N25" s="443">
        <v>1.1879999999999999</v>
      </c>
      <c r="O25" s="443">
        <v>0.19</v>
      </c>
      <c r="P25" s="443">
        <v>1.1459999999999999</v>
      </c>
      <c r="Q25" s="443">
        <v>0.184</v>
      </c>
      <c r="R25" s="443">
        <v>3</v>
      </c>
    </row>
    <row r="26" spans="1:18">
      <c r="A26" s="452" t="s">
        <v>1733</v>
      </c>
      <c r="B26" s="438"/>
      <c r="C26" s="438"/>
      <c r="D26" s="439"/>
      <c r="E26" s="439"/>
      <c r="F26" s="336"/>
      <c r="G26" s="443" t="s">
        <v>1734</v>
      </c>
      <c r="H26" s="443">
        <v>1.2150000000000001</v>
      </c>
      <c r="I26" s="443">
        <v>0.193</v>
      </c>
      <c r="J26" s="444">
        <v>1.179</v>
      </c>
      <c r="K26" s="443">
        <v>0.188</v>
      </c>
      <c r="L26" s="443">
        <v>1.143</v>
      </c>
      <c r="M26" s="443">
        <v>0.184</v>
      </c>
      <c r="N26" s="443">
        <v>1.107</v>
      </c>
      <c r="O26" s="443">
        <v>0.17599999999999999</v>
      </c>
      <c r="P26" s="443">
        <v>1.07</v>
      </c>
      <c r="Q26" s="443">
        <v>0.16900000000000001</v>
      </c>
      <c r="R26" s="443">
        <v>2</v>
      </c>
    </row>
    <row r="27" spans="1:18">
      <c r="A27" s="453">
        <v>6</v>
      </c>
      <c r="B27" s="454" t="s">
        <v>1735</v>
      </c>
      <c r="C27" s="453">
        <f>A27+12</f>
        <v>18</v>
      </c>
      <c r="D27" s="455"/>
      <c r="E27" s="439"/>
      <c r="F27" s="336"/>
      <c r="G27" s="443" t="s">
        <v>1736</v>
      </c>
      <c r="H27" s="443">
        <v>0.67</v>
      </c>
      <c r="I27" s="443">
        <v>0.106</v>
      </c>
      <c r="J27" s="443">
        <v>0.64800000000000002</v>
      </c>
      <c r="K27" s="443">
        <v>0.10299999999999999</v>
      </c>
      <c r="L27" s="443">
        <v>0.628</v>
      </c>
      <c r="M27" s="443">
        <v>0.10100000000000001</v>
      </c>
      <c r="N27" s="443">
        <v>0.61</v>
      </c>
      <c r="O27" s="443">
        <v>9.6000000000000002E-2</v>
      </c>
      <c r="P27" s="443">
        <v>0.58799999999999997</v>
      </c>
      <c r="Q27" s="443">
        <v>9.4E-2</v>
      </c>
      <c r="R27" s="443">
        <v>3</v>
      </c>
    </row>
    <row r="28" spans="1:18">
      <c r="A28" s="439"/>
      <c r="B28" s="438"/>
      <c r="C28" s="438"/>
      <c r="D28" s="439"/>
      <c r="E28" s="439"/>
      <c r="F28" s="336"/>
      <c r="G28" s="443" t="s">
        <v>1737</v>
      </c>
      <c r="H28" s="443">
        <v>0.67</v>
      </c>
      <c r="I28" s="443">
        <v>0.106</v>
      </c>
      <c r="J28" s="443">
        <v>0.64800000000000002</v>
      </c>
      <c r="K28" s="443">
        <v>0.10299999999999999</v>
      </c>
      <c r="L28" s="443">
        <v>0.628</v>
      </c>
      <c r="M28" s="443">
        <v>0.10100000000000001</v>
      </c>
      <c r="N28" s="443">
        <v>0.61</v>
      </c>
      <c r="O28" s="443">
        <v>9.6000000000000002E-2</v>
      </c>
      <c r="P28" s="443">
        <v>0.58799999999999997</v>
      </c>
      <c r="Q28" s="443">
        <v>9.4E-2</v>
      </c>
      <c r="R28" s="443">
        <v>2</v>
      </c>
    </row>
    <row r="29" spans="1:18">
      <c r="A29" s="439" t="s">
        <v>1738</v>
      </c>
      <c r="B29" s="438"/>
      <c r="C29" s="438"/>
      <c r="D29" s="439"/>
      <c r="E29" s="439"/>
      <c r="F29" s="336"/>
      <c r="G29" s="443" t="s">
        <v>1712</v>
      </c>
      <c r="H29" s="443">
        <v>0.80100000000000005</v>
      </c>
      <c r="I29" s="443">
        <v>0.128</v>
      </c>
      <c r="J29" s="444">
        <v>0.77800000000000002</v>
      </c>
      <c r="K29" s="443">
        <v>0.122</v>
      </c>
      <c r="L29" s="443">
        <v>0.755</v>
      </c>
      <c r="M29" s="444">
        <v>0.11899999999999999</v>
      </c>
      <c r="N29" s="443">
        <v>0.73</v>
      </c>
      <c r="O29" s="444">
        <v>0.11799999999999999</v>
      </c>
      <c r="P29" s="443">
        <v>0.70599999999999996</v>
      </c>
      <c r="Q29" s="443">
        <v>0.115</v>
      </c>
      <c r="R29" s="443">
        <v>3</v>
      </c>
    </row>
    <row r="30" spans="1:18">
      <c r="A30" s="440" t="s">
        <v>1739</v>
      </c>
      <c r="B30" s="449" t="s">
        <v>1740</v>
      </c>
      <c r="C30" s="449" t="s">
        <v>1741</v>
      </c>
      <c r="D30" s="439"/>
      <c r="E30" s="439"/>
      <c r="F30" s="336"/>
      <c r="G30" s="443" t="s">
        <v>1742</v>
      </c>
      <c r="H30" s="443">
        <v>0.83299999999999996</v>
      </c>
      <c r="I30" s="443">
        <v>0.13300000000000001</v>
      </c>
      <c r="J30" s="443">
        <v>0.80700000000000005</v>
      </c>
      <c r="K30" s="443">
        <v>0.13</v>
      </c>
      <c r="L30" s="443">
        <v>0.78100000000000003</v>
      </c>
      <c r="M30" s="443">
        <v>0.125</v>
      </c>
      <c r="N30" s="443">
        <v>0.75700000000000001</v>
      </c>
      <c r="O30" s="444">
        <v>0.11899999999999999</v>
      </c>
      <c r="P30" s="443">
        <v>0.73099999999999998</v>
      </c>
      <c r="Q30" s="444">
        <v>0.11799999999999999</v>
      </c>
      <c r="R30" s="443">
        <v>2</v>
      </c>
    </row>
    <row r="31" spans="1:18">
      <c r="A31" s="456">
        <f>VLOOKUP(D13,G11:R32,12,0)</f>
        <v>3</v>
      </c>
      <c r="B31" s="457">
        <f>A27/12</f>
        <v>0.5</v>
      </c>
      <c r="C31" s="449">
        <v>0</v>
      </c>
      <c r="D31" s="439"/>
      <c r="E31" s="439"/>
      <c r="F31" s="336"/>
      <c r="G31" s="443" t="s">
        <v>1743</v>
      </c>
      <c r="H31" s="443">
        <v>0.83299999999999996</v>
      </c>
      <c r="I31" s="443">
        <v>0.13300000000000001</v>
      </c>
      <c r="J31" s="443">
        <v>0.80700000000000005</v>
      </c>
      <c r="K31" s="443">
        <v>0.13</v>
      </c>
      <c r="L31" s="443">
        <v>0.78100000000000003</v>
      </c>
      <c r="M31" s="443">
        <v>0.125</v>
      </c>
      <c r="N31" s="443">
        <v>0.75700000000000001</v>
      </c>
      <c r="O31" s="444">
        <v>0.11899999999999999</v>
      </c>
      <c r="P31" s="443">
        <v>0.73099999999999998</v>
      </c>
      <c r="Q31" s="444">
        <v>0.11799999999999999</v>
      </c>
      <c r="R31" s="443">
        <v>2</v>
      </c>
    </row>
    <row r="32" spans="1:18">
      <c r="A32" s="439"/>
      <c r="B32" s="438"/>
      <c r="C32" s="438"/>
      <c r="D32" s="439"/>
      <c r="E32" s="439"/>
      <c r="F32" s="336"/>
      <c r="G32" s="443" t="s">
        <v>1744</v>
      </c>
      <c r="H32" s="443">
        <v>0.86099999999999999</v>
      </c>
      <c r="I32" s="443">
        <v>0.13700000000000001</v>
      </c>
      <c r="J32" s="443">
        <v>0.83599999999999997</v>
      </c>
      <c r="K32" s="443">
        <v>0.13300000000000001</v>
      </c>
      <c r="L32" s="443">
        <v>0.81</v>
      </c>
      <c r="M32" s="443">
        <v>0.13</v>
      </c>
      <c r="N32" s="443">
        <v>0.78500000000000003</v>
      </c>
      <c r="O32" s="443">
        <v>0.125</v>
      </c>
      <c r="P32" s="443">
        <v>0.75800000000000001</v>
      </c>
      <c r="Q32" s="444">
        <v>0.11899999999999999</v>
      </c>
      <c r="R32" s="443">
        <v>3</v>
      </c>
    </row>
    <row r="33" spans="1:18">
      <c r="A33" s="601" t="s">
        <v>1745</v>
      </c>
      <c r="B33" s="601"/>
      <c r="C33" s="601"/>
      <c r="D33" s="601"/>
      <c r="E33" s="601"/>
      <c r="F33" s="336"/>
      <c r="G33" s="458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</row>
  </sheetData>
  <mergeCells count="12">
    <mergeCell ref="R5:R10"/>
    <mergeCell ref="H9:I9"/>
    <mergeCell ref="J9:K9"/>
    <mergeCell ref="L9:M9"/>
    <mergeCell ref="N9:O9"/>
    <mergeCell ref="P9:Q9"/>
    <mergeCell ref="D20:E20"/>
    <mergeCell ref="A33:E33"/>
    <mergeCell ref="A2:B2"/>
    <mergeCell ref="G3:Q3"/>
    <mergeCell ref="G5:G10"/>
    <mergeCell ref="H5:Q5"/>
  </mergeCells>
  <phoneticPr fontId="3" type="noConversion"/>
  <dataValidations count="1">
    <dataValidation type="list" allowBlank="1" showInputMessage="1" showErrorMessage="1" sqref="D13" xr:uid="{00000000-0002-0000-1300-000000000000}">
      <formula1>$G$11:$G$32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11"/>
  <sheetViews>
    <sheetView workbookViewId="0">
      <selection activeCell="C11" activeCellId="2" sqref="C8 C9 C11"/>
    </sheetView>
  </sheetViews>
  <sheetFormatPr defaultRowHeight="16.5"/>
  <cols>
    <col min="1" max="1" width="9.25" customWidth="1"/>
    <col min="2" max="2" width="33" customWidth="1"/>
    <col min="3" max="3" width="27.25" customWidth="1"/>
    <col min="4" max="4" width="23.375" customWidth="1"/>
  </cols>
  <sheetData>
    <row r="1" spans="1:4" ht="27.75" customHeight="1">
      <c r="A1" s="469" t="s">
        <v>153</v>
      </c>
      <c r="B1" s="470"/>
      <c r="C1" s="200" t="s">
        <v>154</v>
      </c>
      <c r="D1" s="201" t="s">
        <v>155</v>
      </c>
    </row>
    <row r="2" spans="1:4" ht="27.75" customHeight="1">
      <c r="A2" s="471" t="s">
        <v>156</v>
      </c>
      <c r="B2" s="472"/>
      <c r="C2" s="139">
        <f>C8+C9+C10+C11</f>
        <v>1738742000</v>
      </c>
      <c r="D2" s="137"/>
    </row>
    <row r="3" spans="1:4" ht="27.75" customHeight="1">
      <c r="A3" s="473" t="s">
        <v>157</v>
      </c>
      <c r="B3" s="141" t="s">
        <v>158</v>
      </c>
      <c r="C3" s="139">
        <f>'원가계산서(금회발주분)'!F37</f>
        <v>1180310000</v>
      </c>
      <c r="D3" s="137"/>
    </row>
    <row r="4" spans="1:4" ht="27.75" hidden="1" customHeight="1">
      <c r="A4" s="473"/>
      <c r="B4" s="141" t="str">
        <f>'원가계산서(금회발주분)'!B38:E38</f>
        <v>공사손해보험</v>
      </c>
      <c r="C4" s="139">
        <f>'원가계산서(금회발주분)'!F38</f>
        <v>0</v>
      </c>
      <c r="D4" s="137"/>
    </row>
    <row r="5" spans="1:4" ht="27.75" hidden="1" customHeight="1">
      <c r="A5" s="473"/>
      <c r="B5" s="141" t="str">
        <f>'원가계산서(금회발주분)'!B39:E39</f>
        <v>고재환수비</v>
      </c>
      <c r="C5" s="139">
        <f>'원가계산서(금회발주분)'!F39</f>
        <v>0</v>
      </c>
      <c r="D5" s="137"/>
    </row>
    <row r="6" spans="1:4" ht="27.75" hidden="1" customHeight="1">
      <c r="A6" s="473"/>
      <c r="B6" s="141" t="str">
        <f>'원가계산서(금회발주분)'!B40:E40</f>
        <v>소계</v>
      </c>
      <c r="C6" s="139">
        <f>'원가계산서(금회발주분)'!F40</f>
        <v>1180310000</v>
      </c>
      <c r="D6" s="209"/>
    </row>
    <row r="7" spans="1:4" ht="27.75" customHeight="1">
      <c r="A7" s="473"/>
      <c r="B7" s="141" t="s">
        <v>159</v>
      </c>
      <c r="C7" s="139">
        <f>'원가계산서(금회발주분)'!F41</f>
        <v>118031000</v>
      </c>
      <c r="D7" s="137"/>
    </row>
    <row r="8" spans="1:4" ht="27.75" customHeight="1">
      <c r="A8" s="473"/>
      <c r="B8" s="141" t="s">
        <v>160</v>
      </c>
      <c r="C8" s="139">
        <f>C6+C7</f>
        <v>1298341000</v>
      </c>
      <c r="D8" s="137"/>
    </row>
    <row r="9" spans="1:4" ht="27.75" customHeight="1">
      <c r="A9" s="471" t="s">
        <v>161</v>
      </c>
      <c r="B9" s="472"/>
      <c r="C9" s="139">
        <f>'원가계산서(금회발주분)'!F43</f>
        <v>440401000</v>
      </c>
      <c r="D9" s="137"/>
    </row>
    <row r="10" spans="1:4" ht="27.75" customHeight="1">
      <c r="A10" s="471" t="s">
        <v>162</v>
      </c>
      <c r="B10" s="472"/>
      <c r="C10" s="139">
        <f>'원가계산서(금회발주분)'!F44</f>
        <v>0</v>
      </c>
      <c r="D10" s="137"/>
    </row>
    <row r="11" spans="1:4" ht="27.75" customHeight="1" thickBot="1">
      <c r="A11" s="467" t="s">
        <v>384</v>
      </c>
      <c r="B11" s="468"/>
      <c r="C11" s="140">
        <f>'원가계산서(금회발주분)'!F45</f>
        <v>0</v>
      </c>
      <c r="D11" s="138"/>
    </row>
  </sheetData>
  <mergeCells count="6">
    <mergeCell ref="A11:B11"/>
    <mergeCell ref="A1:B1"/>
    <mergeCell ref="A2:B2"/>
    <mergeCell ref="A3:A8"/>
    <mergeCell ref="A9:B9"/>
    <mergeCell ref="A10:B1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R122"/>
  <sheetViews>
    <sheetView topLeftCell="A4" workbookViewId="0">
      <selection activeCell="C23" sqref="C23"/>
    </sheetView>
  </sheetViews>
  <sheetFormatPr defaultRowHeight="14.25"/>
  <cols>
    <col min="1" max="1" width="14.25" style="11" customWidth="1"/>
    <col min="2" max="2" width="21" style="11" customWidth="1"/>
    <col min="3" max="3" width="22.125" style="11" bestFit="1" customWidth="1"/>
    <col min="4" max="4" width="4.125" style="11" customWidth="1"/>
    <col min="5" max="5" width="25.75" style="11" customWidth="1"/>
    <col min="6" max="6" width="14.375" style="11" customWidth="1"/>
    <col min="7" max="7" width="14.375" style="12" customWidth="1"/>
    <col min="8" max="8" width="19.375" style="11" bestFit="1" customWidth="1"/>
    <col min="9" max="9" width="14.375" style="11" customWidth="1"/>
    <col min="10" max="12" width="9" style="11"/>
    <col min="13" max="15" width="0" style="11" hidden="1" customWidth="1"/>
    <col min="16" max="16" width="9" style="11"/>
    <col min="17" max="19" width="14.375" style="11" customWidth="1"/>
    <col min="20" max="256" width="9" style="11"/>
    <col min="257" max="257" width="14.25" style="11" customWidth="1"/>
    <col min="258" max="258" width="21" style="11" customWidth="1"/>
    <col min="259" max="259" width="16.625" style="11" customWidth="1"/>
    <col min="260" max="260" width="4.125" style="11" customWidth="1"/>
    <col min="261" max="261" width="25.75" style="11" customWidth="1"/>
    <col min="262" max="265" width="14.375" style="11" customWidth="1"/>
    <col min="266" max="268" width="9" style="11"/>
    <col min="269" max="271" width="0" style="11" hidden="1" customWidth="1"/>
    <col min="272" max="272" width="9" style="11"/>
    <col min="273" max="275" width="14.375" style="11" customWidth="1"/>
    <col min="276" max="512" width="9" style="11"/>
    <col min="513" max="513" width="14.25" style="11" customWidth="1"/>
    <col min="514" max="514" width="21" style="11" customWidth="1"/>
    <col min="515" max="515" width="16.625" style="11" customWidth="1"/>
    <col min="516" max="516" width="4.125" style="11" customWidth="1"/>
    <col min="517" max="517" width="25.75" style="11" customWidth="1"/>
    <col min="518" max="521" width="14.375" style="11" customWidth="1"/>
    <col min="522" max="524" width="9" style="11"/>
    <col min="525" max="527" width="0" style="11" hidden="1" customWidth="1"/>
    <col min="528" max="528" width="9" style="11"/>
    <col min="529" max="531" width="14.375" style="11" customWidth="1"/>
    <col min="532" max="768" width="9" style="11"/>
    <col min="769" max="769" width="14.25" style="11" customWidth="1"/>
    <col min="770" max="770" width="21" style="11" customWidth="1"/>
    <col min="771" max="771" width="16.625" style="11" customWidth="1"/>
    <col min="772" max="772" width="4.125" style="11" customWidth="1"/>
    <col min="773" max="773" width="25.75" style="11" customWidth="1"/>
    <col min="774" max="777" width="14.375" style="11" customWidth="1"/>
    <col min="778" max="780" width="9" style="11"/>
    <col min="781" max="783" width="0" style="11" hidden="1" customWidth="1"/>
    <col min="784" max="784" width="9" style="11"/>
    <col min="785" max="787" width="14.375" style="11" customWidth="1"/>
    <col min="788" max="1024" width="9" style="11"/>
    <col min="1025" max="1025" width="14.25" style="11" customWidth="1"/>
    <col min="1026" max="1026" width="21" style="11" customWidth="1"/>
    <col min="1027" max="1027" width="16.625" style="11" customWidth="1"/>
    <col min="1028" max="1028" width="4.125" style="11" customWidth="1"/>
    <col min="1029" max="1029" width="25.75" style="11" customWidth="1"/>
    <col min="1030" max="1033" width="14.375" style="11" customWidth="1"/>
    <col min="1034" max="1036" width="9" style="11"/>
    <col min="1037" max="1039" width="0" style="11" hidden="1" customWidth="1"/>
    <col min="1040" max="1040" width="9" style="11"/>
    <col min="1041" max="1043" width="14.375" style="11" customWidth="1"/>
    <col min="1044" max="1280" width="9" style="11"/>
    <col min="1281" max="1281" width="14.25" style="11" customWidth="1"/>
    <col min="1282" max="1282" width="21" style="11" customWidth="1"/>
    <col min="1283" max="1283" width="16.625" style="11" customWidth="1"/>
    <col min="1284" max="1284" width="4.125" style="11" customWidth="1"/>
    <col min="1285" max="1285" width="25.75" style="11" customWidth="1"/>
    <col min="1286" max="1289" width="14.375" style="11" customWidth="1"/>
    <col min="1290" max="1292" width="9" style="11"/>
    <col min="1293" max="1295" width="0" style="11" hidden="1" customWidth="1"/>
    <col min="1296" max="1296" width="9" style="11"/>
    <col min="1297" max="1299" width="14.375" style="11" customWidth="1"/>
    <col min="1300" max="1536" width="9" style="11"/>
    <col min="1537" max="1537" width="14.25" style="11" customWidth="1"/>
    <col min="1538" max="1538" width="21" style="11" customWidth="1"/>
    <col min="1539" max="1539" width="16.625" style="11" customWidth="1"/>
    <col min="1540" max="1540" width="4.125" style="11" customWidth="1"/>
    <col min="1541" max="1541" width="25.75" style="11" customWidth="1"/>
    <col min="1542" max="1545" width="14.375" style="11" customWidth="1"/>
    <col min="1546" max="1548" width="9" style="11"/>
    <col min="1549" max="1551" width="0" style="11" hidden="1" customWidth="1"/>
    <col min="1552" max="1552" width="9" style="11"/>
    <col min="1553" max="1555" width="14.375" style="11" customWidth="1"/>
    <col min="1556" max="1792" width="9" style="11"/>
    <col min="1793" max="1793" width="14.25" style="11" customWidth="1"/>
    <col min="1794" max="1794" width="21" style="11" customWidth="1"/>
    <col min="1795" max="1795" width="16.625" style="11" customWidth="1"/>
    <col min="1796" max="1796" width="4.125" style="11" customWidth="1"/>
    <col min="1797" max="1797" width="25.75" style="11" customWidth="1"/>
    <col min="1798" max="1801" width="14.375" style="11" customWidth="1"/>
    <col min="1802" max="1804" width="9" style="11"/>
    <col min="1805" max="1807" width="0" style="11" hidden="1" customWidth="1"/>
    <col min="1808" max="1808" width="9" style="11"/>
    <col min="1809" max="1811" width="14.375" style="11" customWidth="1"/>
    <col min="1812" max="2048" width="9" style="11"/>
    <col min="2049" max="2049" width="14.25" style="11" customWidth="1"/>
    <col min="2050" max="2050" width="21" style="11" customWidth="1"/>
    <col min="2051" max="2051" width="16.625" style="11" customWidth="1"/>
    <col min="2052" max="2052" width="4.125" style="11" customWidth="1"/>
    <col min="2053" max="2053" width="25.75" style="11" customWidth="1"/>
    <col min="2054" max="2057" width="14.375" style="11" customWidth="1"/>
    <col min="2058" max="2060" width="9" style="11"/>
    <col min="2061" max="2063" width="0" style="11" hidden="1" customWidth="1"/>
    <col min="2064" max="2064" width="9" style="11"/>
    <col min="2065" max="2067" width="14.375" style="11" customWidth="1"/>
    <col min="2068" max="2304" width="9" style="11"/>
    <col min="2305" max="2305" width="14.25" style="11" customWidth="1"/>
    <col min="2306" max="2306" width="21" style="11" customWidth="1"/>
    <col min="2307" max="2307" width="16.625" style="11" customWidth="1"/>
    <col min="2308" max="2308" width="4.125" style="11" customWidth="1"/>
    <col min="2309" max="2309" width="25.75" style="11" customWidth="1"/>
    <col min="2310" max="2313" width="14.375" style="11" customWidth="1"/>
    <col min="2314" max="2316" width="9" style="11"/>
    <col min="2317" max="2319" width="0" style="11" hidden="1" customWidth="1"/>
    <col min="2320" max="2320" width="9" style="11"/>
    <col min="2321" max="2323" width="14.375" style="11" customWidth="1"/>
    <col min="2324" max="2560" width="9" style="11"/>
    <col min="2561" max="2561" width="14.25" style="11" customWidth="1"/>
    <col min="2562" max="2562" width="21" style="11" customWidth="1"/>
    <col min="2563" max="2563" width="16.625" style="11" customWidth="1"/>
    <col min="2564" max="2564" width="4.125" style="11" customWidth="1"/>
    <col min="2565" max="2565" width="25.75" style="11" customWidth="1"/>
    <col min="2566" max="2569" width="14.375" style="11" customWidth="1"/>
    <col min="2570" max="2572" width="9" style="11"/>
    <col min="2573" max="2575" width="0" style="11" hidden="1" customWidth="1"/>
    <col min="2576" max="2576" width="9" style="11"/>
    <col min="2577" max="2579" width="14.375" style="11" customWidth="1"/>
    <col min="2580" max="2816" width="9" style="11"/>
    <col min="2817" max="2817" width="14.25" style="11" customWidth="1"/>
    <col min="2818" max="2818" width="21" style="11" customWidth="1"/>
    <col min="2819" max="2819" width="16.625" style="11" customWidth="1"/>
    <col min="2820" max="2820" width="4.125" style="11" customWidth="1"/>
    <col min="2821" max="2821" width="25.75" style="11" customWidth="1"/>
    <col min="2822" max="2825" width="14.375" style="11" customWidth="1"/>
    <col min="2826" max="2828" width="9" style="11"/>
    <col min="2829" max="2831" width="0" style="11" hidden="1" customWidth="1"/>
    <col min="2832" max="2832" width="9" style="11"/>
    <col min="2833" max="2835" width="14.375" style="11" customWidth="1"/>
    <col min="2836" max="3072" width="9" style="11"/>
    <col min="3073" max="3073" width="14.25" style="11" customWidth="1"/>
    <col min="3074" max="3074" width="21" style="11" customWidth="1"/>
    <col min="3075" max="3075" width="16.625" style="11" customWidth="1"/>
    <col min="3076" max="3076" width="4.125" style="11" customWidth="1"/>
    <col min="3077" max="3077" width="25.75" style="11" customWidth="1"/>
    <col min="3078" max="3081" width="14.375" style="11" customWidth="1"/>
    <col min="3082" max="3084" width="9" style="11"/>
    <col min="3085" max="3087" width="0" style="11" hidden="1" customWidth="1"/>
    <col min="3088" max="3088" width="9" style="11"/>
    <col min="3089" max="3091" width="14.375" style="11" customWidth="1"/>
    <col min="3092" max="3328" width="9" style="11"/>
    <col min="3329" max="3329" width="14.25" style="11" customWidth="1"/>
    <col min="3330" max="3330" width="21" style="11" customWidth="1"/>
    <col min="3331" max="3331" width="16.625" style="11" customWidth="1"/>
    <col min="3332" max="3332" width="4.125" style="11" customWidth="1"/>
    <col min="3333" max="3333" width="25.75" style="11" customWidth="1"/>
    <col min="3334" max="3337" width="14.375" style="11" customWidth="1"/>
    <col min="3338" max="3340" width="9" style="11"/>
    <col min="3341" max="3343" width="0" style="11" hidden="1" customWidth="1"/>
    <col min="3344" max="3344" width="9" style="11"/>
    <col min="3345" max="3347" width="14.375" style="11" customWidth="1"/>
    <col min="3348" max="3584" width="9" style="11"/>
    <col min="3585" max="3585" width="14.25" style="11" customWidth="1"/>
    <col min="3586" max="3586" width="21" style="11" customWidth="1"/>
    <col min="3587" max="3587" width="16.625" style="11" customWidth="1"/>
    <col min="3588" max="3588" width="4.125" style="11" customWidth="1"/>
    <col min="3589" max="3589" width="25.75" style="11" customWidth="1"/>
    <col min="3590" max="3593" width="14.375" style="11" customWidth="1"/>
    <col min="3594" max="3596" width="9" style="11"/>
    <col min="3597" max="3599" width="0" style="11" hidden="1" customWidth="1"/>
    <col min="3600" max="3600" width="9" style="11"/>
    <col min="3601" max="3603" width="14.375" style="11" customWidth="1"/>
    <col min="3604" max="3840" width="9" style="11"/>
    <col min="3841" max="3841" width="14.25" style="11" customWidth="1"/>
    <col min="3842" max="3842" width="21" style="11" customWidth="1"/>
    <col min="3843" max="3843" width="16.625" style="11" customWidth="1"/>
    <col min="3844" max="3844" width="4.125" style="11" customWidth="1"/>
    <col min="3845" max="3845" width="25.75" style="11" customWidth="1"/>
    <col min="3846" max="3849" width="14.375" style="11" customWidth="1"/>
    <col min="3850" max="3852" width="9" style="11"/>
    <col min="3853" max="3855" width="0" style="11" hidden="1" customWidth="1"/>
    <col min="3856" max="3856" width="9" style="11"/>
    <col min="3857" max="3859" width="14.375" style="11" customWidth="1"/>
    <col min="3860" max="4096" width="9" style="11"/>
    <col min="4097" max="4097" width="14.25" style="11" customWidth="1"/>
    <col min="4098" max="4098" width="21" style="11" customWidth="1"/>
    <col min="4099" max="4099" width="16.625" style="11" customWidth="1"/>
    <col min="4100" max="4100" width="4.125" style="11" customWidth="1"/>
    <col min="4101" max="4101" width="25.75" style="11" customWidth="1"/>
    <col min="4102" max="4105" width="14.375" style="11" customWidth="1"/>
    <col min="4106" max="4108" width="9" style="11"/>
    <col min="4109" max="4111" width="0" style="11" hidden="1" customWidth="1"/>
    <col min="4112" max="4112" width="9" style="11"/>
    <col min="4113" max="4115" width="14.375" style="11" customWidth="1"/>
    <col min="4116" max="4352" width="9" style="11"/>
    <col min="4353" max="4353" width="14.25" style="11" customWidth="1"/>
    <col min="4354" max="4354" width="21" style="11" customWidth="1"/>
    <col min="4355" max="4355" width="16.625" style="11" customWidth="1"/>
    <col min="4356" max="4356" width="4.125" style="11" customWidth="1"/>
    <col min="4357" max="4357" width="25.75" style="11" customWidth="1"/>
    <col min="4358" max="4361" width="14.375" style="11" customWidth="1"/>
    <col min="4362" max="4364" width="9" style="11"/>
    <col min="4365" max="4367" width="0" style="11" hidden="1" customWidth="1"/>
    <col min="4368" max="4368" width="9" style="11"/>
    <col min="4369" max="4371" width="14.375" style="11" customWidth="1"/>
    <col min="4372" max="4608" width="9" style="11"/>
    <col min="4609" max="4609" width="14.25" style="11" customWidth="1"/>
    <col min="4610" max="4610" width="21" style="11" customWidth="1"/>
    <col min="4611" max="4611" width="16.625" style="11" customWidth="1"/>
    <col min="4612" max="4612" width="4.125" style="11" customWidth="1"/>
    <col min="4613" max="4613" width="25.75" style="11" customWidth="1"/>
    <col min="4614" max="4617" width="14.375" style="11" customWidth="1"/>
    <col min="4618" max="4620" width="9" style="11"/>
    <col min="4621" max="4623" width="0" style="11" hidden="1" customWidth="1"/>
    <col min="4624" max="4624" width="9" style="11"/>
    <col min="4625" max="4627" width="14.375" style="11" customWidth="1"/>
    <col min="4628" max="4864" width="9" style="11"/>
    <col min="4865" max="4865" width="14.25" style="11" customWidth="1"/>
    <col min="4866" max="4866" width="21" style="11" customWidth="1"/>
    <col min="4867" max="4867" width="16.625" style="11" customWidth="1"/>
    <col min="4868" max="4868" width="4.125" style="11" customWidth="1"/>
    <col min="4869" max="4869" width="25.75" style="11" customWidth="1"/>
    <col min="4870" max="4873" width="14.375" style="11" customWidth="1"/>
    <col min="4874" max="4876" width="9" style="11"/>
    <col min="4877" max="4879" width="0" style="11" hidden="1" customWidth="1"/>
    <col min="4880" max="4880" width="9" style="11"/>
    <col min="4881" max="4883" width="14.375" style="11" customWidth="1"/>
    <col min="4884" max="5120" width="9" style="11"/>
    <col min="5121" max="5121" width="14.25" style="11" customWidth="1"/>
    <col min="5122" max="5122" width="21" style="11" customWidth="1"/>
    <col min="5123" max="5123" width="16.625" style="11" customWidth="1"/>
    <col min="5124" max="5124" width="4.125" style="11" customWidth="1"/>
    <col min="5125" max="5125" width="25.75" style="11" customWidth="1"/>
    <col min="5126" max="5129" width="14.375" style="11" customWidth="1"/>
    <col min="5130" max="5132" width="9" style="11"/>
    <col min="5133" max="5135" width="0" style="11" hidden="1" customWidth="1"/>
    <col min="5136" max="5136" width="9" style="11"/>
    <col min="5137" max="5139" width="14.375" style="11" customWidth="1"/>
    <col min="5140" max="5376" width="9" style="11"/>
    <col min="5377" max="5377" width="14.25" style="11" customWidth="1"/>
    <col min="5378" max="5378" width="21" style="11" customWidth="1"/>
    <col min="5379" max="5379" width="16.625" style="11" customWidth="1"/>
    <col min="5380" max="5380" width="4.125" style="11" customWidth="1"/>
    <col min="5381" max="5381" width="25.75" style="11" customWidth="1"/>
    <col min="5382" max="5385" width="14.375" style="11" customWidth="1"/>
    <col min="5386" max="5388" width="9" style="11"/>
    <col min="5389" max="5391" width="0" style="11" hidden="1" customWidth="1"/>
    <col min="5392" max="5392" width="9" style="11"/>
    <col min="5393" max="5395" width="14.375" style="11" customWidth="1"/>
    <col min="5396" max="5632" width="9" style="11"/>
    <col min="5633" max="5633" width="14.25" style="11" customWidth="1"/>
    <col min="5634" max="5634" width="21" style="11" customWidth="1"/>
    <col min="5635" max="5635" width="16.625" style="11" customWidth="1"/>
    <col min="5636" max="5636" width="4.125" style="11" customWidth="1"/>
    <col min="5637" max="5637" width="25.75" style="11" customWidth="1"/>
    <col min="5638" max="5641" width="14.375" style="11" customWidth="1"/>
    <col min="5642" max="5644" width="9" style="11"/>
    <col min="5645" max="5647" width="0" style="11" hidden="1" customWidth="1"/>
    <col min="5648" max="5648" width="9" style="11"/>
    <col min="5649" max="5651" width="14.375" style="11" customWidth="1"/>
    <col min="5652" max="5888" width="9" style="11"/>
    <col min="5889" max="5889" width="14.25" style="11" customWidth="1"/>
    <col min="5890" max="5890" width="21" style="11" customWidth="1"/>
    <col min="5891" max="5891" width="16.625" style="11" customWidth="1"/>
    <col min="5892" max="5892" width="4.125" style="11" customWidth="1"/>
    <col min="5893" max="5893" width="25.75" style="11" customWidth="1"/>
    <col min="5894" max="5897" width="14.375" style="11" customWidth="1"/>
    <col min="5898" max="5900" width="9" style="11"/>
    <col min="5901" max="5903" width="0" style="11" hidden="1" customWidth="1"/>
    <col min="5904" max="5904" width="9" style="11"/>
    <col min="5905" max="5907" width="14.375" style="11" customWidth="1"/>
    <col min="5908" max="6144" width="9" style="11"/>
    <col min="6145" max="6145" width="14.25" style="11" customWidth="1"/>
    <col min="6146" max="6146" width="21" style="11" customWidth="1"/>
    <col min="6147" max="6147" width="16.625" style="11" customWidth="1"/>
    <col min="6148" max="6148" width="4.125" style="11" customWidth="1"/>
    <col min="6149" max="6149" width="25.75" style="11" customWidth="1"/>
    <col min="6150" max="6153" width="14.375" style="11" customWidth="1"/>
    <col min="6154" max="6156" width="9" style="11"/>
    <col min="6157" max="6159" width="0" style="11" hidden="1" customWidth="1"/>
    <col min="6160" max="6160" width="9" style="11"/>
    <col min="6161" max="6163" width="14.375" style="11" customWidth="1"/>
    <col min="6164" max="6400" width="9" style="11"/>
    <col min="6401" max="6401" width="14.25" style="11" customWidth="1"/>
    <col min="6402" max="6402" width="21" style="11" customWidth="1"/>
    <col min="6403" max="6403" width="16.625" style="11" customWidth="1"/>
    <col min="6404" max="6404" width="4.125" style="11" customWidth="1"/>
    <col min="6405" max="6405" width="25.75" style="11" customWidth="1"/>
    <col min="6406" max="6409" width="14.375" style="11" customWidth="1"/>
    <col min="6410" max="6412" width="9" style="11"/>
    <col min="6413" max="6415" width="0" style="11" hidden="1" customWidth="1"/>
    <col min="6416" max="6416" width="9" style="11"/>
    <col min="6417" max="6419" width="14.375" style="11" customWidth="1"/>
    <col min="6420" max="6656" width="9" style="11"/>
    <col min="6657" max="6657" width="14.25" style="11" customWidth="1"/>
    <col min="6658" max="6658" width="21" style="11" customWidth="1"/>
    <col min="6659" max="6659" width="16.625" style="11" customWidth="1"/>
    <col min="6660" max="6660" width="4.125" style="11" customWidth="1"/>
    <col min="6661" max="6661" width="25.75" style="11" customWidth="1"/>
    <col min="6662" max="6665" width="14.375" style="11" customWidth="1"/>
    <col min="6666" max="6668" width="9" style="11"/>
    <col min="6669" max="6671" width="0" style="11" hidden="1" customWidth="1"/>
    <col min="6672" max="6672" width="9" style="11"/>
    <col min="6673" max="6675" width="14.375" style="11" customWidth="1"/>
    <col min="6676" max="6912" width="9" style="11"/>
    <col min="6913" max="6913" width="14.25" style="11" customWidth="1"/>
    <col min="6914" max="6914" width="21" style="11" customWidth="1"/>
    <col min="6915" max="6915" width="16.625" style="11" customWidth="1"/>
    <col min="6916" max="6916" width="4.125" style="11" customWidth="1"/>
    <col min="6917" max="6917" width="25.75" style="11" customWidth="1"/>
    <col min="6918" max="6921" width="14.375" style="11" customWidth="1"/>
    <col min="6922" max="6924" width="9" style="11"/>
    <col min="6925" max="6927" width="0" style="11" hidden="1" customWidth="1"/>
    <col min="6928" max="6928" width="9" style="11"/>
    <col min="6929" max="6931" width="14.375" style="11" customWidth="1"/>
    <col min="6932" max="7168" width="9" style="11"/>
    <col min="7169" max="7169" width="14.25" style="11" customWidth="1"/>
    <col min="7170" max="7170" width="21" style="11" customWidth="1"/>
    <col min="7171" max="7171" width="16.625" style="11" customWidth="1"/>
    <col min="7172" max="7172" width="4.125" style="11" customWidth="1"/>
    <col min="7173" max="7173" width="25.75" style="11" customWidth="1"/>
    <col min="7174" max="7177" width="14.375" style="11" customWidth="1"/>
    <col min="7178" max="7180" width="9" style="11"/>
    <col min="7181" max="7183" width="0" style="11" hidden="1" customWidth="1"/>
    <col min="7184" max="7184" width="9" style="11"/>
    <col min="7185" max="7187" width="14.375" style="11" customWidth="1"/>
    <col min="7188" max="7424" width="9" style="11"/>
    <col min="7425" max="7425" width="14.25" style="11" customWidth="1"/>
    <col min="7426" max="7426" width="21" style="11" customWidth="1"/>
    <col min="7427" max="7427" width="16.625" style="11" customWidth="1"/>
    <col min="7428" max="7428" width="4.125" style="11" customWidth="1"/>
    <col min="7429" max="7429" width="25.75" style="11" customWidth="1"/>
    <col min="7430" max="7433" width="14.375" style="11" customWidth="1"/>
    <col min="7434" max="7436" width="9" style="11"/>
    <col min="7437" max="7439" width="0" style="11" hidden="1" customWidth="1"/>
    <col min="7440" max="7440" width="9" style="11"/>
    <col min="7441" max="7443" width="14.375" style="11" customWidth="1"/>
    <col min="7444" max="7680" width="9" style="11"/>
    <col min="7681" max="7681" width="14.25" style="11" customWidth="1"/>
    <col min="7682" max="7682" width="21" style="11" customWidth="1"/>
    <col min="7683" max="7683" width="16.625" style="11" customWidth="1"/>
    <col min="7684" max="7684" width="4.125" style="11" customWidth="1"/>
    <col min="7685" max="7685" width="25.75" style="11" customWidth="1"/>
    <col min="7686" max="7689" width="14.375" style="11" customWidth="1"/>
    <col min="7690" max="7692" width="9" style="11"/>
    <col min="7693" max="7695" width="0" style="11" hidden="1" customWidth="1"/>
    <col min="7696" max="7696" width="9" style="11"/>
    <col min="7697" max="7699" width="14.375" style="11" customWidth="1"/>
    <col min="7700" max="7936" width="9" style="11"/>
    <col min="7937" max="7937" width="14.25" style="11" customWidth="1"/>
    <col min="7938" max="7938" width="21" style="11" customWidth="1"/>
    <col min="7939" max="7939" width="16.625" style="11" customWidth="1"/>
    <col min="7940" max="7940" width="4.125" style="11" customWidth="1"/>
    <col min="7941" max="7941" width="25.75" style="11" customWidth="1"/>
    <col min="7942" max="7945" width="14.375" style="11" customWidth="1"/>
    <col min="7946" max="7948" width="9" style="11"/>
    <col min="7949" max="7951" width="0" style="11" hidden="1" customWidth="1"/>
    <col min="7952" max="7952" width="9" style="11"/>
    <col min="7953" max="7955" width="14.375" style="11" customWidth="1"/>
    <col min="7956" max="8192" width="9" style="11"/>
    <col min="8193" max="8193" width="14.25" style="11" customWidth="1"/>
    <col min="8194" max="8194" width="21" style="11" customWidth="1"/>
    <col min="8195" max="8195" width="16.625" style="11" customWidth="1"/>
    <col min="8196" max="8196" width="4.125" style="11" customWidth="1"/>
    <col min="8197" max="8197" width="25.75" style="11" customWidth="1"/>
    <col min="8198" max="8201" width="14.375" style="11" customWidth="1"/>
    <col min="8202" max="8204" width="9" style="11"/>
    <col min="8205" max="8207" width="0" style="11" hidden="1" customWidth="1"/>
    <col min="8208" max="8208" width="9" style="11"/>
    <col min="8209" max="8211" width="14.375" style="11" customWidth="1"/>
    <col min="8212" max="8448" width="9" style="11"/>
    <col min="8449" max="8449" width="14.25" style="11" customWidth="1"/>
    <col min="8450" max="8450" width="21" style="11" customWidth="1"/>
    <col min="8451" max="8451" width="16.625" style="11" customWidth="1"/>
    <col min="8452" max="8452" width="4.125" style="11" customWidth="1"/>
    <col min="8453" max="8453" width="25.75" style="11" customWidth="1"/>
    <col min="8454" max="8457" width="14.375" style="11" customWidth="1"/>
    <col min="8458" max="8460" width="9" style="11"/>
    <col min="8461" max="8463" width="0" style="11" hidden="1" customWidth="1"/>
    <col min="8464" max="8464" width="9" style="11"/>
    <col min="8465" max="8467" width="14.375" style="11" customWidth="1"/>
    <col min="8468" max="8704" width="9" style="11"/>
    <col min="8705" max="8705" width="14.25" style="11" customWidth="1"/>
    <col min="8706" max="8706" width="21" style="11" customWidth="1"/>
    <col min="8707" max="8707" width="16.625" style="11" customWidth="1"/>
    <col min="8708" max="8708" width="4.125" style="11" customWidth="1"/>
    <col min="8709" max="8709" width="25.75" style="11" customWidth="1"/>
    <col min="8710" max="8713" width="14.375" style="11" customWidth="1"/>
    <col min="8714" max="8716" width="9" style="11"/>
    <col min="8717" max="8719" width="0" style="11" hidden="1" customWidth="1"/>
    <col min="8720" max="8720" width="9" style="11"/>
    <col min="8721" max="8723" width="14.375" style="11" customWidth="1"/>
    <col min="8724" max="8960" width="9" style="11"/>
    <col min="8961" max="8961" width="14.25" style="11" customWidth="1"/>
    <col min="8962" max="8962" width="21" style="11" customWidth="1"/>
    <col min="8963" max="8963" width="16.625" style="11" customWidth="1"/>
    <col min="8964" max="8964" width="4.125" style="11" customWidth="1"/>
    <col min="8965" max="8965" width="25.75" style="11" customWidth="1"/>
    <col min="8966" max="8969" width="14.375" style="11" customWidth="1"/>
    <col min="8970" max="8972" width="9" style="11"/>
    <col min="8973" max="8975" width="0" style="11" hidden="1" customWidth="1"/>
    <col min="8976" max="8976" width="9" style="11"/>
    <col min="8977" max="8979" width="14.375" style="11" customWidth="1"/>
    <col min="8980" max="9216" width="9" style="11"/>
    <col min="9217" max="9217" width="14.25" style="11" customWidth="1"/>
    <col min="9218" max="9218" width="21" style="11" customWidth="1"/>
    <col min="9219" max="9219" width="16.625" style="11" customWidth="1"/>
    <col min="9220" max="9220" width="4.125" style="11" customWidth="1"/>
    <col min="9221" max="9221" width="25.75" style="11" customWidth="1"/>
    <col min="9222" max="9225" width="14.375" style="11" customWidth="1"/>
    <col min="9226" max="9228" width="9" style="11"/>
    <col min="9229" max="9231" width="0" style="11" hidden="1" customWidth="1"/>
    <col min="9232" max="9232" width="9" style="11"/>
    <col min="9233" max="9235" width="14.375" style="11" customWidth="1"/>
    <col min="9236" max="9472" width="9" style="11"/>
    <col min="9473" max="9473" width="14.25" style="11" customWidth="1"/>
    <col min="9474" max="9474" width="21" style="11" customWidth="1"/>
    <col min="9475" max="9475" width="16.625" style="11" customWidth="1"/>
    <col min="9476" max="9476" width="4.125" style="11" customWidth="1"/>
    <col min="9477" max="9477" width="25.75" style="11" customWidth="1"/>
    <col min="9478" max="9481" width="14.375" style="11" customWidth="1"/>
    <col min="9482" max="9484" width="9" style="11"/>
    <col min="9485" max="9487" width="0" style="11" hidden="1" customWidth="1"/>
    <col min="9488" max="9488" width="9" style="11"/>
    <col min="9489" max="9491" width="14.375" style="11" customWidth="1"/>
    <col min="9492" max="9728" width="9" style="11"/>
    <col min="9729" max="9729" width="14.25" style="11" customWidth="1"/>
    <col min="9730" max="9730" width="21" style="11" customWidth="1"/>
    <col min="9731" max="9731" width="16.625" style="11" customWidth="1"/>
    <col min="9732" max="9732" width="4.125" style="11" customWidth="1"/>
    <col min="9733" max="9733" width="25.75" style="11" customWidth="1"/>
    <col min="9734" max="9737" width="14.375" style="11" customWidth="1"/>
    <col min="9738" max="9740" width="9" style="11"/>
    <col min="9741" max="9743" width="0" style="11" hidden="1" customWidth="1"/>
    <col min="9744" max="9744" width="9" style="11"/>
    <col min="9745" max="9747" width="14.375" style="11" customWidth="1"/>
    <col min="9748" max="9984" width="9" style="11"/>
    <col min="9985" max="9985" width="14.25" style="11" customWidth="1"/>
    <col min="9986" max="9986" width="21" style="11" customWidth="1"/>
    <col min="9987" max="9987" width="16.625" style="11" customWidth="1"/>
    <col min="9988" max="9988" width="4.125" style="11" customWidth="1"/>
    <col min="9989" max="9989" width="25.75" style="11" customWidth="1"/>
    <col min="9990" max="9993" width="14.375" style="11" customWidth="1"/>
    <col min="9994" max="9996" width="9" style="11"/>
    <col min="9997" max="9999" width="0" style="11" hidden="1" customWidth="1"/>
    <col min="10000" max="10000" width="9" style="11"/>
    <col min="10001" max="10003" width="14.375" style="11" customWidth="1"/>
    <col min="10004" max="10240" width="9" style="11"/>
    <col min="10241" max="10241" width="14.25" style="11" customWidth="1"/>
    <col min="10242" max="10242" width="21" style="11" customWidth="1"/>
    <col min="10243" max="10243" width="16.625" style="11" customWidth="1"/>
    <col min="10244" max="10244" width="4.125" style="11" customWidth="1"/>
    <col min="10245" max="10245" width="25.75" style="11" customWidth="1"/>
    <col min="10246" max="10249" width="14.375" style="11" customWidth="1"/>
    <col min="10250" max="10252" width="9" style="11"/>
    <col min="10253" max="10255" width="0" style="11" hidden="1" customWidth="1"/>
    <col min="10256" max="10256" width="9" style="11"/>
    <col min="10257" max="10259" width="14.375" style="11" customWidth="1"/>
    <col min="10260" max="10496" width="9" style="11"/>
    <col min="10497" max="10497" width="14.25" style="11" customWidth="1"/>
    <col min="10498" max="10498" width="21" style="11" customWidth="1"/>
    <col min="10499" max="10499" width="16.625" style="11" customWidth="1"/>
    <col min="10500" max="10500" width="4.125" style="11" customWidth="1"/>
    <col min="10501" max="10501" width="25.75" style="11" customWidth="1"/>
    <col min="10502" max="10505" width="14.375" style="11" customWidth="1"/>
    <col min="10506" max="10508" width="9" style="11"/>
    <col min="10509" max="10511" width="0" style="11" hidden="1" customWidth="1"/>
    <col min="10512" max="10512" width="9" style="11"/>
    <col min="10513" max="10515" width="14.375" style="11" customWidth="1"/>
    <col min="10516" max="10752" width="9" style="11"/>
    <col min="10753" max="10753" width="14.25" style="11" customWidth="1"/>
    <col min="10754" max="10754" width="21" style="11" customWidth="1"/>
    <col min="10755" max="10755" width="16.625" style="11" customWidth="1"/>
    <col min="10756" max="10756" width="4.125" style="11" customWidth="1"/>
    <col min="10757" max="10757" width="25.75" style="11" customWidth="1"/>
    <col min="10758" max="10761" width="14.375" style="11" customWidth="1"/>
    <col min="10762" max="10764" width="9" style="11"/>
    <col min="10765" max="10767" width="0" style="11" hidden="1" customWidth="1"/>
    <col min="10768" max="10768" width="9" style="11"/>
    <col min="10769" max="10771" width="14.375" style="11" customWidth="1"/>
    <col min="10772" max="11008" width="9" style="11"/>
    <col min="11009" max="11009" width="14.25" style="11" customWidth="1"/>
    <col min="11010" max="11010" width="21" style="11" customWidth="1"/>
    <col min="11011" max="11011" width="16.625" style="11" customWidth="1"/>
    <col min="11012" max="11012" width="4.125" style="11" customWidth="1"/>
    <col min="11013" max="11013" width="25.75" style="11" customWidth="1"/>
    <col min="11014" max="11017" width="14.375" style="11" customWidth="1"/>
    <col min="11018" max="11020" width="9" style="11"/>
    <col min="11021" max="11023" width="0" style="11" hidden="1" customWidth="1"/>
    <col min="11024" max="11024" width="9" style="11"/>
    <col min="11025" max="11027" width="14.375" style="11" customWidth="1"/>
    <col min="11028" max="11264" width="9" style="11"/>
    <col min="11265" max="11265" width="14.25" style="11" customWidth="1"/>
    <col min="11266" max="11266" width="21" style="11" customWidth="1"/>
    <col min="11267" max="11267" width="16.625" style="11" customWidth="1"/>
    <col min="11268" max="11268" width="4.125" style="11" customWidth="1"/>
    <col min="11269" max="11269" width="25.75" style="11" customWidth="1"/>
    <col min="11270" max="11273" width="14.375" style="11" customWidth="1"/>
    <col min="11274" max="11276" width="9" style="11"/>
    <col min="11277" max="11279" width="0" style="11" hidden="1" customWidth="1"/>
    <col min="11280" max="11280" width="9" style="11"/>
    <col min="11281" max="11283" width="14.375" style="11" customWidth="1"/>
    <col min="11284" max="11520" width="9" style="11"/>
    <col min="11521" max="11521" width="14.25" style="11" customWidth="1"/>
    <col min="11522" max="11522" width="21" style="11" customWidth="1"/>
    <col min="11523" max="11523" width="16.625" style="11" customWidth="1"/>
    <col min="11524" max="11524" width="4.125" style="11" customWidth="1"/>
    <col min="11525" max="11525" width="25.75" style="11" customWidth="1"/>
    <col min="11526" max="11529" width="14.375" style="11" customWidth="1"/>
    <col min="11530" max="11532" width="9" style="11"/>
    <col min="11533" max="11535" width="0" style="11" hidden="1" customWidth="1"/>
    <col min="11536" max="11536" width="9" style="11"/>
    <col min="11537" max="11539" width="14.375" style="11" customWidth="1"/>
    <col min="11540" max="11776" width="9" style="11"/>
    <col min="11777" max="11777" width="14.25" style="11" customWidth="1"/>
    <col min="11778" max="11778" width="21" style="11" customWidth="1"/>
    <col min="11779" max="11779" width="16.625" style="11" customWidth="1"/>
    <col min="11780" max="11780" width="4.125" style="11" customWidth="1"/>
    <col min="11781" max="11781" width="25.75" style="11" customWidth="1"/>
    <col min="11782" max="11785" width="14.375" style="11" customWidth="1"/>
    <col min="11786" max="11788" width="9" style="11"/>
    <col min="11789" max="11791" width="0" style="11" hidden="1" customWidth="1"/>
    <col min="11792" max="11792" width="9" style="11"/>
    <col min="11793" max="11795" width="14.375" style="11" customWidth="1"/>
    <col min="11796" max="12032" width="9" style="11"/>
    <col min="12033" max="12033" width="14.25" style="11" customWidth="1"/>
    <col min="12034" max="12034" width="21" style="11" customWidth="1"/>
    <col min="12035" max="12035" width="16.625" style="11" customWidth="1"/>
    <col min="12036" max="12036" width="4.125" style="11" customWidth="1"/>
    <col min="12037" max="12037" width="25.75" style="11" customWidth="1"/>
    <col min="12038" max="12041" width="14.375" style="11" customWidth="1"/>
    <col min="12042" max="12044" width="9" style="11"/>
    <col min="12045" max="12047" width="0" style="11" hidden="1" customWidth="1"/>
    <col min="12048" max="12048" width="9" style="11"/>
    <col min="12049" max="12051" width="14.375" style="11" customWidth="1"/>
    <col min="12052" max="12288" width="9" style="11"/>
    <col min="12289" max="12289" width="14.25" style="11" customWidth="1"/>
    <col min="12290" max="12290" width="21" style="11" customWidth="1"/>
    <col min="12291" max="12291" width="16.625" style="11" customWidth="1"/>
    <col min="12292" max="12292" width="4.125" style="11" customWidth="1"/>
    <col min="12293" max="12293" width="25.75" style="11" customWidth="1"/>
    <col min="12294" max="12297" width="14.375" style="11" customWidth="1"/>
    <col min="12298" max="12300" width="9" style="11"/>
    <col min="12301" max="12303" width="0" style="11" hidden="1" customWidth="1"/>
    <col min="12304" max="12304" width="9" style="11"/>
    <col min="12305" max="12307" width="14.375" style="11" customWidth="1"/>
    <col min="12308" max="12544" width="9" style="11"/>
    <col min="12545" max="12545" width="14.25" style="11" customWidth="1"/>
    <col min="12546" max="12546" width="21" style="11" customWidth="1"/>
    <col min="12547" max="12547" width="16.625" style="11" customWidth="1"/>
    <col min="12548" max="12548" width="4.125" style="11" customWidth="1"/>
    <col min="12549" max="12549" width="25.75" style="11" customWidth="1"/>
    <col min="12550" max="12553" width="14.375" style="11" customWidth="1"/>
    <col min="12554" max="12556" width="9" style="11"/>
    <col min="12557" max="12559" width="0" style="11" hidden="1" customWidth="1"/>
    <col min="12560" max="12560" width="9" style="11"/>
    <col min="12561" max="12563" width="14.375" style="11" customWidth="1"/>
    <col min="12564" max="12800" width="9" style="11"/>
    <col min="12801" max="12801" width="14.25" style="11" customWidth="1"/>
    <col min="12802" max="12802" width="21" style="11" customWidth="1"/>
    <col min="12803" max="12803" width="16.625" style="11" customWidth="1"/>
    <col min="12804" max="12804" width="4.125" style="11" customWidth="1"/>
    <col min="12805" max="12805" width="25.75" style="11" customWidth="1"/>
    <col min="12806" max="12809" width="14.375" style="11" customWidth="1"/>
    <col min="12810" max="12812" width="9" style="11"/>
    <col min="12813" max="12815" width="0" style="11" hidden="1" customWidth="1"/>
    <col min="12816" max="12816" width="9" style="11"/>
    <col min="12817" max="12819" width="14.375" style="11" customWidth="1"/>
    <col min="12820" max="13056" width="9" style="11"/>
    <col min="13057" max="13057" width="14.25" style="11" customWidth="1"/>
    <col min="13058" max="13058" width="21" style="11" customWidth="1"/>
    <col min="13059" max="13059" width="16.625" style="11" customWidth="1"/>
    <col min="13060" max="13060" width="4.125" style="11" customWidth="1"/>
    <col min="13061" max="13061" width="25.75" style="11" customWidth="1"/>
    <col min="13062" max="13065" width="14.375" style="11" customWidth="1"/>
    <col min="13066" max="13068" width="9" style="11"/>
    <col min="13069" max="13071" width="0" style="11" hidden="1" customWidth="1"/>
    <col min="13072" max="13072" width="9" style="11"/>
    <col min="13073" max="13075" width="14.375" style="11" customWidth="1"/>
    <col min="13076" max="13312" width="9" style="11"/>
    <col min="13313" max="13313" width="14.25" style="11" customWidth="1"/>
    <col min="13314" max="13314" width="21" style="11" customWidth="1"/>
    <col min="13315" max="13315" width="16.625" style="11" customWidth="1"/>
    <col min="13316" max="13316" width="4.125" style="11" customWidth="1"/>
    <col min="13317" max="13317" width="25.75" style="11" customWidth="1"/>
    <col min="13318" max="13321" width="14.375" style="11" customWidth="1"/>
    <col min="13322" max="13324" width="9" style="11"/>
    <col min="13325" max="13327" width="0" style="11" hidden="1" customWidth="1"/>
    <col min="13328" max="13328" width="9" style="11"/>
    <col min="13329" max="13331" width="14.375" style="11" customWidth="1"/>
    <col min="13332" max="13568" width="9" style="11"/>
    <col min="13569" max="13569" width="14.25" style="11" customWidth="1"/>
    <col min="13570" max="13570" width="21" style="11" customWidth="1"/>
    <col min="13571" max="13571" width="16.625" style="11" customWidth="1"/>
    <col min="13572" max="13572" width="4.125" style="11" customWidth="1"/>
    <col min="13573" max="13573" width="25.75" style="11" customWidth="1"/>
    <col min="13574" max="13577" width="14.375" style="11" customWidth="1"/>
    <col min="13578" max="13580" width="9" style="11"/>
    <col min="13581" max="13583" width="0" style="11" hidden="1" customWidth="1"/>
    <col min="13584" max="13584" width="9" style="11"/>
    <col min="13585" max="13587" width="14.375" style="11" customWidth="1"/>
    <col min="13588" max="13824" width="9" style="11"/>
    <col min="13825" max="13825" width="14.25" style="11" customWidth="1"/>
    <col min="13826" max="13826" width="21" style="11" customWidth="1"/>
    <col min="13827" max="13827" width="16.625" style="11" customWidth="1"/>
    <col min="13828" max="13828" width="4.125" style="11" customWidth="1"/>
    <col min="13829" max="13829" width="25.75" style="11" customWidth="1"/>
    <col min="13830" max="13833" width="14.375" style="11" customWidth="1"/>
    <col min="13834" max="13836" width="9" style="11"/>
    <col min="13837" max="13839" width="0" style="11" hidden="1" customWidth="1"/>
    <col min="13840" max="13840" width="9" style="11"/>
    <col min="13841" max="13843" width="14.375" style="11" customWidth="1"/>
    <col min="13844" max="14080" width="9" style="11"/>
    <col min="14081" max="14081" width="14.25" style="11" customWidth="1"/>
    <col min="14082" max="14082" width="21" style="11" customWidth="1"/>
    <col min="14083" max="14083" width="16.625" style="11" customWidth="1"/>
    <col min="14084" max="14084" width="4.125" style="11" customWidth="1"/>
    <col min="14085" max="14085" width="25.75" style="11" customWidth="1"/>
    <col min="14086" max="14089" width="14.375" style="11" customWidth="1"/>
    <col min="14090" max="14092" width="9" style="11"/>
    <col min="14093" max="14095" width="0" style="11" hidden="1" customWidth="1"/>
    <col min="14096" max="14096" width="9" style="11"/>
    <col min="14097" max="14099" width="14.375" style="11" customWidth="1"/>
    <col min="14100" max="14336" width="9" style="11"/>
    <col min="14337" max="14337" width="14.25" style="11" customWidth="1"/>
    <col min="14338" max="14338" width="21" style="11" customWidth="1"/>
    <col min="14339" max="14339" width="16.625" style="11" customWidth="1"/>
    <col min="14340" max="14340" width="4.125" style="11" customWidth="1"/>
    <col min="14341" max="14341" width="25.75" style="11" customWidth="1"/>
    <col min="14342" max="14345" width="14.375" style="11" customWidth="1"/>
    <col min="14346" max="14348" width="9" style="11"/>
    <col min="14349" max="14351" width="0" style="11" hidden="1" customWidth="1"/>
    <col min="14352" max="14352" width="9" style="11"/>
    <col min="14353" max="14355" width="14.375" style="11" customWidth="1"/>
    <col min="14356" max="14592" width="9" style="11"/>
    <col min="14593" max="14593" width="14.25" style="11" customWidth="1"/>
    <col min="14594" max="14594" width="21" style="11" customWidth="1"/>
    <col min="14595" max="14595" width="16.625" style="11" customWidth="1"/>
    <col min="14596" max="14596" width="4.125" style="11" customWidth="1"/>
    <col min="14597" max="14597" width="25.75" style="11" customWidth="1"/>
    <col min="14598" max="14601" width="14.375" style="11" customWidth="1"/>
    <col min="14602" max="14604" width="9" style="11"/>
    <col min="14605" max="14607" width="0" style="11" hidden="1" customWidth="1"/>
    <col min="14608" max="14608" width="9" style="11"/>
    <col min="14609" max="14611" width="14.375" style="11" customWidth="1"/>
    <col min="14612" max="14848" width="9" style="11"/>
    <col min="14849" max="14849" width="14.25" style="11" customWidth="1"/>
    <col min="14850" max="14850" width="21" style="11" customWidth="1"/>
    <col min="14851" max="14851" width="16.625" style="11" customWidth="1"/>
    <col min="14852" max="14852" width="4.125" style="11" customWidth="1"/>
    <col min="14853" max="14853" width="25.75" style="11" customWidth="1"/>
    <col min="14854" max="14857" width="14.375" style="11" customWidth="1"/>
    <col min="14858" max="14860" width="9" style="11"/>
    <col min="14861" max="14863" width="0" style="11" hidden="1" customWidth="1"/>
    <col min="14864" max="14864" width="9" style="11"/>
    <col min="14865" max="14867" width="14.375" style="11" customWidth="1"/>
    <col min="14868" max="15104" width="9" style="11"/>
    <col min="15105" max="15105" width="14.25" style="11" customWidth="1"/>
    <col min="15106" max="15106" width="21" style="11" customWidth="1"/>
    <col min="15107" max="15107" width="16.625" style="11" customWidth="1"/>
    <col min="15108" max="15108" width="4.125" style="11" customWidth="1"/>
    <col min="15109" max="15109" width="25.75" style="11" customWidth="1"/>
    <col min="15110" max="15113" width="14.375" style="11" customWidth="1"/>
    <col min="15114" max="15116" width="9" style="11"/>
    <col min="15117" max="15119" width="0" style="11" hidden="1" customWidth="1"/>
    <col min="15120" max="15120" width="9" style="11"/>
    <col min="15121" max="15123" width="14.375" style="11" customWidth="1"/>
    <col min="15124" max="15360" width="9" style="11"/>
    <col min="15361" max="15361" width="14.25" style="11" customWidth="1"/>
    <col min="15362" max="15362" width="21" style="11" customWidth="1"/>
    <col min="15363" max="15363" width="16.625" style="11" customWidth="1"/>
    <col min="15364" max="15364" width="4.125" style="11" customWidth="1"/>
    <col min="15365" max="15365" width="25.75" style="11" customWidth="1"/>
    <col min="15366" max="15369" width="14.375" style="11" customWidth="1"/>
    <col min="15370" max="15372" width="9" style="11"/>
    <col min="15373" max="15375" width="0" style="11" hidden="1" customWidth="1"/>
    <col min="15376" max="15376" width="9" style="11"/>
    <col min="15377" max="15379" width="14.375" style="11" customWidth="1"/>
    <col min="15380" max="15616" width="9" style="11"/>
    <col min="15617" max="15617" width="14.25" style="11" customWidth="1"/>
    <col min="15618" max="15618" width="21" style="11" customWidth="1"/>
    <col min="15619" max="15619" width="16.625" style="11" customWidth="1"/>
    <col min="15620" max="15620" width="4.125" style="11" customWidth="1"/>
    <col min="15621" max="15621" width="25.75" style="11" customWidth="1"/>
    <col min="15622" max="15625" width="14.375" style="11" customWidth="1"/>
    <col min="15626" max="15628" width="9" style="11"/>
    <col min="15629" max="15631" width="0" style="11" hidden="1" customWidth="1"/>
    <col min="15632" max="15632" width="9" style="11"/>
    <col min="15633" max="15635" width="14.375" style="11" customWidth="1"/>
    <col min="15636" max="15872" width="9" style="11"/>
    <col min="15873" max="15873" width="14.25" style="11" customWidth="1"/>
    <col min="15874" max="15874" width="21" style="11" customWidth="1"/>
    <col min="15875" max="15875" width="16.625" style="11" customWidth="1"/>
    <col min="15876" max="15876" width="4.125" style="11" customWidth="1"/>
    <col min="15877" max="15877" width="25.75" style="11" customWidth="1"/>
    <col min="15878" max="15881" width="14.375" style="11" customWidth="1"/>
    <col min="15882" max="15884" width="9" style="11"/>
    <col min="15885" max="15887" width="0" style="11" hidden="1" customWidth="1"/>
    <col min="15888" max="15888" width="9" style="11"/>
    <col min="15889" max="15891" width="14.375" style="11" customWidth="1"/>
    <col min="15892" max="16128" width="9" style="11"/>
    <col min="16129" max="16129" width="14.25" style="11" customWidth="1"/>
    <col min="16130" max="16130" width="21" style="11" customWidth="1"/>
    <col min="16131" max="16131" width="16.625" style="11" customWidth="1"/>
    <col min="16132" max="16132" width="4.125" style="11" customWidth="1"/>
    <col min="16133" max="16133" width="25.75" style="11" customWidth="1"/>
    <col min="16134" max="16137" width="14.375" style="11" customWidth="1"/>
    <col min="16138" max="16140" width="9" style="11"/>
    <col min="16141" max="16143" width="0" style="11" hidden="1" customWidth="1"/>
    <col min="16144" max="16144" width="9" style="11"/>
    <col min="16145" max="16147" width="14.375" style="11" customWidth="1"/>
    <col min="16148" max="16384" width="9" style="11"/>
  </cols>
  <sheetData>
    <row r="1" spans="1:15" ht="16.5" customHeight="1">
      <c r="A1" s="160"/>
      <c r="B1" s="160"/>
      <c r="C1" s="160"/>
      <c r="D1" s="160"/>
      <c r="E1" s="160"/>
      <c r="F1" s="160"/>
      <c r="G1" s="161"/>
      <c r="H1" s="160"/>
      <c r="I1" s="160"/>
      <c r="J1" s="160"/>
      <c r="K1" s="160"/>
      <c r="L1" s="160"/>
    </row>
    <row r="2" spans="1:15" ht="16.5" customHeight="1">
      <c r="A2" s="160"/>
      <c r="B2" s="160"/>
      <c r="C2" s="160"/>
      <c r="D2" s="160"/>
      <c r="E2" s="160"/>
      <c r="F2" s="160"/>
      <c r="G2" s="161"/>
      <c r="H2" s="160"/>
      <c r="I2" s="160"/>
      <c r="J2" s="160"/>
      <c r="K2" s="160"/>
      <c r="L2" s="160"/>
    </row>
    <row r="3" spans="1:15" ht="16.5" customHeight="1">
      <c r="A3" s="160"/>
      <c r="B3" s="160"/>
      <c r="C3" s="160"/>
      <c r="D3" s="160"/>
      <c r="E3" s="160"/>
      <c r="F3" s="160"/>
      <c r="G3" s="161"/>
      <c r="H3" s="160"/>
      <c r="I3" s="160"/>
      <c r="J3" s="160"/>
      <c r="K3" s="160"/>
      <c r="L3" s="160"/>
    </row>
    <row r="4" spans="1:15" s="13" customFormat="1" ht="16.5" customHeight="1">
      <c r="A4" s="162" t="s">
        <v>207</v>
      </c>
      <c r="B4" s="162"/>
      <c r="C4" s="162"/>
      <c r="D4" s="162"/>
      <c r="E4" s="162"/>
      <c r="F4" s="478"/>
      <c r="G4" s="478"/>
      <c r="H4" s="478"/>
      <c r="I4" s="162"/>
      <c r="J4" s="162"/>
      <c r="K4" s="162"/>
      <c r="L4" s="162"/>
    </row>
    <row r="5" spans="1:15" ht="16.5" customHeight="1">
      <c r="A5" s="163" t="s">
        <v>273</v>
      </c>
      <c r="B5" s="163"/>
      <c r="C5" s="163"/>
      <c r="D5" s="160"/>
      <c r="E5" s="164" t="s">
        <v>208</v>
      </c>
      <c r="F5" s="164" t="s">
        <v>209</v>
      </c>
      <c r="G5" s="165" t="s">
        <v>210</v>
      </c>
      <c r="H5" s="164" t="s">
        <v>211</v>
      </c>
      <c r="I5" s="164" t="s">
        <v>212</v>
      </c>
      <c r="J5" s="160"/>
      <c r="K5" s="160"/>
      <c r="L5" s="160"/>
      <c r="M5" s="11" t="s">
        <v>18</v>
      </c>
      <c r="N5" s="11" t="s">
        <v>18</v>
      </c>
      <c r="O5" s="11" t="s">
        <v>18</v>
      </c>
    </row>
    <row r="6" spans="1:15" ht="16.5" customHeight="1">
      <c r="A6" s="166" t="s">
        <v>274</v>
      </c>
      <c r="B6" s="166" t="s">
        <v>213</v>
      </c>
      <c r="C6" s="167">
        <f>C7</f>
        <v>17.5</v>
      </c>
      <c r="D6" s="160"/>
      <c r="E6" s="168" t="s">
        <v>214</v>
      </c>
      <c r="F6" s="168" t="s">
        <v>215</v>
      </c>
      <c r="G6" s="169" t="s">
        <v>216</v>
      </c>
      <c r="H6" s="168" t="s">
        <v>217</v>
      </c>
      <c r="I6" s="168" t="s">
        <v>218</v>
      </c>
      <c r="J6" s="160"/>
      <c r="K6" s="160"/>
      <c r="L6" s="160"/>
      <c r="M6" s="11" t="s">
        <v>19</v>
      </c>
      <c r="N6" s="11" t="s">
        <v>20</v>
      </c>
      <c r="O6" s="11" t="s">
        <v>21</v>
      </c>
    </row>
    <row r="7" spans="1:15" ht="16.5" customHeight="1">
      <c r="A7" s="163"/>
      <c r="B7" s="163" t="s">
        <v>219</v>
      </c>
      <c r="C7" s="170">
        <f>VLOOKUP($C$9,E6:I11,IF($C$10&lt;=183,2,IF($C$10&lt;=365,3,IF($C$10&lt;=1095,4,IF($C$10&gt;1095,5)))))</f>
        <v>17.5</v>
      </c>
      <c r="D7" s="160"/>
      <c r="E7" s="171">
        <v>1</v>
      </c>
      <c r="F7" s="172">
        <v>17.5</v>
      </c>
      <c r="G7" s="172">
        <v>17.899999999999999</v>
      </c>
      <c r="H7" s="172">
        <v>18.2</v>
      </c>
      <c r="I7" s="172">
        <v>19.399999999999999</v>
      </c>
      <c r="J7" s="228" t="s">
        <v>494</v>
      </c>
      <c r="K7" s="173"/>
      <c r="L7" s="173"/>
      <c r="M7" s="14">
        <v>10.8</v>
      </c>
      <c r="N7" s="14">
        <v>11.3</v>
      </c>
      <c r="O7" s="14">
        <v>11.8</v>
      </c>
    </row>
    <row r="8" spans="1:15" ht="16.5" customHeight="1">
      <c r="A8" s="163"/>
      <c r="B8" s="163" t="s">
        <v>220</v>
      </c>
      <c r="C8" s="170"/>
      <c r="D8" s="160"/>
      <c r="E8" s="171">
        <v>1000000000</v>
      </c>
      <c r="F8" s="172">
        <v>17.399999999999999</v>
      </c>
      <c r="G8" s="172">
        <v>17.8</v>
      </c>
      <c r="H8" s="172">
        <v>18.100000000000001</v>
      </c>
      <c r="I8" s="172">
        <v>19.2</v>
      </c>
      <c r="J8" s="228" t="s">
        <v>495</v>
      </c>
      <c r="K8" s="173"/>
      <c r="L8" s="173"/>
      <c r="M8" s="14">
        <v>11.1</v>
      </c>
      <c r="N8" s="14">
        <v>11.6</v>
      </c>
      <c r="O8" s="14">
        <v>12.1</v>
      </c>
    </row>
    <row r="9" spans="1:15" ht="16.5" customHeight="1">
      <c r="A9" s="163" t="s">
        <v>275</v>
      </c>
      <c r="B9" s="163"/>
      <c r="C9" s="174">
        <f>'원가계산서 (총괄-참고용)'!J5+'원가계산서 (총괄-참고용)'!J9+'원가계산서 (총괄-참고용)'!J12+'원가계산서 (총괄-참고용)'!J21</f>
        <v>26074542</v>
      </c>
      <c r="D9" s="160"/>
      <c r="E9" s="171">
        <v>5000000000</v>
      </c>
      <c r="F9" s="172">
        <v>17.5</v>
      </c>
      <c r="G9" s="172">
        <v>17.899999999999999</v>
      </c>
      <c r="H9" s="172">
        <v>18.2</v>
      </c>
      <c r="I9" s="172">
        <v>19.399999999999999</v>
      </c>
      <c r="J9" s="228" t="s">
        <v>496</v>
      </c>
      <c r="K9" s="173"/>
      <c r="L9" s="173"/>
      <c r="M9" s="14">
        <v>11.3</v>
      </c>
      <c r="N9" s="14">
        <v>11.8</v>
      </c>
      <c r="O9" s="14">
        <v>12.4</v>
      </c>
    </row>
    <row r="10" spans="1:15" ht="16.5" customHeight="1">
      <c r="A10" s="163" t="s">
        <v>221</v>
      </c>
      <c r="B10" s="163"/>
      <c r="C10" s="170">
        <f>'원가계산서 (총괄-참고용)'!J55</f>
        <v>182.5</v>
      </c>
      <c r="D10" s="160"/>
      <c r="E10" s="171">
        <v>30000000000</v>
      </c>
      <c r="F10" s="172">
        <v>17.5</v>
      </c>
      <c r="G10" s="172">
        <v>17.899999999999999</v>
      </c>
      <c r="H10" s="172">
        <v>18.2</v>
      </c>
      <c r="I10" s="172">
        <v>19.399999999999999</v>
      </c>
      <c r="J10" s="228" t="s">
        <v>497</v>
      </c>
      <c r="K10" s="173"/>
      <c r="L10" s="173"/>
      <c r="M10" s="14">
        <v>11.3</v>
      </c>
      <c r="N10" s="14">
        <v>11.8</v>
      </c>
      <c r="O10" s="14">
        <v>12.4</v>
      </c>
    </row>
    <row r="11" spans="1:15" ht="16.5" customHeight="1">
      <c r="A11" s="160"/>
      <c r="B11" s="160"/>
      <c r="C11" s="160"/>
      <c r="D11" s="160"/>
      <c r="E11" s="171">
        <v>100000000000</v>
      </c>
      <c r="F11" s="172">
        <v>17.399999999999999</v>
      </c>
      <c r="G11" s="172">
        <v>17.8</v>
      </c>
      <c r="H11" s="172">
        <v>18.100000000000001</v>
      </c>
      <c r="I11" s="172">
        <v>19.3</v>
      </c>
      <c r="J11" s="228" t="s">
        <v>498</v>
      </c>
      <c r="K11" s="160"/>
      <c r="L11" s="160"/>
    </row>
    <row r="12" spans="1:15" ht="16.5" customHeight="1">
      <c r="A12" s="160"/>
      <c r="B12" s="160"/>
      <c r="C12" s="160"/>
      <c r="D12" s="160"/>
      <c r="E12" s="160"/>
      <c r="F12" s="160"/>
      <c r="G12" s="161"/>
      <c r="H12" s="160"/>
      <c r="I12" s="160"/>
      <c r="J12" s="228"/>
      <c r="K12" s="160"/>
      <c r="L12" s="160"/>
    </row>
    <row r="13" spans="1:15" ht="16.5" customHeight="1">
      <c r="A13" s="160"/>
      <c r="B13" s="160"/>
      <c r="C13" s="160"/>
      <c r="D13" s="160"/>
      <c r="E13" s="160"/>
      <c r="F13" s="160"/>
      <c r="G13" s="161"/>
      <c r="H13" s="160"/>
      <c r="I13" s="160"/>
      <c r="J13" s="228"/>
      <c r="K13" s="160"/>
      <c r="L13" s="160"/>
    </row>
    <row r="14" spans="1:15" s="13" customFormat="1" ht="16.5" customHeight="1">
      <c r="A14" s="162" t="s">
        <v>222</v>
      </c>
      <c r="B14" s="162"/>
      <c r="C14" s="162"/>
      <c r="D14" s="162"/>
      <c r="E14" s="162"/>
      <c r="F14" s="162"/>
      <c r="G14" s="175"/>
      <c r="H14" s="162"/>
      <c r="I14" s="162"/>
      <c r="J14" s="229"/>
      <c r="K14" s="162"/>
      <c r="L14" s="162"/>
    </row>
    <row r="15" spans="1:15" ht="16.5" customHeight="1">
      <c r="A15" s="163" t="s">
        <v>276</v>
      </c>
      <c r="B15" s="163"/>
      <c r="C15" s="163"/>
      <c r="D15" s="160"/>
      <c r="E15" s="164" t="s">
        <v>208</v>
      </c>
      <c r="F15" s="164" t="s">
        <v>209</v>
      </c>
      <c r="G15" s="165" t="s">
        <v>210</v>
      </c>
      <c r="H15" s="164" t="s">
        <v>211</v>
      </c>
      <c r="I15" s="164" t="s">
        <v>212</v>
      </c>
      <c r="J15" s="228"/>
      <c r="K15" s="160"/>
      <c r="L15" s="160"/>
    </row>
    <row r="16" spans="1:15" ht="16.5" customHeight="1">
      <c r="A16" s="166" t="s">
        <v>274</v>
      </c>
      <c r="B16" s="166"/>
      <c r="C16" s="176">
        <f>VLOOKUP($C$17,E16:I21,IF($C$18&lt;=183,2,IF($C$18&lt;=365,3,IF($C$18&lt;=1095,4,IF($C$18&gt;1095,5)))))</f>
        <v>5</v>
      </c>
      <c r="D16" s="160"/>
      <c r="E16" s="168" t="s">
        <v>214</v>
      </c>
      <c r="F16" s="168" t="s">
        <v>215</v>
      </c>
      <c r="G16" s="169" t="s">
        <v>216</v>
      </c>
      <c r="H16" s="168" t="s">
        <v>217</v>
      </c>
      <c r="I16" s="168" t="s">
        <v>218</v>
      </c>
      <c r="J16" s="228"/>
      <c r="K16" s="160"/>
      <c r="L16" s="160"/>
    </row>
    <row r="17" spans="1:12" ht="16.5" customHeight="1">
      <c r="A17" s="163" t="s">
        <v>275</v>
      </c>
      <c r="B17" s="163"/>
      <c r="C17" s="174">
        <f>C9</f>
        <v>26074542</v>
      </c>
      <c r="D17" s="160"/>
      <c r="E17" s="171">
        <v>1</v>
      </c>
      <c r="F17" s="177">
        <v>5</v>
      </c>
      <c r="G17" s="177">
        <v>5.2</v>
      </c>
      <c r="H17" s="177">
        <v>5.5</v>
      </c>
      <c r="I17" s="177">
        <v>6.1</v>
      </c>
      <c r="J17" s="228" t="s">
        <v>494</v>
      </c>
      <c r="K17" s="173"/>
      <c r="L17" s="173"/>
    </row>
    <row r="18" spans="1:12" ht="16.5" customHeight="1">
      <c r="A18" s="163" t="s">
        <v>221</v>
      </c>
      <c r="B18" s="163"/>
      <c r="C18" s="170">
        <f>C10</f>
        <v>182.5</v>
      </c>
      <c r="D18" s="160"/>
      <c r="E18" s="171">
        <v>1000000000</v>
      </c>
      <c r="F18" s="177">
        <v>5.2</v>
      </c>
      <c r="G18" s="177">
        <v>5.4</v>
      </c>
      <c r="H18" s="177">
        <v>5.7</v>
      </c>
      <c r="I18" s="177">
        <v>6.4</v>
      </c>
      <c r="J18" s="228" t="s">
        <v>495</v>
      </c>
      <c r="K18" s="173"/>
      <c r="L18" s="173"/>
    </row>
    <row r="19" spans="1:12" ht="16.5" customHeight="1">
      <c r="A19" s="163" t="s">
        <v>223</v>
      </c>
      <c r="B19" s="163"/>
      <c r="C19" s="170"/>
      <c r="D19" s="160"/>
      <c r="E19" s="171">
        <v>5000000000</v>
      </c>
      <c r="F19" s="177">
        <v>5.9</v>
      </c>
      <c r="G19" s="177">
        <v>6</v>
      </c>
      <c r="H19" s="177">
        <v>6.4</v>
      </c>
      <c r="I19" s="177">
        <v>7</v>
      </c>
      <c r="J19" s="228" t="s">
        <v>496</v>
      </c>
      <c r="K19" s="173"/>
      <c r="L19" s="173"/>
    </row>
    <row r="20" spans="1:12" ht="16.5" customHeight="1">
      <c r="A20" s="163"/>
      <c r="B20" s="163"/>
      <c r="C20" s="163"/>
      <c r="D20" s="160"/>
      <c r="E20" s="171">
        <v>30000000000</v>
      </c>
      <c r="F20" s="177">
        <v>6.1</v>
      </c>
      <c r="G20" s="177">
        <v>6.3</v>
      </c>
      <c r="H20" s="177">
        <v>6.6</v>
      </c>
      <c r="I20" s="177">
        <v>7.2</v>
      </c>
      <c r="J20" s="228" t="s">
        <v>497</v>
      </c>
      <c r="K20" s="173"/>
      <c r="L20" s="173"/>
    </row>
    <row r="21" spans="1:12" ht="16.5" customHeight="1">
      <c r="A21" s="160"/>
      <c r="B21" s="160"/>
      <c r="C21" s="160"/>
      <c r="D21" s="160"/>
      <c r="E21" s="171">
        <v>100000000000</v>
      </c>
      <c r="F21" s="177">
        <v>6.4</v>
      </c>
      <c r="G21" s="177">
        <v>6.5</v>
      </c>
      <c r="H21" s="177">
        <v>6.9</v>
      </c>
      <c r="I21" s="177">
        <v>7.5</v>
      </c>
      <c r="J21" s="228" t="s">
        <v>498</v>
      </c>
      <c r="K21" s="160"/>
      <c r="L21" s="160"/>
    </row>
    <row r="22" spans="1:12" ht="16.5" customHeight="1">
      <c r="A22" s="160"/>
      <c r="B22" s="160"/>
      <c r="C22" s="160"/>
      <c r="D22" s="160"/>
      <c r="E22" s="160"/>
      <c r="F22" s="160"/>
      <c r="G22" s="161"/>
      <c r="H22" s="160"/>
      <c r="I22" s="160"/>
      <c r="J22" s="160"/>
      <c r="K22" s="160"/>
      <c r="L22" s="160"/>
    </row>
    <row r="23" spans="1:12" ht="16.5" customHeight="1">
      <c r="A23" s="160"/>
      <c r="B23" s="160"/>
      <c r="C23" s="160"/>
      <c r="D23" s="160"/>
      <c r="E23" s="160"/>
      <c r="F23" s="160"/>
      <c r="G23" s="161"/>
      <c r="H23" s="160"/>
      <c r="I23" s="160"/>
      <c r="J23" s="160"/>
      <c r="K23" s="160"/>
      <c r="L23" s="160"/>
    </row>
    <row r="24" spans="1:12" s="13" customFormat="1" ht="16.5" customHeight="1">
      <c r="A24" s="162" t="s">
        <v>224</v>
      </c>
      <c r="B24" s="162"/>
      <c r="C24" s="162"/>
      <c r="D24" s="162"/>
      <c r="E24" s="162"/>
      <c r="F24" s="162"/>
      <c r="G24" s="175"/>
      <c r="H24" s="162"/>
      <c r="I24" s="162"/>
      <c r="J24" s="162"/>
      <c r="K24" s="162"/>
      <c r="L24" s="162"/>
    </row>
    <row r="25" spans="1:12" ht="16.5" customHeight="1">
      <c r="A25" s="163" t="s">
        <v>277</v>
      </c>
      <c r="B25" s="163"/>
      <c r="C25" s="163"/>
      <c r="D25" s="160"/>
      <c r="E25" s="164" t="s">
        <v>208</v>
      </c>
      <c r="F25" s="166"/>
      <c r="G25" s="161"/>
      <c r="H25" s="160"/>
      <c r="I25" s="160"/>
      <c r="J25" s="160"/>
      <c r="K25" s="160"/>
      <c r="L25" s="160"/>
    </row>
    <row r="26" spans="1:12" ht="16.5" customHeight="1">
      <c r="A26" s="166" t="s">
        <v>274</v>
      </c>
      <c r="B26" s="166" t="s">
        <v>293</v>
      </c>
      <c r="C26" s="167">
        <f>IF(C28&gt;80000000000,F31,IF(C28&gt;5000000000,F30,IF(C28&gt;500000000,F29,IF(C28&gt;=20000000,F28,"0"))))</f>
        <v>3.11</v>
      </c>
      <c r="D26" s="160"/>
      <c r="E26" s="168" t="s">
        <v>214</v>
      </c>
      <c r="F26" s="163"/>
      <c r="G26" s="161"/>
      <c r="H26" s="160"/>
      <c r="I26" s="160"/>
      <c r="J26" s="160"/>
      <c r="K26" s="160"/>
      <c r="L26" s="160"/>
    </row>
    <row r="27" spans="1:12" ht="16.5" customHeight="1">
      <c r="A27" s="166" t="s">
        <v>274</v>
      </c>
      <c r="B27" s="166"/>
      <c r="C27" s="167" t="str">
        <f>IF(C29&gt;80000000000,F31,IF(C29&gt;5000000000,F30,IF(C29&gt;500000000,F29,IF(C29&gt;=20000000,F28,"0"))))</f>
        <v>0</v>
      </c>
      <c r="D27" s="160"/>
      <c r="E27" s="178" t="s">
        <v>225</v>
      </c>
      <c r="F27" s="177">
        <v>0</v>
      </c>
      <c r="G27" s="161"/>
      <c r="H27" s="160"/>
      <c r="I27" s="160"/>
      <c r="J27" s="160"/>
      <c r="K27" s="160"/>
      <c r="L27" s="160"/>
    </row>
    <row r="28" spans="1:12" ht="16.5" customHeight="1">
      <c r="A28" s="163" t="s">
        <v>278</v>
      </c>
      <c r="B28" s="163"/>
      <c r="C28" s="174">
        <f>'원가계산서 (총괄-참고용)'!J8+'원가계산서 (총괄-참고용)'!J9+'원가계산서 (총괄-참고용)'!J45/1.1</f>
        <v>400364545.45454544</v>
      </c>
      <c r="D28" s="160"/>
      <c r="E28" s="179" t="s">
        <v>226</v>
      </c>
      <c r="F28" s="177">
        <v>3.11</v>
      </c>
      <c r="G28" s="161"/>
      <c r="H28" s="160"/>
      <c r="I28" s="160"/>
      <c r="J28" s="160"/>
      <c r="K28" s="160"/>
      <c r="L28" s="160"/>
    </row>
    <row r="29" spans="1:12" ht="16.5" customHeight="1">
      <c r="A29" s="163" t="s">
        <v>367</v>
      </c>
      <c r="B29" s="163"/>
      <c r="C29" s="174">
        <f>'원가계산서 (총괄-참고용)'!J8+'원가계산서 (총괄-참고용)'!J9</f>
        <v>0</v>
      </c>
      <c r="D29" s="160"/>
      <c r="E29" s="179" t="s">
        <v>227</v>
      </c>
      <c r="F29" s="177">
        <v>2.2799999999999998</v>
      </c>
      <c r="G29" s="161"/>
      <c r="H29" s="160"/>
      <c r="I29" s="160"/>
      <c r="J29" s="160"/>
      <c r="K29" s="160"/>
      <c r="L29" s="160"/>
    </row>
    <row r="30" spans="1:12" ht="16.5" customHeight="1">
      <c r="A30" s="163" t="s">
        <v>375</v>
      </c>
      <c r="B30" s="163" t="s">
        <v>376</v>
      </c>
      <c r="C30" s="221">
        <f>(IF($C$28&lt;500000000,0,IF($C$28&lt;5000000000,$F$32,0)))</f>
        <v>0</v>
      </c>
      <c r="D30" s="160"/>
      <c r="E30" s="179" t="s">
        <v>228</v>
      </c>
      <c r="F30" s="177">
        <v>2.37</v>
      </c>
      <c r="G30" s="161"/>
      <c r="H30" s="160"/>
      <c r="I30" s="160"/>
      <c r="J30" s="160"/>
      <c r="K30" s="160"/>
      <c r="L30" s="160"/>
    </row>
    <row r="31" spans="1:12" ht="16.5" customHeight="1">
      <c r="A31" s="163" t="s">
        <v>375</v>
      </c>
      <c r="B31" s="163"/>
      <c r="C31" s="221">
        <f>(IF($C$29&lt;500000000,0,IF($C$29&lt;5000000000,$F$32,0)))</f>
        <v>0</v>
      </c>
      <c r="D31" s="160"/>
      <c r="E31" s="179" t="s">
        <v>229</v>
      </c>
      <c r="F31" s="177">
        <v>2.64</v>
      </c>
      <c r="G31" s="161"/>
      <c r="H31" s="160"/>
      <c r="I31" s="160"/>
      <c r="J31" s="160"/>
      <c r="K31" s="160"/>
      <c r="L31" s="160"/>
    </row>
    <row r="32" spans="1:12" ht="16.5" customHeight="1">
      <c r="A32" s="160"/>
      <c r="B32" s="160"/>
      <c r="C32" s="160"/>
      <c r="D32" s="160"/>
      <c r="E32" s="178" t="s">
        <v>22</v>
      </c>
      <c r="F32" s="180">
        <v>4325000</v>
      </c>
      <c r="G32" s="161"/>
      <c r="H32" s="160"/>
      <c r="I32" s="160"/>
      <c r="J32" s="160"/>
      <c r="K32" s="160"/>
      <c r="L32" s="160"/>
    </row>
    <row r="33" spans="1:18" ht="16.5" customHeight="1">
      <c r="A33" s="160"/>
      <c r="B33" s="160"/>
      <c r="C33" s="160"/>
      <c r="D33" s="160"/>
      <c r="E33" s="160"/>
      <c r="F33" s="160"/>
      <c r="G33" s="161"/>
      <c r="H33" s="160"/>
      <c r="I33" s="160"/>
      <c r="J33" s="160"/>
      <c r="K33" s="160"/>
      <c r="L33" s="160"/>
    </row>
    <row r="34" spans="1:18" s="13" customFormat="1" ht="16.5" customHeight="1">
      <c r="A34" s="160"/>
      <c r="B34" s="160"/>
      <c r="C34" s="160"/>
      <c r="D34" s="160"/>
      <c r="E34" s="160"/>
      <c r="F34" s="160"/>
      <c r="G34" s="161"/>
      <c r="H34" s="160"/>
      <c r="I34" s="160"/>
      <c r="J34" s="160"/>
      <c r="K34" s="160"/>
      <c r="L34" s="160"/>
      <c r="M34" s="11"/>
      <c r="N34" s="11"/>
      <c r="O34" s="11"/>
      <c r="P34" s="11"/>
      <c r="Q34" s="11"/>
    </row>
    <row r="35" spans="1:18" ht="16.5" customHeight="1">
      <c r="A35" s="160"/>
      <c r="B35" s="160"/>
      <c r="C35" s="160"/>
      <c r="D35" s="160"/>
      <c r="E35" s="160"/>
      <c r="F35" s="160"/>
      <c r="G35" s="161"/>
      <c r="H35" s="160"/>
      <c r="I35" s="160"/>
      <c r="J35" s="160"/>
      <c r="K35" s="160"/>
      <c r="L35" s="160"/>
      <c r="R35" s="13"/>
    </row>
    <row r="36" spans="1:18" ht="16.5" customHeight="1">
      <c r="A36" s="160"/>
      <c r="B36" s="160"/>
      <c r="C36" s="160"/>
      <c r="D36" s="162"/>
      <c r="E36" s="160"/>
      <c r="F36" s="160"/>
      <c r="G36" s="161"/>
      <c r="H36" s="160"/>
      <c r="I36" s="160"/>
      <c r="J36" s="160"/>
      <c r="K36" s="160"/>
      <c r="L36" s="160"/>
    </row>
    <row r="37" spans="1:18" ht="16.5" customHeight="1">
      <c r="A37" s="162" t="s">
        <v>23</v>
      </c>
      <c r="B37" s="162"/>
      <c r="C37" s="162"/>
      <c r="D37" s="160"/>
      <c r="E37" s="162"/>
      <c r="F37" s="162"/>
      <c r="G37" s="175"/>
      <c r="H37" s="162"/>
      <c r="I37" s="162"/>
      <c r="J37" s="162"/>
      <c r="K37" s="162"/>
      <c r="L37" s="162"/>
      <c r="M37" s="13"/>
      <c r="N37" s="13"/>
      <c r="O37" s="13"/>
      <c r="P37" s="13"/>
      <c r="Q37" s="13"/>
    </row>
    <row r="38" spans="1:18" ht="16.5" customHeight="1">
      <c r="A38" s="163" t="s">
        <v>280</v>
      </c>
      <c r="B38" s="163"/>
      <c r="C38" s="163"/>
      <c r="D38" s="160"/>
      <c r="E38" s="479" t="s">
        <v>208</v>
      </c>
      <c r="F38" s="480"/>
      <c r="G38" s="480"/>
      <c r="H38" s="480"/>
      <c r="I38" s="481"/>
      <c r="J38" s="160"/>
      <c r="K38" s="160"/>
      <c r="L38" s="160"/>
    </row>
    <row r="39" spans="1:18" ht="16.5" customHeight="1">
      <c r="A39" s="163"/>
      <c r="B39" s="166" t="s">
        <v>213</v>
      </c>
      <c r="C39" s="167">
        <f>IF('입력(숨기기하세요)'!B12=1,'요율(숨기기하세요)'!C40,'요율(숨기기하세요)'!C41)</f>
        <v>8</v>
      </c>
      <c r="D39" s="160"/>
      <c r="E39" s="168" t="s">
        <v>214</v>
      </c>
      <c r="F39" s="181" t="s">
        <v>230</v>
      </c>
      <c r="G39" s="482" t="s">
        <v>231</v>
      </c>
      <c r="H39" s="483"/>
      <c r="I39" s="168" t="s">
        <v>24</v>
      </c>
      <c r="J39" s="160"/>
      <c r="K39" s="160"/>
      <c r="L39" s="160"/>
    </row>
    <row r="40" spans="1:18" ht="16.5" customHeight="1">
      <c r="A40" s="166" t="s">
        <v>274</v>
      </c>
      <c r="B40" s="163" t="s">
        <v>232</v>
      </c>
      <c r="C40" s="170">
        <f>IF($C$42&lt;5000000000,$F$40,IF($C$42&lt;30000000000,$F$41,IF($C$42&lt;100000000000,$F$42,IF($C$42&gt;=100000000000,$F$43))))</f>
        <v>8</v>
      </c>
      <c r="D40" s="160"/>
      <c r="E40" s="182" t="s">
        <v>227</v>
      </c>
      <c r="F40" s="177">
        <v>8</v>
      </c>
      <c r="G40" s="474" t="s">
        <v>226</v>
      </c>
      <c r="H40" s="475"/>
      <c r="I40" s="177">
        <v>0</v>
      </c>
      <c r="J40" s="160"/>
      <c r="K40" s="160"/>
      <c r="L40" s="160"/>
    </row>
    <row r="41" spans="1:18" ht="16.5" customHeight="1">
      <c r="A41" s="163"/>
      <c r="B41" s="163" t="s">
        <v>233</v>
      </c>
      <c r="C41" s="170">
        <f>IF($C$42&lt;5000000000,$I$40,IF($C$42&lt;30000000000,$I$41,IF($C$42&lt;100000000000,$I$42,IF($C$42&gt;=100000000000,$I$43))))</f>
        <v>0</v>
      </c>
      <c r="D41" s="160"/>
      <c r="E41" s="182" t="s">
        <v>234</v>
      </c>
      <c r="F41" s="177">
        <v>6.5</v>
      </c>
      <c r="G41" s="474" t="s">
        <v>235</v>
      </c>
      <c r="H41" s="475"/>
      <c r="I41" s="177">
        <v>0</v>
      </c>
      <c r="J41" s="160"/>
      <c r="K41" s="160"/>
      <c r="L41" s="160"/>
    </row>
    <row r="42" spans="1:18" ht="16.5" customHeight="1">
      <c r="A42" s="163" t="s">
        <v>281</v>
      </c>
      <c r="B42" s="163"/>
      <c r="C42" s="174">
        <f>'원가계산서 (총괄-참고용)'!J53</f>
        <v>1204000000</v>
      </c>
      <c r="D42" s="160"/>
      <c r="E42" s="182" t="s">
        <v>25</v>
      </c>
      <c r="F42" s="177">
        <v>5</v>
      </c>
      <c r="G42" s="474" t="s">
        <v>26</v>
      </c>
      <c r="H42" s="475"/>
      <c r="I42" s="177">
        <v>0</v>
      </c>
      <c r="J42" s="160"/>
      <c r="K42" s="160"/>
      <c r="L42" s="160"/>
    </row>
    <row r="43" spans="1:18" s="13" customFormat="1" ht="16.5" customHeight="1">
      <c r="A43" s="163"/>
      <c r="B43" s="163"/>
      <c r="C43" s="174"/>
      <c r="D43" s="160"/>
      <c r="E43" s="183" t="s">
        <v>27</v>
      </c>
      <c r="F43" s="177">
        <v>4.5</v>
      </c>
      <c r="G43" s="474" t="s">
        <v>25</v>
      </c>
      <c r="H43" s="475"/>
      <c r="I43" s="177">
        <v>0</v>
      </c>
      <c r="J43" s="160"/>
      <c r="K43" s="160"/>
      <c r="L43" s="160"/>
      <c r="M43" s="11"/>
      <c r="N43" s="11"/>
      <c r="O43" s="11"/>
      <c r="P43" s="11"/>
      <c r="Q43" s="11"/>
      <c r="R43" s="11"/>
    </row>
    <row r="44" spans="1:18" ht="16.5" customHeight="1">
      <c r="A44" s="160"/>
      <c r="B44" s="160"/>
      <c r="C44" s="160"/>
      <c r="D44" s="160"/>
      <c r="E44" s="183"/>
      <c r="F44" s="177"/>
      <c r="G44" s="476" t="s">
        <v>27</v>
      </c>
      <c r="H44" s="477"/>
      <c r="I44" s="177"/>
      <c r="J44" s="160"/>
      <c r="K44" s="160"/>
      <c r="L44" s="160"/>
      <c r="R44" s="13"/>
    </row>
    <row r="45" spans="1:18" ht="16.5" customHeight="1">
      <c r="A45" s="160"/>
      <c r="B45" s="160"/>
      <c r="C45" s="160"/>
      <c r="D45" s="162"/>
      <c r="E45" s="160"/>
      <c r="F45" s="160"/>
      <c r="G45" s="161"/>
      <c r="H45" s="160"/>
      <c r="I45" s="160"/>
      <c r="J45" s="160"/>
      <c r="K45" s="160"/>
      <c r="L45" s="160"/>
    </row>
    <row r="46" spans="1:18" ht="16.5" customHeight="1">
      <c r="A46" s="162" t="s">
        <v>28</v>
      </c>
      <c r="B46" s="162"/>
      <c r="C46" s="162"/>
      <c r="D46" s="160"/>
      <c r="E46" s="162"/>
      <c r="F46" s="162"/>
      <c r="G46" s="175"/>
      <c r="H46" s="162"/>
      <c r="I46" s="162"/>
      <c r="J46" s="162"/>
      <c r="K46" s="162"/>
      <c r="L46" s="162"/>
      <c r="M46" s="13"/>
      <c r="N46" s="13"/>
      <c r="O46" s="13"/>
      <c r="P46" s="13"/>
      <c r="Q46" s="13"/>
    </row>
    <row r="47" spans="1:18" ht="16.5" customHeight="1">
      <c r="A47" s="163" t="s">
        <v>282</v>
      </c>
      <c r="B47" s="163"/>
      <c r="C47" s="163"/>
      <c r="D47" s="160"/>
      <c r="E47" s="164" t="s">
        <v>208</v>
      </c>
      <c r="F47" s="164" t="s">
        <v>236</v>
      </c>
      <c r="G47" s="161"/>
      <c r="H47" s="160"/>
      <c r="I47" s="160"/>
      <c r="J47" s="160"/>
      <c r="K47" s="160"/>
      <c r="L47" s="160"/>
    </row>
    <row r="48" spans="1:18" ht="16.5" customHeight="1">
      <c r="A48" s="166" t="s">
        <v>274</v>
      </c>
      <c r="B48" s="166"/>
      <c r="C48" s="167">
        <f>(IF($C$49&lt;5000000000,$F$49,IF($C$49&lt;30000000000,$F$50,IF($C$49&lt;100000000000,$F$51,$F$52))))</f>
        <v>15</v>
      </c>
      <c r="D48" s="160"/>
      <c r="E48" s="168" t="s">
        <v>214</v>
      </c>
      <c r="F48" s="168"/>
      <c r="G48" s="161"/>
      <c r="H48" s="160"/>
      <c r="I48" s="160"/>
      <c r="J48" s="160"/>
      <c r="K48" s="160"/>
      <c r="L48" s="160"/>
    </row>
    <row r="49" spans="1:18" ht="16.5" customHeight="1">
      <c r="A49" s="163" t="s">
        <v>281</v>
      </c>
      <c r="B49" s="163"/>
      <c r="C49" s="174">
        <f>C42</f>
        <v>1204000000</v>
      </c>
      <c r="D49" s="160"/>
      <c r="E49" s="179" t="s">
        <v>227</v>
      </c>
      <c r="F49" s="177">
        <v>15</v>
      </c>
      <c r="G49" s="161"/>
      <c r="H49" s="160"/>
      <c r="I49" s="160"/>
      <c r="J49" s="160"/>
      <c r="K49" s="160"/>
      <c r="L49" s="160"/>
    </row>
    <row r="50" spans="1:18" ht="16.5" customHeight="1">
      <c r="A50" s="163"/>
      <c r="B50" s="163"/>
      <c r="C50" s="174"/>
      <c r="D50" s="160"/>
      <c r="E50" s="179" t="s">
        <v>237</v>
      </c>
      <c r="F50" s="177">
        <v>12</v>
      </c>
      <c r="G50" s="161"/>
      <c r="H50" s="160"/>
      <c r="I50" s="160"/>
      <c r="J50" s="160"/>
      <c r="K50" s="160"/>
      <c r="L50" s="160"/>
    </row>
    <row r="51" spans="1:18" ht="16.5" customHeight="1">
      <c r="A51" s="163"/>
      <c r="B51" s="163"/>
      <c r="C51" s="163"/>
      <c r="D51" s="160"/>
      <c r="E51" s="179" t="s">
        <v>238</v>
      </c>
      <c r="F51" s="177">
        <v>10</v>
      </c>
      <c r="G51" s="161"/>
      <c r="H51" s="160"/>
      <c r="I51" s="160"/>
      <c r="J51" s="160"/>
      <c r="K51" s="160"/>
      <c r="L51" s="160"/>
    </row>
    <row r="52" spans="1:18" s="13" customFormat="1" ht="16.5" customHeight="1">
      <c r="A52" s="163"/>
      <c r="B52" s="163"/>
      <c r="C52" s="163"/>
      <c r="D52" s="160"/>
      <c r="E52" s="179" t="s">
        <v>239</v>
      </c>
      <c r="F52" s="177">
        <v>9</v>
      </c>
      <c r="G52" s="161"/>
      <c r="H52" s="160"/>
      <c r="I52" s="160"/>
      <c r="J52" s="160"/>
      <c r="K52" s="160"/>
      <c r="L52" s="160"/>
      <c r="M52" s="11"/>
      <c r="N52" s="11"/>
      <c r="O52" s="11"/>
      <c r="P52" s="11"/>
      <c r="Q52" s="11"/>
      <c r="R52" s="11"/>
    </row>
    <row r="53" spans="1:18" ht="16.5" customHeight="1">
      <c r="A53" s="160"/>
      <c r="B53" s="160"/>
      <c r="C53" s="160"/>
      <c r="D53" s="160"/>
      <c r="E53" s="160"/>
      <c r="F53" s="160"/>
      <c r="G53" s="161"/>
      <c r="H53" s="160"/>
      <c r="I53" s="160"/>
      <c r="J53" s="160"/>
      <c r="K53" s="160"/>
      <c r="L53" s="160"/>
      <c r="R53" s="13"/>
    </row>
    <row r="54" spans="1:18" ht="16.5" customHeight="1">
      <c r="A54" s="160"/>
      <c r="B54" s="160"/>
      <c r="C54" s="160"/>
      <c r="D54" s="162"/>
      <c r="E54" s="160"/>
      <c r="F54" s="160"/>
      <c r="G54" s="161"/>
      <c r="H54" s="160"/>
      <c r="I54" s="160"/>
      <c r="J54" s="160"/>
      <c r="K54" s="160"/>
      <c r="L54" s="160"/>
    </row>
    <row r="55" spans="1:18" ht="16.5" customHeight="1">
      <c r="A55" s="162" t="s">
        <v>240</v>
      </c>
      <c r="B55" s="162"/>
      <c r="C55" s="162"/>
      <c r="D55" s="160"/>
      <c r="E55" s="162"/>
      <c r="F55" s="162"/>
      <c r="G55" s="175"/>
      <c r="H55" s="162"/>
      <c r="I55" s="162"/>
      <c r="J55" s="162"/>
      <c r="K55" s="162"/>
      <c r="L55" s="162"/>
      <c r="M55" s="13"/>
      <c r="N55" s="13"/>
      <c r="O55" s="13"/>
      <c r="P55" s="13"/>
      <c r="Q55" s="13"/>
    </row>
    <row r="56" spans="1:18" ht="16.5" customHeight="1">
      <c r="A56" s="163" t="s">
        <v>283</v>
      </c>
      <c r="B56" s="163"/>
      <c r="C56" s="163"/>
      <c r="D56" s="160"/>
      <c r="E56" s="164" t="s">
        <v>208</v>
      </c>
      <c r="F56" s="164" t="s">
        <v>236</v>
      </c>
      <c r="G56" s="161"/>
      <c r="H56" s="160"/>
      <c r="I56" s="160"/>
      <c r="J56" s="160"/>
      <c r="K56" s="160"/>
      <c r="L56" s="160"/>
    </row>
    <row r="57" spans="1:18" ht="16.5" customHeight="1">
      <c r="A57" s="166" t="s">
        <v>274</v>
      </c>
      <c r="B57" s="166" t="s">
        <v>241</v>
      </c>
      <c r="C57" s="184"/>
      <c r="D57" s="160"/>
      <c r="E57" s="168" t="s">
        <v>214</v>
      </c>
      <c r="F57" s="168"/>
      <c r="G57" s="161"/>
      <c r="H57" s="160"/>
      <c r="I57" s="160"/>
      <c r="J57" s="160"/>
      <c r="K57" s="160"/>
      <c r="L57" s="160"/>
    </row>
    <row r="58" spans="1:18" ht="16.5" customHeight="1">
      <c r="A58" s="166" t="s">
        <v>242</v>
      </c>
      <c r="B58" s="166" t="s">
        <v>213</v>
      </c>
      <c r="C58" s="167">
        <f>(IF($C$61&lt;5000000000,$F$59,IF($C$61&lt;10000000000,$F$60,IF($C$61&lt;30000000000,$F$61,$F$62))))</f>
        <v>8.1000000000000003E-2</v>
      </c>
      <c r="D58" s="160"/>
      <c r="E58" s="179"/>
      <c r="F58" s="177"/>
      <c r="G58" s="185"/>
      <c r="H58" s="160"/>
      <c r="I58" s="160"/>
      <c r="J58" s="160"/>
      <c r="K58" s="160"/>
      <c r="L58" s="160"/>
    </row>
    <row r="59" spans="1:18" ht="16.5" customHeight="1">
      <c r="A59" s="163" t="s">
        <v>243</v>
      </c>
      <c r="B59" s="163" t="s">
        <v>244</v>
      </c>
      <c r="C59" s="186">
        <f>(IF($C$61&lt;5000000000,$F$59,IF($C$61&lt;10000000000,$F$60,IF($C$61&lt;30000000000,$F$61,$F$62))))</f>
        <v>8.1000000000000003E-2</v>
      </c>
      <c r="D59" s="160"/>
      <c r="E59" s="179" t="s">
        <v>227</v>
      </c>
      <c r="F59" s="177">
        <v>8.1000000000000003E-2</v>
      </c>
      <c r="G59" s="161"/>
      <c r="H59" s="160"/>
      <c r="I59" s="160"/>
      <c r="J59" s="160"/>
      <c r="K59" s="160"/>
      <c r="L59" s="160"/>
    </row>
    <row r="60" spans="1:18" ht="16.5" customHeight="1">
      <c r="A60" s="163" t="s">
        <v>243</v>
      </c>
      <c r="B60" s="163" t="s">
        <v>213</v>
      </c>
      <c r="C60" s="186">
        <f>(IF($C$61&lt;5000000000,$F$59,IF($C$61&lt;10000000000,$F$60,IF($C$61&lt;30000000000,$F$61,$F$62))))</f>
        <v>8.1000000000000003E-2</v>
      </c>
      <c r="D60" s="160"/>
      <c r="E60" s="179" t="s">
        <v>245</v>
      </c>
      <c r="F60" s="177">
        <v>0.08</v>
      </c>
      <c r="G60" s="161"/>
      <c r="H60" s="160"/>
      <c r="I60" s="160"/>
      <c r="J60" s="160"/>
      <c r="K60" s="160"/>
      <c r="L60" s="160"/>
    </row>
    <row r="61" spans="1:18" ht="16.5" customHeight="1">
      <c r="A61" s="163" t="s">
        <v>281</v>
      </c>
      <c r="B61" s="163"/>
      <c r="C61" s="174">
        <f>C49</f>
        <v>1204000000</v>
      </c>
      <c r="D61" s="160"/>
      <c r="E61" s="179" t="s">
        <v>237</v>
      </c>
      <c r="F61" s="177">
        <v>7.4999999999999997E-2</v>
      </c>
      <c r="G61" s="161"/>
      <c r="H61" s="160"/>
      <c r="I61" s="160"/>
      <c r="J61" s="160"/>
      <c r="K61" s="160"/>
      <c r="L61" s="160"/>
    </row>
    <row r="62" spans="1:18" ht="16.5" customHeight="1">
      <c r="A62" s="163" t="s">
        <v>246</v>
      </c>
      <c r="B62" s="163"/>
      <c r="C62" s="174">
        <f>C61*1.1</f>
        <v>1324400000</v>
      </c>
      <c r="D62" s="160"/>
      <c r="E62" s="179" t="s">
        <v>247</v>
      </c>
      <c r="F62" s="177">
        <v>6.8000000000000005E-2</v>
      </c>
      <c r="G62" s="161"/>
      <c r="H62" s="160"/>
      <c r="I62" s="160"/>
      <c r="J62" s="160"/>
      <c r="K62" s="160"/>
      <c r="L62" s="160"/>
    </row>
    <row r="63" spans="1:18" ht="16.5" customHeight="1">
      <c r="A63" s="163" t="s">
        <v>248</v>
      </c>
      <c r="B63" s="163"/>
      <c r="C63" s="174"/>
      <c r="D63" s="160"/>
      <c r="E63" s="178"/>
      <c r="F63" s="177"/>
      <c r="G63" s="161"/>
      <c r="H63" s="160"/>
      <c r="I63" s="160"/>
      <c r="J63" s="160"/>
      <c r="K63" s="160"/>
      <c r="L63" s="160"/>
    </row>
    <row r="64" spans="1:18" s="13" customFormat="1" ht="16.5" customHeight="1">
      <c r="A64" s="187" t="s">
        <v>249</v>
      </c>
      <c r="B64" s="187"/>
      <c r="C64" s="174"/>
      <c r="D64" s="160"/>
      <c r="E64" s="160"/>
      <c r="F64" s="160"/>
      <c r="G64" s="161"/>
      <c r="H64" s="160"/>
      <c r="I64" s="160"/>
      <c r="J64" s="160"/>
      <c r="K64" s="160"/>
      <c r="L64" s="160"/>
      <c r="M64" s="11"/>
      <c r="N64" s="11"/>
      <c r="O64" s="11"/>
      <c r="P64" s="11"/>
      <c r="Q64" s="11"/>
      <c r="R64" s="11"/>
    </row>
    <row r="65" spans="1:18" ht="16.5" customHeight="1">
      <c r="A65" s="163"/>
      <c r="B65" s="163"/>
      <c r="C65" s="163"/>
      <c r="D65" s="160"/>
      <c r="E65" s="160"/>
      <c r="F65" s="160"/>
      <c r="G65" s="161"/>
      <c r="H65" s="160"/>
      <c r="I65" s="160"/>
      <c r="J65" s="160"/>
      <c r="K65" s="160"/>
      <c r="L65" s="160"/>
      <c r="R65" s="13"/>
    </row>
    <row r="66" spans="1:18" ht="16.5" customHeight="1">
      <c r="A66" s="160"/>
      <c r="B66" s="160"/>
      <c r="C66" s="160"/>
      <c r="D66" s="162"/>
      <c r="E66" s="160"/>
      <c r="F66" s="160"/>
      <c r="G66" s="161"/>
      <c r="H66" s="160"/>
      <c r="I66" s="160"/>
      <c r="J66" s="160"/>
      <c r="K66" s="160"/>
      <c r="L66" s="160"/>
    </row>
    <row r="67" spans="1:18" ht="16.5" customHeight="1">
      <c r="A67" s="162" t="s">
        <v>250</v>
      </c>
      <c r="B67" s="162"/>
      <c r="C67" s="162"/>
      <c r="D67" s="160"/>
      <c r="E67" s="162"/>
      <c r="F67" s="162"/>
      <c r="G67" s="175"/>
      <c r="H67" s="162"/>
      <c r="I67" s="162"/>
      <c r="J67" s="162"/>
      <c r="K67" s="162"/>
      <c r="L67" s="162"/>
      <c r="M67" s="13"/>
      <c r="N67" s="13"/>
      <c r="O67" s="13"/>
      <c r="P67" s="13"/>
      <c r="Q67" s="13"/>
    </row>
    <row r="68" spans="1:18" ht="16.5" customHeight="1">
      <c r="A68" s="163" t="s">
        <v>282</v>
      </c>
      <c r="B68" s="163"/>
      <c r="C68" s="163"/>
      <c r="D68" s="160"/>
      <c r="E68" s="164" t="s">
        <v>208</v>
      </c>
      <c r="F68" s="164" t="s">
        <v>236</v>
      </c>
      <c r="G68" s="161"/>
      <c r="H68" s="160"/>
      <c r="I68" s="160"/>
      <c r="J68" s="160"/>
      <c r="K68" s="160"/>
      <c r="L68" s="160"/>
    </row>
    <row r="69" spans="1:18" ht="16.5" customHeight="1">
      <c r="A69" s="166" t="s">
        <v>274</v>
      </c>
      <c r="B69" s="166"/>
      <c r="C69" s="167">
        <f>(IF(C70&lt;13000000000,F70,IF(C70&lt;21000000000,F71,IF(C70&lt;34000000000,F72,IF(C70&lt;52000000000,F73,IF(C70&lt;80000000000,F74,IF(C70&lt;120000000000,F75,IF(C70&gt;=120000000000,F76))))))))</f>
        <v>1.01</v>
      </c>
      <c r="D69" s="160"/>
      <c r="E69" s="168" t="s">
        <v>214</v>
      </c>
      <c r="F69" s="163"/>
      <c r="G69" s="161"/>
      <c r="H69" s="160"/>
      <c r="I69" s="160"/>
      <c r="J69" s="160"/>
      <c r="K69" s="160"/>
      <c r="L69" s="160"/>
    </row>
    <row r="70" spans="1:18" ht="16.5" customHeight="1">
      <c r="A70" s="163" t="s">
        <v>279</v>
      </c>
      <c r="B70" s="163"/>
      <c r="C70" s="174">
        <f>'원가계산서 (총괄-참고용)'!J54</f>
        <v>1764801000</v>
      </c>
      <c r="D70" s="160"/>
      <c r="E70" s="183" t="s">
        <v>251</v>
      </c>
      <c r="F70" s="188">
        <v>1.01</v>
      </c>
      <c r="G70" s="161"/>
      <c r="H70" s="160"/>
      <c r="I70" s="160"/>
      <c r="J70" s="160"/>
      <c r="K70" s="160"/>
      <c r="L70" s="160"/>
    </row>
    <row r="71" spans="1:18" ht="16.5" customHeight="1">
      <c r="A71" s="163" t="s">
        <v>252</v>
      </c>
      <c r="B71" s="163"/>
      <c r="C71" s="174">
        <f>C70</f>
        <v>1764801000</v>
      </c>
      <c r="D71" s="160"/>
      <c r="E71" s="182" t="s">
        <v>433</v>
      </c>
      <c r="F71" s="177">
        <v>1.02</v>
      </c>
      <c r="G71" s="161"/>
      <c r="H71" s="160"/>
      <c r="I71" s="160"/>
      <c r="J71" s="160"/>
      <c r="K71" s="160"/>
      <c r="L71" s="160"/>
    </row>
    <row r="72" spans="1:18" ht="16.5" customHeight="1">
      <c r="A72" s="163" t="s">
        <v>253</v>
      </c>
      <c r="B72" s="163"/>
      <c r="C72" s="174"/>
      <c r="D72" s="160"/>
      <c r="E72" s="182" t="s">
        <v>434</v>
      </c>
      <c r="F72" s="177">
        <v>1.03</v>
      </c>
      <c r="G72" s="161"/>
      <c r="H72" s="160"/>
      <c r="I72" s="160"/>
      <c r="J72" s="160"/>
      <c r="K72" s="160"/>
      <c r="L72" s="160"/>
    </row>
    <row r="73" spans="1:18" ht="16.5" customHeight="1">
      <c r="A73" s="163" t="s">
        <v>254</v>
      </c>
      <c r="B73" s="163"/>
      <c r="C73" s="174" t="str">
        <f>IF(C69=F76,"1등급",IF(C69=F75,"2등급",IF(C69=F74,"3등급",IF(C69=F73,"4등급",IF(C69=F72,"5등급",IF(C69=F71,"6등급","7등급이하"))))))</f>
        <v>7등급이하</v>
      </c>
      <c r="D73" s="160"/>
      <c r="E73" s="182" t="s">
        <v>435</v>
      </c>
      <c r="F73" s="177">
        <v>1.06</v>
      </c>
      <c r="G73" s="161"/>
      <c r="H73" s="160"/>
      <c r="I73" s="160"/>
      <c r="J73" s="160"/>
      <c r="K73" s="160"/>
      <c r="L73" s="160"/>
    </row>
    <row r="74" spans="1:18" ht="16.5" customHeight="1">
      <c r="A74" s="163"/>
      <c r="B74" s="163"/>
      <c r="C74" s="163"/>
      <c r="D74" s="160"/>
      <c r="E74" s="182" t="s">
        <v>436</v>
      </c>
      <c r="F74" s="177">
        <v>1.1299999999999999</v>
      </c>
      <c r="G74" s="161"/>
      <c r="H74" s="160"/>
      <c r="I74" s="160"/>
      <c r="J74" s="160"/>
      <c r="K74" s="160"/>
      <c r="L74" s="160"/>
    </row>
    <row r="75" spans="1:18" ht="16.5" customHeight="1">
      <c r="A75" s="163"/>
      <c r="B75" s="163"/>
      <c r="C75" s="163"/>
      <c r="D75" s="160"/>
      <c r="E75" s="182" t="s">
        <v>437</v>
      </c>
      <c r="F75" s="177">
        <v>1.3</v>
      </c>
      <c r="G75" s="161"/>
      <c r="H75" s="160"/>
      <c r="I75" s="160"/>
      <c r="J75" s="160"/>
      <c r="K75" s="160"/>
      <c r="L75" s="160"/>
    </row>
    <row r="76" spans="1:18" s="13" customFormat="1" ht="16.5" customHeight="1">
      <c r="A76" s="160"/>
      <c r="B76" s="160"/>
      <c r="C76" s="160"/>
      <c r="D76" s="160"/>
      <c r="E76" s="182" t="s">
        <v>29</v>
      </c>
      <c r="F76" s="177">
        <v>1.57</v>
      </c>
      <c r="G76" s="161"/>
      <c r="H76" s="160"/>
      <c r="I76" s="160"/>
      <c r="J76" s="160"/>
      <c r="K76" s="160"/>
      <c r="L76" s="160"/>
      <c r="M76" s="11"/>
      <c r="N76" s="11"/>
      <c r="O76" s="11"/>
      <c r="P76" s="11"/>
      <c r="Q76" s="11"/>
      <c r="R76" s="11"/>
    </row>
    <row r="77" spans="1:18" ht="16.5" customHeight="1">
      <c r="A77" s="160"/>
      <c r="B77" s="160"/>
      <c r="C77" s="160"/>
      <c r="D77" s="160"/>
      <c r="E77" s="189" t="s">
        <v>306</v>
      </c>
      <c r="F77" s="160"/>
      <c r="G77" s="161"/>
      <c r="H77" s="160"/>
      <c r="I77" s="160"/>
      <c r="J77" s="160"/>
      <c r="K77" s="160"/>
      <c r="L77" s="160"/>
      <c r="R77" s="13"/>
    </row>
    <row r="78" spans="1:18" ht="16.5" customHeight="1">
      <c r="A78" s="160"/>
      <c r="B78" s="160"/>
      <c r="C78" s="160"/>
      <c r="D78" s="162"/>
      <c r="E78" s="189"/>
      <c r="F78" s="160"/>
      <c r="G78" s="161"/>
      <c r="H78" s="160"/>
      <c r="I78" s="160"/>
      <c r="J78" s="160"/>
      <c r="K78" s="160"/>
      <c r="L78" s="160"/>
    </row>
    <row r="79" spans="1:18" ht="16.5" customHeight="1">
      <c r="A79" s="162" t="s">
        <v>255</v>
      </c>
      <c r="B79" s="162"/>
      <c r="C79" s="162"/>
      <c r="D79" s="160"/>
      <c r="E79" s="189"/>
      <c r="F79" s="160"/>
      <c r="G79" s="175"/>
      <c r="H79" s="162"/>
      <c r="I79" s="162"/>
      <c r="J79" s="162"/>
      <c r="K79" s="162"/>
      <c r="L79" s="162"/>
      <c r="M79" s="13"/>
      <c r="N79" s="13"/>
      <c r="O79" s="13"/>
      <c r="P79" s="13"/>
      <c r="Q79" s="13"/>
    </row>
    <row r="80" spans="1:18" ht="16.5" customHeight="1">
      <c r="A80" s="163" t="s">
        <v>284</v>
      </c>
      <c r="B80" s="163"/>
      <c r="C80" s="163"/>
      <c r="D80" s="160"/>
      <c r="E80" s="164" t="s">
        <v>208</v>
      </c>
      <c r="F80" s="164" t="s">
        <v>236</v>
      </c>
      <c r="G80" s="161"/>
      <c r="H80" s="160"/>
      <c r="I80" s="160"/>
      <c r="J80" s="160"/>
      <c r="K80" s="160"/>
      <c r="L80" s="160"/>
    </row>
    <row r="81" spans="1:18" ht="16.5" customHeight="1">
      <c r="A81" s="166" t="s">
        <v>274</v>
      </c>
      <c r="B81" s="166"/>
      <c r="C81" s="167">
        <f>(IF(C82&lt;100000000,F82,F83))</f>
        <v>2.2999999999999998</v>
      </c>
      <c r="D81" s="160"/>
      <c r="E81" s="168" t="s">
        <v>214</v>
      </c>
      <c r="F81" s="168"/>
      <c r="G81" s="161"/>
      <c r="H81" s="160"/>
      <c r="I81" s="160"/>
      <c r="J81" s="160"/>
      <c r="K81" s="160"/>
      <c r="L81" s="160"/>
    </row>
    <row r="82" spans="1:18" ht="16.5" customHeight="1">
      <c r="A82" s="163" t="s">
        <v>372</v>
      </c>
      <c r="B82" s="163"/>
      <c r="C82" s="174">
        <f>C71</f>
        <v>1764801000</v>
      </c>
      <c r="D82" s="160"/>
      <c r="E82" s="179" t="s">
        <v>256</v>
      </c>
      <c r="F82" s="177">
        <v>0</v>
      </c>
      <c r="G82" s="161"/>
      <c r="H82" s="160"/>
      <c r="I82" s="160"/>
      <c r="J82" s="160"/>
      <c r="K82" s="160"/>
      <c r="L82" s="160"/>
    </row>
    <row r="83" spans="1:18" s="13" customFormat="1" ht="16.5" customHeight="1">
      <c r="A83" s="163" t="s">
        <v>371</v>
      </c>
      <c r="B83" s="163"/>
      <c r="C83" s="174"/>
      <c r="D83" s="160"/>
      <c r="E83" s="179" t="s">
        <v>257</v>
      </c>
      <c r="F83" s="177">
        <v>2.2999999999999998</v>
      </c>
      <c r="G83" s="161"/>
      <c r="H83" s="160"/>
      <c r="I83" s="160"/>
      <c r="J83" s="160"/>
      <c r="K83" s="160"/>
      <c r="L83" s="160"/>
      <c r="M83" s="11"/>
      <c r="N83" s="11"/>
      <c r="O83" s="11"/>
      <c r="P83" s="11"/>
      <c r="Q83" s="11"/>
      <c r="R83" s="11"/>
    </row>
    <row r="84" spans="1:18" ht="16.5" customHeight="1">
      <c r="A84" s="160"/>
      <c r="B84" s="160"/>
      <c r="C84" s="160"/>
      <c r="D84" s="160"/>
      <c r="E84" s="160"/>
      <c r="F84" s="190"/>
      <c r="G84" s="161"/>
      <c r="H84" s="160"/>
      <c r="I84" s="160"/>
      <c r="J84" s="160"/>
      <c r="K84" s="160"/>
      <c r="L84" s="160"/>
      <c r="R84" s="13"/>
    </row>
    <row r="85" spans="1:18" ht="16.5" customHeight="1">
      <c r="A85" s="160"/>
      <c r="B85" s="160"/>
      <c r="C85" s="160"/>
      <c r="D85" s="162"/>
      <c r="E85" s="160"/>
      <c r="F85" s="190"/>
      <c r="G85" s="161"/>
      <c r="H85" s="160"/>
      <c r="I85" s="160"/>
      <c r="J85" s="160"/>
      <c r="K85" s="160"/>
      <c r="L85" s="160"/>
    </row>
    <row r="86" spans="1:18" ht="16.5" customHeight="1">
      <c r="A86" s="162" t="s">
        <v>529</v>
      </c>
      <c r="B86" s="162"/>
      <c r="C86" s="162"/>
      <c r="D86" s="160"/>
      <c r="E86" s="162"/>
      <c r="F86" s="191"/>
      <c r="G86" s="175"/>
      <c r="H86" s="162"/>
      <c r="I86" s="162"/>
      <c r="J86" s="162"/>
      <c r="K86" s="162"/>
      <c r="L86" s="162"/>
      <c r="M86" s="13"/>
      <c r="N86" s="13"/>
      <c r="O86" s="13"/>
      <c r="P86" s="13"/>
      <c r="Q86" s="13"/>
    </row>
    <row r="87" spans="1:18" ht="16.5" customHeight="1">
      <c r="A87" s="163" t="s">
        <v>284</v>
      </c>
      <c r="B87" s="163"/>
      <c r="C87" s="163"/>
      <c r="D87" s="160"/>
      <c r="E87" s="164" t="s">
        <v>208</v>
      </c>
      <c r="F87" s="164" t="s">
        <v>236</v>
      </c>
      <c r="G87" s="161"/>
      <c r="H87" s="160"/>
      <c r="I87" s="160"/>
      <c r="J87" s="160"/>
      <c r="K87" s="160"/>
      <c r="L87" s="160"/>
    </row>
    <row r="88" spans="1:18" ht="16.5" customHeight="1">
      <c r="A88" s="166" t="s">
        <v>274</v>
      </c>
      <c r="B88" s="166"/>
      <c r="C88" s="167">
        <f>IF($C$10&gt;30,F90,F89)</f>
        <v>4.75</v>
      </c>
      <c r="D88" s="160"/>
      <c r="E88" s="168" t="s">
        <v>214</v>
      </c>
      <c r="F88" s="168"/>
      <c r="G88" s="161"/>
      <c r="H88" s="160"/>
      <c r="I88" s="160"/>
      <c r="J88" s="160"/>
      <c r="K88" s="160"/>
      <c r="L88" s="160"/>
    </row>
    <row r="89" spans="1:18" ht="16.5" customHeight="1">
      <c r="A89" s="163" t="s">
        <v>285</v>
      </c>
      <c r="B89" s="163"/>
      <c r="C89" s="174"/>
      <c r="D89" s="160"/>
      <c r="E89" s="179" t="s">
        <v>30</v>
      </c>
      <c r="F89" s="177">
        <v>0</v>
      </c>
      <c r="G89" s="161"/>
      <c r="H89" s="160"/>
      <c r="I89" s="160"/>
      <c r="J89" s="160"/>
      <c r="K89" s="160"/>
      <c r="L89" s="160"/>
    </row>
    <row r="90" spans="1:18" s="13" customFormat="1" ht="16.5" customHeight="1">
      <c r="A90" s="163" t="s">
        <v>258</v>
      </c>
      <c r="B90" s="163"/>
      <c r="C90" s="174"/>
      <c r="D90" s="160"/>
      <c r="E90" s="179"/>
      <c r="F90" s="177">
        <v>4.75</v>
      </c>
      <c r="G90" s="161"/>
      <c r="H90" s="160"/>
      <c r="I90" s="160"/>
      <c r="J90" s="160"/>
      <c r="K90" s="160"/>
      <c r="L90" s="160"/>
      <c r="M90" s="11"/>
      <c r="N90" s="11"/>
      <c r="O90" s="11"/>
      <c r="P90" s="11"/>
      <c r="Q90" s="11"/>
      <c r="R90" s="11"/>
    </row>
    <row r="91" spans="1:18" ht="16.5" customHeight="1">
      <c r="A91" s="160"/>
      <c r="B91" s="160"/>
      <c r="C91" s="160"/>
      <c r="D91" s="160"/>
      <c r="E91" s="160"/>
      <c r="F91" s="190"/>
      <c r="G91" s="161"/>
      <c r="H91" s="160"/>
      <c r="I91" s="160"/>
      <c r="J91" s="160"/>
      <c r="K91" s="160"/>
      <c r="L91" s="160"/>
      <c r="R91" s="13"/>
    </row>
    <row r="92" spans="1:18" ht="16.5" customHeight="1">
      <c r="A92" s="160"/>
      <c r="B92" s="160"/>
      <c r="C92" s="160"/>
      <c r="D92" s="162"/>
      <c r="E92" s="160"/>
      <c r="F92" s="190"/>
      <c r="G92" s="161"/>
      <c r="H92" s="160"/>
      <c r="I92" s="160"/>
      <c r="J92" s="160"/>
      <c r="K92" s="160"/>
      <c r="L92" s="160"/>
    </row>
    <row r="93" spans="1:18" ht="16.5" customHeight="1">
      <c r="A93" s="162" t="s">
        <v>259</v>
      </c>
      <c r="B93" s="162"/>
      <c r="C93" s="162"/>
      <c r="D93" s="160"/>
      <c r="E93" s="162"/>
      <c r="F93" s="191"/>
      <c r="G93" s="175"/>
      <c r="H93" s="162"/>
      <c r="I93" s="162"/>
      <c r="J93" s="162"/>
      <c r="K93" s="162"/>
      <c r="L93" s="162"/>
      <c r="M93" s="13"/>
      <c r="N93" s="13"/>
      <c r="O93" s="13"/>
      <c r="P93" s="13"/>
      <c r="Q93" s="13"/>
    </row>
    <row r="94" spans="1:18" ht="16.5" customHeight="1">
      <c r="A94" s="163" t="s">
        <v>284</v>
      </c>
      <c r="B94" s="163"/>
      <c r="C94" s="163"/>
      <c r="D94" s="160"/>
      <c r="E94" s="164" t="s">
        <v>208</v>
      </c>
      <c r="F94" s="164" t="s">
        <v>236</v>
      </c>
      <c r="G94" s="161"/>
      <c r="H94" s="160"/>
      <c r="I94" s="160"/>
      <c r="J94" s="160"/>
      <c r="K94" s="160"/>
      <c r="L94" s="160"/>
    </row>
    <row r="95" spans="1:18" ht="16.5" customHeight="1">
      <c r="A95" s="166" t="s">
        <v>274</v>
      </c>
      <c r="B95" s="166"/>
      <c r="C95" s="167">
        <f>IF($C$10&gt;30,F97,F96)</f>
        <v>3.5950000000000002</v>
      </c>
      <c r="D95" s="160"/>
      <c r="E95" s="168" t="s">
        <v>214</v>
      </c>
      <c r="F95" s="168"/>
      <c r="G95" s="161"/>
      <c r="H95" s="160"/>
      <c r="I95" s="160"/>
      <c r="J95" s="160"/>
      <c r="K95" s="160"/>
      <c r="L95" s="160"/>
    </row>
    <row r="96" spans="1:18" ht="16.5" customHeight="1">
      <c r="A96" s="163" t="s">
        <v>285</v>
      </c>
      <c r="B96" s="163"/>
      <c r="C96" s="174"/>
      <c r="D96" s="160"/>
      <c r="E96" s="179" t="s">
        <v>30</v>
      </c>
      <c r="F96" s="177">
        <v>0</v>
      </c>
      <c r="G96" s="161"/>
      <c r="H96" s="160"/>
      <c r="I96" s="160"/>
      <c r="J96" s="160"/>
      <c r="K96" s="160"/>
      <c r="L96" s="160"/>
    </row>
    <row r="97" spans="1:18" s="13" customFormat="1" ht="16.5" customHeight="1">
      <c r="A97" s="163" t="s">
        <v>258</v>
      </c>
      <c r="B97" s="163"/>
      <c r="C97" s="174"/>
      <c r="D97" s="160"/>
      <c r="E97" s="179"/>
      <c r="F97" s="177">
        <v>3.5950000000000002</v>
      </c>
      <c r="G97" s="161"/>
      <c r="H97" s="160"/>
      <c r="I97" s="160"/>
      <c r="J97" s="160"/>
      <c r="K97" s="160"/>
      <c r="L97" s="160"/>
      <c r="M97" s="11"/>
      <c r="N97" s="11"/>
      <c r="O97" s="11"/>
      <c r="P97" s="11"/>
      <c r="Q97" s="11"/>
      <c r="R97" s="11"/>
    </row>
    <row r="98" spans="1:18" ht="16.5" customHeight="1">
      <c r="A98" s="160"/>
      <c r="B98" s="160"/>
      <c r="C98" s="160"/>
      <c r="D98" s="160"/>
      <c r="E98" s="160"/>
      <c r="F98" s="190"/>
      <c r="G98" s="161"/>
      <c r="H98" s="160"/>
      <c r="I98" s="160"/>
      <c r="J98" s="160"/>
      <c r="K98" s="160"/>
      <c r="L98" s="160"/>
      <c r="R98" s="13"/>
    </row>
    <row r="99" spans="1:18" ht="16.5" customHeight="1">
      <c r="A99" s="160"/>
      <c r="B99" s="160"/>
      <c r="C99" s="160"/>
      <c r="D99" s="162"/>
      <c r="E99" s="160"/>
      <c r="F99" s="190"/>
      <c r="G99" s="161"/>
      <c r="H99" s="160"/>
      <c r="I99" s="160"/>
      <c r="J99" s="160"/>
      <c r="K99" s="160"/>
      <c r="L99" s="160"/>
    </row>
    <row r="100" spans="1:18" ht="16.5" customHeight="1">
      <c r="A100" s="162" t="s">
        <v>260</v>
      </c>
      <c r="B100" s="162"/>
      <c r="C100" s="162"/>
      <c r="D100" s="160"/>
      <c r="E100" s="162"/>
      <c r="F100" s="191"/>
      <c r="G100" s="175"/>
      <c r="H100" s="162"/>
      <c r="I100" s="162"/>
      <c r="J100" s="162"/>
      <c r="K100" s="162"/>
      <c r="L100" s="162"/>
      <c r="M100" s="13"/>
      <c r="N100" s="13"/>
      <c r="O100" s="13"/>
      <c r="P100" s="13"/>
      <c r="Q100" s="13"/>
    </row>
    <row r="101" spans="1:18" ht="16.5" customHeight="1">
      <c r="A101" s="163" t="s">
        <v>286</v>
      </c>
      <c r="B101" s="163"/>
      <c r="C101" s="163"/>
      <c r="D101" s="160"/>
      <c r="E101" s="164" t="s">
        <v>208</v>
      </c>
      <c r="F101" s="164" t="s">
        <v>236</v>
      </c>
      <c r="G101" s="161"/>
      <c r="H101" s="160"/>
      <c r="I101" s="160"/>
      <c r="J101" s="160"/>
      <c r="K101" s="160"/>
      <c r="L101" s="160"/>
    </row>
    <row r="102" spans="1:18" ht="16.5" customHeight="1">
      <c r="A102" s="166" t="s">
        <v>274</v>
      </c>
      <c r="B102" s="166"/>
      <c r="C102" s="167">
        <f>IF($C$10&gt;30,F104,F103)</f>
        <v>13.14</v>
      </c>
      <c r="D102" s="160"/>
      <c r="E102" s="168" t="s">
        <v>214</v>
      </c>
      <c r="F102" s="168"/>
      <c r="G102" s="161"/>
      <c r="H102" s="160"/>
      <c r="I102" s="160"/>
      <c r="J102" s="160"/>
      <c r="K102" s="160"/>
      <c r="L102" s="160"/>
    </row>
    <row r="103" spans="1:18" ht="16.5" customHeight="1">
      <c r="A103" s="163" t="s">
        <v>285</v>
      </c>
      <c r="B103" s="163"/>
      <c r="C103" s="174"/>
      <c r="D103" s="160"/>
      <c r="E103" s="179" t="s">
        <v>30</v>
      </c>
      <c r="F103" s="177">
        <v>0</v>
      </c>
      <c r="G103" s="161"/>
      <c r="H103" s="160"/>
      <c r="I103" s="160"/>
      <c r="J103" s="160"/>
      <c r="K103" s="160"/>
      <c r="L103" s="160"/>
    </row>
    <row r="104" spans="1:18" ht="16.5" customHeight="1">
      <c r="A104" s="163" t="s">
        <v>258</v>
      </c>
      <c r="B104" s="163"/>
      <c r="C104" s="174"/>
      <c r="D104" s="160"/>
      <c r="E104" s="179"/>
      <c r="F104" s="177">
        <v>13.14</v>
      </c>
      <c r="G104" s="161"/>
      <c r="H104" s="160"/>
      <c r="I104" s="160"/>
      <c r="J104" s="160"/>
      <c r="K104" s="160"/>
      <c r="L104" s="160"/>
    </row>
    <row r="105" spans="1:18" ht="16.5" customHeight="1">
      <c r="A105" s="160"/>
      <c r="B105" s="160"/>
      <c r="C105" s="160"/>
      <c r="D105" s="160"/>
      <c r="E105" s="160"/>
      <c r="F105" s="160"/>
      <c r="G105" s="161"/>
      <c r="H105" s="160"/>
      <c r="I105" s="160"/>
      <c r="J105" s="160"/>
      <c r="K105" s="160"/>
      <c r="L105" s="160"/>
    </row>
    <row r="106" spans="1:18" ht="16.5" customHeight="1">
      <c r="A106" s="160"/>
      <c r="B106" s="160"/>
      <c r="C106" s="160"/>
      <c r="D106" s="160"/>
      <c r="E106" s="160"/>
      <c r="F106" s="160"/>
      <c r="G106" s="161"/>
      <c r="H106" s="160"/>
      <c r="I106" s="160"/>
      <c r="J106" s="160"/>
      <c r="K106" s="160"/>
      <c r="L106" s="160"/>
    </row>
    <row r="107" spans="1:18" ht="16.5" customHeight="1">
      <c r="A107" s="162" t="s">
        <v>261</v>
      </c>
      <c r="B107" s="162"/>
      <c r="C107" s="162"/>
      <c r="D107" s="160"/>
      <c r="E107" s="160"/>
      <c r="F107" s="160"/>
      <c r="G107" s="161"/>
      <c r="H107" s="160"/>
      <c r="I107" s="160"/>
      <c r="J107" s="160"/>
      <c r="K107" s="160"/>
      <c r="L107" s="160"/>
    </row>
    <row r="108" spans="1:18" ht="16.5" customHeight="1">
      <c r="A108" s="163" t="s">
        <v>287</v>
      </c>
      <c r="B108" s="163"/>
      <c r="C108" s="163"/>
      <c r="D108" s="160"/>
      <c r="E108" s="164" t="s">
        <v>208</v>
      </c>
      <c r="F108" s="164" t="s">
        <v>262</v>
      </c>
      <c r="G108" s="164" t="s">
        <v>263</v>
      </c>
      <c r="H108" s="164" t="s">
        <v>264</v>
      </c>
      <c r="I108" s="164" t="s">
        <v>265</v>
      </c>
      <c r="J108" s="160"/>
      <c r="K108" s="160"/>
      <c r="L108" s="160"/>
    </row>
    <row r="109" spans="1:18" ht="16.5" customHeight="1">
      <c r="A109" s="166" t="s">
        <v>274</v>
      </c>
      <c r="B109" s="166"/>
      <c r="C109" s="192">
        <f>(IF(C110&lt;7000000000,F109,IF(C110&lt;12000000000,F110,IF(C110&lt;25000000000,F111,IF(C110&lt;50000000000,F112,F113)))*'입력(숨기기하세요)'!B13))</f>
        <v>1.0800000000000001E-2</v>
      </c>
      <c r="D109" s="160"/>
      <c r="E109" s="178" t="s">
        <v>266</v>
      </c>
      <c r="F109" s="193">
        <v>1.0800000000000001E-2</v>
      </c>
      <c r="G109" s="180">
        <v>0</v>
      </c>
      <c r="H109" s="194">
        <f>INT((G109+($C$110)*F109%)*$C$112)</f>
        <v>0</v>
      </c>
      <c r="I109" s="195" t="str">
        <f>CONCATENATE("(",F109,"%)*",$C$112,"(년)")</f>
        <v>(0.0108%)*0(년)</v>
      </c>
      <c r="J109" s="160"/>
      <c r="K109" s="160"/>
      <c r="L109" s="160"/>
    </row>
    <row r="110" spans="1:18" ht="16.5" customHeight="1">
      <c r="A110" s="163" t="s">
        <v>288</v>
      </c>
      <c r="B110" s="163"/>
      <c r="C110" s="174">
        <f>('원가계산서 (총괄-참고용)'!J5+'원가계산서 (총괄-참고용)'!J9+'원가계산서 (총괄-참고용)'!J12+'원가계산서 (총괄-참고용)'!J21)*'입력(숨기기하세요)'!B13</f>
        <v>0</v>
      </c>
      <c r="D110" s="160"/>
      <c r="E110" s="178" t="s">
        <v>267</v>
      </c>
      <c r="F110" s="193">
        <v>7.0000000000000001E-3</v>
      </c>
      <c r="G110" s="180">
        <v>790000</v>
      </c>
      <c r="H110" s="194">
        <f>INT((G110+($C$110-7500000000)*F110%)*$C$112)</f>
        <v>0</v>
      </c>
      <c r="I110" s="195" t="str">
        <f>CONCATENATE("[79만원+(직접공사비-75억)*",F110,"%]*",$C$112,"(년)")</f>
        <v>[79만원+(직접공사비-75억)*0.007%]*0(년)</v>
      </c>
      <c r="J110" s="160"/>
      <c r="K110" s="160"/>
      <c r="L110" s="160"/>
    </row>
    <row r="111" spans="1:18" ht="16.5" customHeight="1">
      <c r="A111" s="163" t="s">
        <v>22</v>
      </c>
      <c r="B111" s="163"/>
      <c r="C111" s="174">
        <f>(IF(C110&lt;7000000000,G109,IF(C110&lt;12000000000,G110,IF(C110&lt;25000000000,G111,IF(C110&lt;50000000000,G112,G113)))*'입력(숨기기하세요)'!B13))</f>
        <v>0</v>
      </c>
      <c r="D111" s="160"/>
      <c r="E111" s="178" t="s">
        <v>268</v>
      </c>
      <c r="F111" s="193">
        <v>5.8999999999999999E-3</v>
      </c>
      <c r="G111" s="180">
        <v>1160000</v>
      </c>
      <c r="H111" s="194">
        <f>INT((G111+($C$110-13000000000)*F111%)*$C$112)</f>
        <v>0</v>
      </c>
      <c r="I111" s="195" t="str">
        <f>CONCATENATE("[116만원+(직접공사비-130억)*",F111,"%]*",$C$112,"(년)")</f>
        <v>[116만원+(직접공사비-130억)*0.0059%]*0(년)</v>
      </c>
      <c r="J111" s="160"/>
      <c r="K111" s="160"/>
      <c r="L111" s="160"/>
    </row>
    <row r="112" spans="1:18" ht="16.5" customHeight="1">
      <c r="A112" s="163" t="s">
        <v>269</v>
      </c>
      <c r="B112" s="163"/>
      <c r="C112" s="196">
        <f>ROUND(C10/365,1)*'입력(숨기기하세요)'!B13</f>
        <v>0</v>
      </c>
      <c r="D112" s="160"/>
      <c r="E112" s="178" t="s">
        <v>31</v>
      </c>
      <c r="F112" s="193">
        <v>4.7999999999999996E-3</v>
      </c>
      <c r="G112" s="180">
        <v>1860000</v>
      </c>
      <c r="H112" s="194">
        <f>INT((G112+($C$110-25000000000)*F112%)*$C$112)</f>
        <v>0</v>
      </c>
      <c r="I112" s="195" t="str">
        <f>CONCATENATE("[186만원+(직접공사비-250억)*",F112,"%]*",$C$112,"(년)")</f>
        <v>[186만원+(직접공사비-250억)*0.0048%]*0(년)</v>
      </c>
      <c r="J112" s="160"/>
      <c r="K112" s="160"/>
      <c r="L112" s="160"/>
    </row>
    <row r="113" spans="1:12" ht="16.5" customHeight="1">
      <c r="A113" s="163" t="s">
        <v>270</v>
      </c>
      <c r="B113" s="163"/>
      <c r="C113" s="174">
        <f>(IF(C110&lt;7000000000,H109,IF(C110&lt;12000000000,H110,IF(C110&lt;25000000000,H111,IF(C110&lt;50000000000,H112,H113)))*'입력(숨기기하세요)'!B13))</f>
        <v>0</v>
      </c>
      <c r="D113" s="160"/>
      <c r="E113" s="178" t="s">
        <v>271</v>
      </c>
      <c r="F113" s="193">
        <v>4.0000000000000001E-3</v>
      </c>
      <c r="G113" s="180">
        <v>3060000</v>
      </c>
      <c r="H113" s="194">
        <f>INT((G113+($C$110-50000000000)*F113%)*$C$112)</f>
        <v>0</v>
      </c>
      <c r="I113" s="195" t="str">
        <f>CONCATENATE("[306만원+(직접공사비-500억)*",F113,"%]*",$C$112,"(년)")</f>
        <v>[306만원+(직접공사비-500억)*0.004%]*0(년)</v>
      </c>
      <c r="J113" s="160"/>
      <c r="K113" s="160"/>
      <c r="L113" s="160"/>
    </row>
    <row r="114" spans="1:12" ht="16.5" customHeight="1">
      <c r="A114" s="163" t="s">
        <v>272</v>
      </c>
      <c r="B114" s="163"/>
      <c r="C114" s="170" t="str">
        <f>IF(C109=0,"",IF(C110&lt;7000000000,I109,IF(C110&lt;12000000000,I110,IF(C110&lt;25000000000,I111,IF(C110&lt;50000000000,I112,I113)))))</f>
        <v>(0.0108%)*0(년)</v>
      </c>
      <c r="D114" s="160"/>
      <c r="E114" s="160"/>
      <c r="F114" s="160"/>
      <c r="G114" s="161"/>
      <c r="H114" s="160"/>
      <c r="I114" s="160"/>
      <c r="J114" s="160"/>
      <c r="K114" s="160"/>
      <c r="L114" s="160"/>
    </row>
    <row r="115" spans="1:12" ht="16.5" customHeight="1">
      <c r="A115" s="197"/>
      <c r="B115" s="197"/>
      <c r="C115" s="198"/>
      <c r="D115" s="160"/>
      <c r="E115" s="160"/>
      <c r="F115" s="160"/>
      <c r="G115" s="161"/>
      <c r="H115" s="160"/>
      <c r="I115" s="160"/>
      <c r="J115" s="160"/>
      <c r="K115" s="160"/>
      <c r="L115" s="160"/>
    </row>
    <row r="116" spans="1:12" ht="16.5" customHeight="1">
      <c r="A116" s="197"/>
      <c r="B116" s="197"/>
      <c r="C116" s="198"/>
      <c r="D116" s="160"/>
      <c r="E116" s="160"/>
      <c r="F116" s="160"/>
      <c r="G116" s="161"/>
      <c r="H116" s="160"/>
      <c r="I116" s="160"/>
      <c r="J116" s="160"/>
      <c r="K116" s="160"/>
      <c r="L116" s="160"/>
    </row>
    <row r="117" spans="1:12" ht="16.5" customHeight="1">
      <c r="A117" s="160"/>
      <c r="B117" s="160"/>
      <c r="C117" s="160"/>
      <c r="D117" s="160"/>
      <c r="E117" s="160"/>
      <c r="F117" s="160"/>
      <c r="G117" s="161"/>
      <c r="H117" s="160"/>
      <c r="I117" s="160"/>
      <c r="J117" s="160"/>
      <c r="K117" s="160"/>
      <c r="L117" s="160"/>
    </row>
    <row r="118" spans="1:12" ht="16.5" customHeight="1">
      <c r="A118" s="162" t="s">
        <v>32</v>
      </c>
      <c r="B118" s="162"/>
      <c r="C118" s="162"/>
      <c r="D118" s="160"/>
      <c r="E118" s="160"/>
      <c r="F118" s="160"/>
      <c r="G118" s="161"/>
      <c r="H118" s="160"/>
      <c r="I118" s="160"/>
      <c r="J118" s="160"/>
      <c r="K118" s="160"/>
      <c r="L118" s="160"/>
    </row>
    <row r="119" spans="1:12">
      <c r="A119" s="163" t="s">
        <v>283</v>
      </c>
      <c r="B119" s="163"/>
      <c r="C119" s="163"/>
      <c r="D119" s="160"/>
      <c r="E119" s="160"/>
      <c r="F119" s="160"/>
      <c r="G119" s="161"/>
      <c r="H119" s="160"/>
      <c r="I119" s="160"/>
      <c r="J119" s="160"/>
      <c r="K119" s="160"/>
      <c r="L119" s="160"/>
    </row>
    <row r="120" spans="1:12">
      <c r="A120" s="166" t="s">
        <v>274</v>
      </c>
      <c r="B120" s="166"/>
      <c r="C120" s="167">
        <v>7.0000000000000007E-2</v>
      </c>
      <c r="D120" s="160"/>
      <c r="E120" s="160"/>
      <c r="F120" s="160"/>
      <c r="G120" s="161"/>
      <c r="H120" s="160"/>
      <c r="I120" s="160"/>
      <c r="J120" s="160"/>
      <c r="K120" s="160"/>
      <c r="L120" s="160"/>
    </row>
    <row r="121" spans="1:12">
      <c r="A121" s="160"/>
      <c r="B121" s="160"/>
      <c r="C121" s="160"/>
      <c r="D121" s="160"/>
      <c r="E121" s="160"/>
      <c r="F121" s="160"/>
      <c r="G121" s="161"/>
      <c r="H121" s="160"/>
      <c r="I121" s="160"/>
      <c r="J121" s="160"/>
      <c r="K121" s="160"/>
      <c r="L121" s="160"/>
    </row>
    <row r="122" spans="1:12">
      <c r="A122" s="160"/>
      <c r="B122" s="160"/>
      <c r="C122" s="160"/>
      <c r="E122" s="160"/>
      <c r="F122" s="160"/>
      <c r="G122" s="161"/>
      <c r="H122" s="160"/>
      <c r="I122" s="160"/>
      <c r="J122" s="160"/>
      <c r="K122" s="160"/>
      <c r="L122" s="160"/>
    </row>
  </sheetData>
  <sheetProtection formatCells="0" formatColumns="0" formatRows="0" insertColumns="0" insertRows="0" insertHyperlinks="0" deleteColumns="0" deleteRows="0" sort="0" autoFilter="0" pivotTables="0"/>
  <mergeCells count="8">
    <mergeCell ref="G42:H42"/>
    <mergeCell ref="G43:H43"/>
    <mergeCell ref="G44:H44"/>
    <mergeCell ref="F4:H4"/>
    <mergeCell ref="E38:I38"/>
    <mergeCell ref="G39:H39"/>
    <mergeCell ref="G40:H40"/>
    <mergeCell ref="G41:H41"/>
  </mergeCells>
  <phoneticPr fontId="3" type="noConversion"/>
  <pageMargins left="0.75" right="0.75" top="1" bottom="1" header="0.5" footer="0.5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7:M31"/>
  <sheetViews>
    <sheetView showZeros="0" view="pageBreakPreview" zoomScale="130" zoomScaleSheetLayoutView="130" workbookViewId="0">
      <selection activeCell="O7" sqref="O7"/>
    </sheetView>
  </sheetViews>
  <sheetFormatPr defaultRowHeight="13.5"/>
  <cols>
    <col min="1" max="16384" width="9" style="15"/>
  </cols>
  <sheetData>
    <row r="7" spans="1:13" s="16" customFormat="1" ht="39" customHeight="1">
      <c r="A7" s="485" t="s">
        <v>33</v>
      </c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</row>
    <row r="8" spans="1:13" ht="6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s="18" customFormat="1" ht="33" customHeight="1">
      <c r="A9" s="487" t="str">
        <f>'입력(숨기기하세요)'!A1</f>
        <v>공사명 : (가칭)둔촌동 중학교 도시형캠퍼스 신축공사(1차분/전체동)</v>
      </c>
      <c r="B9" s="487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</row>
    <row r="10" spans="1:13" ht="8.2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s="19" customFormat="1" ht="27.75" customHeight="1">
      <c r="A11" s="488" t="s">
        <v>34</v>
      </c>
      <c r="B11" s="488"/>
      <c r="C11" s="488"/>
      <c r="D11" s="488"/>
      <c r="E11" s="488"/>
      <c r="F11" s="488"/>
      <c r="G11" s="488"/>
      <c r="H11" s="488"/>
      <c r="I11" s="488"/>
      <c r="J11" s="488"/>
      <c r="K11" s="488"/>
      <c r="L11" s="488"/>
      <c r="M11" s="488"/>
    </row>
    <row r="12" spans="1:13" ht="19.5" customHeight="1">
      <c r="A12" s="489">
        <v>0</v>
      </c>
      <c r="B12" s="489"/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</row>
    <row r="17" spans="1:13">
      <c r="F17" s="20"/>
    </row>
    <row r="24" spans="1:13" s="26" customFormat="1" ht="27.95" customHeight="1">
      <c r="A24" s="21"/>
      <c r="B24" s="21"/>
      <c r="C24" s="21"/>
      <c r="D24" s="22"/>
      <c r="E24" s="23"/>
      <c r="F24" s="24"/>
      <c r="G24" s="25"/>
      <c r="H24" s="25"/>
      <c r="I24" s="25"/>
      <c r="J24" s="21"/>
      <c r="K24" s="21"/>
      <c r="L24" s="21"/>
      <c r="M24" s="21"/>
    </row>
    <row r="25" spans="1:13" s="26" customFormat="1" ht="27.95" customHeight="1">
      <c r="A25" s="21"/>
      <c r="B25" s="21"/>
      <c r="C25" s="21"/>
      <c r="D25" s="22"/>
      <c r="E25" s="23"/>
      <c r="F25" s="24"/>
      <c r="G25" s="25"/>
      <c r="H25" s="25"/>
      <c r="I25" s="25"/>
      <c r="J25" s="21"/>
      <c r="K25" s="21"/>
      <c r="L25" s="21"/>
      <c r="M25" s="21"/>
    </row>
    <row r="26" spans="1:13" s="26" customFormat="1" ht="27.95" customHeight="1">
      <c r="A26" s="21"/>
      <c r="B26" s="21"/>
      <c r="C26" s="21"/>
      <c r="D26" s="22"/>
      <c r="E26" s="23"/>
      <c r="F26" s="24"/>
      <c r="G26" s="25"/>
      <c r="H26" s="25"/>
      <c r="I26" s="25"/>
      <c r="J26" s="21"/>
      <c r="K26" s="21"/>
      <c r="L26" s="21"/>
      <c r="M26" s="21"/>
    </row>
    <row r="29" spans="1:13" ht="20.25" customHeight="1">
      <c r="C29" s="490"/>
      <c r="D29" s="490"/>
      <c r="E29" s="490"/>
      <c r="F29" s="490"/>
      <c r="G29" s="490"/>
    </row>
    <row r="30" spans="1:13" ht="20.25" customHeight="1">
      <c r="C30" s="484"/>
      <c r="D30" s="484"/>
      <c r="E30" s="484"/>
      <c r="F30" s="484"/>
      <c r="G30" s="484"/>
    </row>
    <row r="31" spans="1:13" ht="20.25" customHeight="1">
      <c r="C31" s="484"/>
      <c r="D31" s="484"/>
      <c r="E31" s="484"/>
      <c r="F31" s="484"/>
      <c r="G31" s="484"/>
    </row>
  </sheetData>
  <mergeCells count="7">
    <mergeCell ref="C31:G31"/>
    <mergeCell ref="A7:M7"/>
    <mergeCell ref="A9:M9"/>
    <mergeCell ref="A11:M11"/>
    <mergeCell ref="A12:M12"/>
    <mergeCell ref="C29:G29"/>
    <mergeCell ref="C30:G30"/>
  </mergeCells>
  <phoneticPr fontId="3" type="noConversion"/>
  <printOptions horizontalCentered="1" verticalCentered="1"/>
  <pageMargins left="0.59055118110236227" right="0.62992125984251968" top="0.98425196850393704" bottom="0.39370078740157483" header="0.51181102362204722" footer="0.51181102362204722"/>
  <pageSetup paperSize="9" orientation="landscape" horizontalDpi="360" verticalDpi="36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W61"/>
  <sheetViews>
    <sheetView view="pageBreakPreview" topLeftCell="B1" zoomScale="85" zoomScaleSheetLayoutView="85" workbookViewId="0">
      <pane xSplit="4" ySplit="4" topLeftCell="F5" activePane="bottomRight" state="frozen"/>
      <selection activeCell="B8" sqref="B8"/>
      <selection pane="topRight" activeCell="B8" sqref="B8"/>
      <selection pane="bottomLeft" activeCell="B8" sqref="B8"/>
      <selection pane="bottomRight" activeCell="D17" sqref="D17:E17"/>
    </sheetView>
  </sheetViews>
  <sheetFormatPr defaultRowHeight="15"/>
  <cols>
    <col min="1" max="1" width="0" style="10" hidden="1" customWidth="1"/>
    <col min="2" max="3" width="5.625" style="10" customWidth="1"/>
    <col min="4" max="4" width="15.625" style="10" customWidth="1"/>
    <col min="5" max="5" width="27.625" style="10" customWidth="1"/>
    <col min="6" max="9" width="14.875" style="10" customWidth="1"/>
    <col min="10" max="10" width="16.25" style="10" customWidth="1"/>
    <col min="11" max="13" width="14.625" style="10" customWidth="1"/>
    <col min="14" max="14" width="15.125" style="10" customWidth="1"/>
    <col min="15" max="15" width="13.625" style="10" customWidth="1"/>
    <col min="16" max="16" width="1" style="10" customWidth="1"/>
    <col min="17" max="17" width="18.5" style="10" customWidth="1"/>
    <col min="18" max="18" width="26.5" style="10" customWidth="1"/>
    <col min="19" max="19" width="28.625" style="10" customWidth="1"/>
    <col min="20" max="20" width="19.625" style="10" customWidth="1"/>
    <col min="21" max="21" width="9" style="10"/>
    <col min="22" max="22" width="13" style="10" customWidth="1"/>
    <col min="23" max="23" width="14" style="10" customWidth="1"/>
    <col min="24" max="16384" width="9" style="10"/>
  </cols>
  <sheetData>
    <row r="1" spans="1:23" ht="24" customHeight="1">
      <c r="B1" s="491" t="s">
        <v>543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</row>
    <row r="2" spans="1:23" ht="21.95" customHeight="1" thickBot="1">
      <c r="B2" s="27" t="str">
        <f>'입력(숨기기하세요)'!A1</f>
        <v>공사명 : (가칭)둔촌동 중학교 도시형캠퍼스 신축공사(1차분/전체동)</v>
      </c>
      <c r="C2" s="27"/>
      <c r="D2" s="27"/>
      <c r="E2" s="27"/>
      <c r="F2" s="27"/>
      <c r="G2" s="27"/>
      <c r="H2" s="27"/>
      <c r="I2" s="27"/>
      <c r="K2" s="27"/>
      <c r="L2" s="27"/>
      <c r="N2" s="28"/>
      <c r="P2" s="28"/>
      <c r="Q2" s="28"/>
      <c r="R2" s="29"/>
      <c r="S2" s="29" t="e">
        <f>CONCATENATE("금액 : ",T2,"원",W2)</f>
        <v>#REF!</v>
      </c>
      <c r="T2" s="10" t="e">
        <f>NUMBERSTRING(Q51,1)</f>
        <v>#REF!</v>
      </c>
      <c r="W2" s="30" t="e">
        <f>CONCATENATE("( \",FIXED(Q51,0)," )")</f>
        <v>#REF!</v>
      </c>
    </row>
    <row r="3" spans="1:23" ht="24.6" customHeight="1" thickTop="1">
      <c r="B3" s="492" t="s">
        <v>35</v>
      </c>
      <c r="C3" s="493"/>
      <c r="D3" s="493"/>
      <c r="E3" s="494"/>
      <c r="F3" s="498" t="s">
        <v>544</v>
      </c>
      <c r="G3" s="499"/>
      <c r="H3" s="499"/>
      <c r="I3" s="500"/>
      <c r="J3" s="501" t="s">
        <v>36</v>
      </c>
      <c r="K3" s="503" t="s">
        <v>545</v>
      </c>
      <c r="L3" s="504"/>
      <c r="M3" s="504"/>
      <c r="N3" s="501" t="s">
        <v>36</v>
      </c>
      <c r="O3" s="505" t="s">
        <v>473</v>
      </c>
      <c r="P3" s="31"/>
      <c r="Q3" s="507" t="s">
        <v>37</v>
      </c>
      <c r="R3" s="509" t="s">
        <v>38</v>
      </c>
      <c r="S3" s="511" t="s">
        <v>39</v>
      </c>
    </row>
    <row r="4" spans="1:23" ht="24.6" customHeight="1">
      <c r="B4" s="495"/>
      <c r="C4" s="496"/>
      <c r="D4" s="496"/>
      <c r="E4" s="497"/>
      <c r="F4" s="202" t="s">
        <v>40</v>
      </c>
      <c r="G4" s="202" t="s">
        <v>41</v>
      </c>
      <c r="H4" s="202" t="s">
        <v>42</v>
      </c>
      <c r="I4" s="203" t="s">
        <v>43</v>
      </c>
      <c r="J4" s="502"/>
      <c r="K4" s="204" t="s">
        <v>44</v>
      </c>
      <c r="L4" s="202" t="s">
        <v>45</v>
      </c>
      <c r="M4" s="202" t="s">
        <v>46</v>
      </c>
      <c r="N4" s="502"/>
      <c r="O4" s="506"/>
      <c r="P4" s="32"/>
      <c r="Q4" s="508"/>
      <c r="R4" s="510"/>
      <c r="S4" s="512"/>
    </row>
    <row r="5" spans="1:23" ht="24.6" customHeight="1">
      <c r="A5" s="33" t="s">
        <v>47</v>
      </c>
      <c r="B5" s="531" t="s">
        <v>48</v>
      </c>
      <c r="C5" s="536" t="s">
        <v>173</v>
      </c>
      <c r="D5" s="539" t="s">
        <v>49</v>
      </c>
      <c r="E5" s="540"/>
      <c r="F5" s="34">
        <f>'원가계산서 (건축-참고용)'!F4</f>
        <v>0</v>
      </c>
      <c r="G5" s="34">
        <f>'원가계산서 (토목-참고용)'!F4</f>
        <v>0</v>
      </c>
      <c r="H5" s="34"/>
      <c r="I5" s="35"/>
      <c r="J5" s="36">
        <f>SUM(F5:I5)</f>
        <v>0</v>
      </c>
      <c r="K5" s="37"/>
      <c r="L5" s="34"/>
      <c r="M5" s="34"/>
      <c r="N5" s="36">
        <f t="shared" ref="N5:N51" si="0">SUM(K5:M5)</f>
        <v>0</v>
      </c>
      <c r="O5" s="38"/>
      <c r="P5" s="39"/>
      <c r="Q5" s="40">
        <f>J5+N5+O5</f>
        <v>0</v>
      </c>
      <c r="R5" s="41"/>
      <c r="S5" s="42" t="s">
        <v>50</v>
      </c>
    </row>
    <row r="6" spans="1:23" ht="24.6" customHeight="1">
      <c r="A6" s="33" t="s">
        <v>51</v>
      </c>
      <c r="B6" s="532"/>
      <c r="C6" s="537"/>
      <c r="D6" s="527" t="s">
        <v>52</v>
      </c>
      <c r="E6" s="528"/>
      <c r="F6" s="43"/>
      <c r="G6" s="43"/>
      <c r="H6" s="43"/>
      <c r="I6" s="44"/>
      <c r="J6" s="45"/>
      <c r="K6" s="46"/>
      <c r="L6" s="43"/>
      <c r="M6" s="43"/>
      <c r="N6" s="45">
        <f t="shared" si="0"/>
        <v>0</v>
      </c>
      <c r="O6" s="47"/>
      <c r="P6" s="48"/>
      <c r="Q6" s="49">
        <f t="shared" ref="Q6:Q51" si="1">J6+N6+O6</f>
        <v>0</v>
      </c>
      <c r="R6" s="50"/>
      <c r="S6" s="51" t="s">
        <v>50</v>
      </c>
    </row>
    <row r="7" spans="1:23" ht="24.6" customHeight="1">
      <c r="A7" s="33" t="s">
        <v>53</v>
      </c>
      <c r="B7" s="532"/>
      <c r="C7" s="537"/>
      <c r="D7" s="527" t="s">
        <v>54</v>
      </c>
      <c r="E7" s="528"/>
      <c r="F7" s="43"/>
      <c r="G7" s="43"/>
      <c r="H7" s="43"/>
      <c r="I7" s="44"/>
      <c r="J7" s="45"/>
      <c r="K7" s="46"/>
      <c r="L7" s="43"/>
      <c r="M7" s="43"/>
      <c r="N7" s="45">
        <f t="shared" si="0"/>
        <v>0</v>
      </c>
      <c r="O7" s="47"/>
      <c r="P7" s="48"/>
      <c r="Q7" s="49">
        <f t="shared" si="1"/>
        <v>0</v>
      </c>
      <c r="R7" s="50"/>
      <c r="S7" s="51" t="s">
        <v>50</v>
      </c>
    </row>
    <row r="8" spans="1:23" ht="24.6" customHeight="1">
      <c r="A8" s="33" t="s">
        <v>55</v>
      </c>
      <c r="B8" s="532"/>
      <c r="C8" s="538"/>
      <c r="D8" s="519" t="s">
        <v>56</v>
      </c>
      <c r="E8" s="520"/>
      <c r="F8" s="52">
        <f t="shared" ref="F8:M8" si="2">TRUNC(F5+F6-F7, 0)</f>
        <v>0</v>
      </c>
      <c r="G8" s="52">
        <f t="shared" si="2"/>
        <v>0</v>
      </c>
      <c r="H8" s="52">
        <f t="shared" si="2"/>
        <v>0</v>
      </c>
      <c r="I8" s="53">
        <f t="shared" si="2"/>
        <v>0</v>
      </c>
      <c r="J8" s="54">
        <f t="shared" si="2"/>
        <v>0</v>
      </c>
      <c r="K8" s="55">
        <f t="shared" si="2"/>
        <v>0</v>
      </c>
      <c r="L8" s="52">
        <f t="shared" si="2"/>
        <v>0</v>
      </c>
      <c r="M8" s="52">
        <f t="shared" si="2"/>
        <v>0</v>
      </c>
      <c r="N8" s="54">
        <f t="shared" si="0"/>
        <v>0</v>
      </c>
      <c r="O8" s="56"/>
      <c r="P8" s="57"/>
      <c r="Q8" s="58">
        <f t="shared" si="1"/>
        <v>0</v>
      </c>
      <c r="R8" s="59"/>
      <c r="S8" s="60" t="s">
        <v>50</v>
      </c>
    </row>
    <row r="9" spans="1:23" ht="24.6" customHeight="1">
      <c r="A9" s="33" t="s">
        <v>57</v>
      </c>
      <c r="B9" s="532"/>
      <c r="C9" s="536" t="s">
        <v>147</v>
      </c>
      <c r="D9" s="539" t="s">
        <v>58</v>
      </c>
      <c r="E9" s="540"/>
      <c r="F9" s="34">
        <f>'원가계산서 (건축-참고용)'!F8</f>
        <v>0</v>
      </c>
      <c r="G9" s="34">
        <f>'원가계산서 (토목-참고용)'!F8</f>
        <v>0</v>
      </c>
      <c r="H9" s="34"/>
      <c r="I9" s="35"/>
      <c r="J9" s="36">
        <f t="shared" ref="J9:J10" si="3">SUM(F9:I9)</f>
        <v>0</v>
      </c>
      <c r="K9" s="37"/>
      <c r="L9" s="34"/>
      <c r="M9" s="34"/>
      <c r="N9" s="36">
        <f t="shared" si="0"/>
        <v>0</v>
      </c>
      <c r="O9" s="38"/>
      <c r="P9" s="39"/>
      <c r="Q9" s="40">
        <f t="shared" si="1"/>
        <v>0</v>
      </c>
      <c r="R9" s="41"/>
      <c r="S9" s="42"/>
    </row>
    <row r="10" spans="1:23" ht="24.6" customHeight="1">
      <c r="A10" s="33" t="s">
        <v>59</v>
      </c>
      <c r="B10" s="532"/>
      <c r="C10" s="537"/>
      <c r="D10" s="527" t="s">
        <v>60</v>
      </c>
      <c r="E10" s="528"/>
      <c r="F10" s="43">
        <f>'원가계산서 (건축-참고용)'!F9</f>
        <v>0</v>
      </c>
      <c r="G10" s="43">
        <f>'원가계산서 (토목-참고용)'!F9</f>
        <v>0</v>
      </c>
      <c r="H10" s="43"/>
      <c r="I10" s="44"/>
      <c r="J10" s="45">
        <f t="shared" si="3"/>
        <v>0</v>
      </c>
      <c r="K10" s="46"/>
      <c r="L10" s="43"/>
      <c r="M10" s="43"/>
      <c r="N10" s="45">
        <f t="shared" si="0"/>
        <v>0</v>
      </c>
      <c r="O10" s="47"/>
      <c r="P10" s="48"/>
      <c r="Q10" s="49">
        <f t="shared" si="1"/>
        <v>0</v>
      </c>
      <c r="R10" s="50" t="str">
        <f>'원가계산서 (건축-참고용)'!G9</f>
        <v>직접노무비 * 17.5%</v>
      </c>
      <c r="S10" s="51"/>
      <c r="T10" s="61"/>
    </row>
    <row r="11" spans="1:23" ht="24.6" customHeight="1">
      <c r="A11" s="33" t="s">
        <v>61</v>
      </c>
      <c r="B11" s="532"/>
      <c r="C11" s="538"/>
      <c r="D11" s="519" t="s">
        <v>56</v>
      </c>
      <c r="E11" s="520"/>
      <c r="F11" s="52">
        <f t="shared" ref="F11:M11" si="4">TRUNC(F9+F10, 0)</f>
        <v>0</v>
      </c>
      <c r="G11" s="52">
        <f t="shared" si="4"/>
        <v>0</v>
      </c>
      <c r="H11" s="52">
        <f t="shared" si="4"/>
        <v>0</v>
      </c>
      <c r="I11" s="53">
        <f t="shared" si="4"/>
        <v>0</v>
      </c>
      <c r="J11" s="54">
        <f t="shared" si="4"/>
        <v>0</v>
      </c>
      <c r="K11" s="55">
        <f t="shared" si="4"/>
        <v>0</v>
      </c>
      <c r="L11" s="52">
        <f t="shared" si="4"/>
        <v>0</v>
      </c>
      <c r="M11" s="52">
        <f t="shared" si="4"/>
        <v>0</v>
      </c>
      <c r="N11" s="54">
        <f t="shared" si="0"/>
        <v>0</v>
      </c>
      <c r="O11" s="56"/>
      <c r="P11" s="57"/>
      <c r="Q11" s="58">
        <f t="shared" si="1"/>
        <v>0</v>
      </c>
      <c r="R11" s="59"/>
      <c r="S11" s="60"/>
      <c r="T11" s="62"/>
    </row>
    <row r="12" spans="1:23" ht="24.6" customHeight="1">
      <c r="A12" s="33" t="s">
        <v>62</v>
      </c>
      <c r="B12" s="532"/>
      <c r="C12" s="523" t="s">
        <v>63</v>
      </c>
      <c r="D12" s="529" t="s">
        <v>296</v>
      </c>
      <c r="E12" s="530"/>
      <c r="F12" s="34">
        <f>'원가계산서 (건축-참고용)'!F11</f>
        <v>0</v>
      </c>
      <c r="G12" s="34">
        <f>'원가계산서 (토목-참고용)'!F11</f>
        <v>0</v>
      </c>
      <c r="H12" s="34"/>
      <c r="I12" s="35"/>
      <c r="J12" s="36">
        <f t="shared" ref="J12:J51" si="5">SUM(F12:I12)</f>
        <v>0</v>
      </c>
      <c r="K12" s="37"/>
      <c r="L12" s="34"/>
      <c r="M12" s="34"/>
      <c r="N12" s="36">
        <f t="shared" si="0"/>
        <v>0</v>
      </c>
      <c r="O12" s="38"/>
      <c r="P12" s="39"/>
      <c r="Q12" s="40">
        <f t="shared" si="1"/>
        <v>0</v>
      </c>
      <c r="R12" s="220"/>
      <c r="S12" s="240" t="str">
        <f>'원가계산서(금회발주분)'!H12</f>
        <v>기계경비,가설비,운반비,환경보전비(직접비),안전관리비(직접비)</v>
      </c>
      <c r="T12" s="62"/>
    </row>
    <row r="13" spans="1:23" ht="24.6" customHeight="1">
      <c r="A13" s="33" t="s">
        <v>64</v>
      </c>
      <c r="B13" s="532"/>
      <c r="C13" s="524"/>
      <c r="D13" s="527" t="s">
        <v>65</v>
      </c>
      <c r="E13" s="528"/>
      <c r="F13" s="43">
        <f>'원가계산서 (건축-참고용)'!F12</f>
        <v>0</v>
      </c>
      <c r="G13" s="43">
        <f>'원가계산서 (토목-참고용)'!F12</f>
        <v>0</v>
      </c>
      <c r="H13" s="43"/>
      <c r="I13" s="44"/>
      <c r="J13" s="45">
        <f t="shared" si="5"/>
        <v>0</v>
      </c>
      <c r="K13" s="46"/>
      <c r="L13" s="43"/>
      <c r="M13" s="43"/>
      <c r="N13" s="45">
        <f t="shared" si="0"/>
        <v>0</v>
      </c>
      <c r="O13" s="47"/>
      <c r="P13" s="48"/>
      <c r="Q13" s="49">
        <f t="shared" si="1"/>
        <v>0</v>
      </c>
      <c r="R13" s="50" t="str">
        <f>'원가계산서 (건축-참고용)'!G12</f>
        <v>노무비 * 3.56%</v>
      </c>
      <c r="S13" s="64"/>
      <c r="T13" s="65"/>
    </row>
    <row r="14" spans="1:23" ht="24.6" customHeight="1">
      <c r="A14" s="33" t="s">
        <v>66</v>
      </c>
      <c r="B14" s="532"/>
      <c r="C14" s="524"/>
      <c r="D14" s="527" t="s">
        <v>67</v>
      </c>
      <c r="E14" s="528"/>
      <c r="F14" s="43">
        <f>'원가계산서 (건축-참고용)'!F13</f>
        <v>0</v>
      </c>
      <c r="G14" s="43">
        <f>'원가계산서 (토목-참고용)'!F13</f>
        <v>0</v>
      </c>
      <c r="H14" s="43"/>
      <c r="I14" s="44"/>
      <c r="J14" s="45">
        <f t="shared" si="5"/>
        <v>0</v>
      </c>
      <c r="K14" s="46"/>
      <c r="L14" s="43"/>
      <c r="M14" s="43"/>
      <c r="N14" s="45">
        <f t="shared" si="0"/>
        <v>0</v>
      </c>
      <c r="O14" s="47"/>
      <c r="P14" s="48"/>
      <c r="Q14" s="49">
        <f t="shared" si="1"/>
        <v>0</v>
      </c>
      <c r="R14" s="50" t="str">
        <f>'원가계산서 (건축-참고용)'!G13</f>
        <v>노무비 * 1.01%</v>
      </c>
      <c r="S14" s="66" t="str">
        <f>'원가계산서(금회발주분)'!H14</f>
        <v>7등급이하</v>
      </c>
      <c r="T14" s="65"/>
    </row>
    <row r="15" spans="1:23" ht="24.6" customHeight="1">
      <c r="A15" s="33" t="s">
        <v>68</v>
      </c>
      <c r="B15" s="532"/>
      <c r="C15" s="524"/>
      <c r="D15" s="527" t="s">
        <v>69</v>
      </c>
      <c r="E15" s="528"/>
      <c r="F15" s="43">
        <f>'원가계산서 (건축-참고용)'!F14</f>
        <v>8415747</v>
      </c>
      <c r="G15" s="43">
        <f>'원가계산서 (토목-참고용)'!F15</f>
        <v>3375056</v>
      </c>
      <c r="H15" s="43"/>
      <c r="I15" s="44"/>
      <c r="J15" s="45">
        <f t="shared" si="5"/>
        <v>11790803</v>
      </c>
      <c r="K15" s="46"/>
      <c r="L15" s="43"/>
      <c r="M15" s="43"/>
      <c r="N15" s="45">
        <f t="shared" si="0"/>
        <v>0</v>
      </c>
      <c r="O15" s="47"/>
      <c r="P15" s="48"/>
      <c r="Q15" s="49">
        <f t="shared" si="1"/>
        <v>11790803</v>
      </c>
      <c r="R15" s="67" t="str">
        <f>'원가계산서 (건축-참고용)'!G14</f>
        <v>직접노무비 * 3.595%</v>
      </c>
      <c r="S15" s="64"/>
      <c r="T15" s="65"/>
    </row>
    <row r="16" spans="1:23" ht="24.6" customHeight="1">
      <c r="A16" s="33" t="s">
        <v>70</v>
      </c>
      <c r="B16" s="532"/>
      <c r="C16" s="524"/>
      <c r="D16" s="527" t="s">
        <v>71</v>
      </c>
      <c r="E16" s="528"/>
      <c r="F16" s="43">
        <f>'원가계산서 (건축-참고용)'!F15</f>
        <v>11119555</v>
      </c>
      <c r="G16" s="43" t="e">
        <f>'원가계산서 (토목-참고용)'!#REF!</f>
        <v>#REF!</v>
      </c>
      <c r="H16" s="43"/>
      <c r="I16" s="44"/>
      <c r="J16" s="45" t="e">
        <f t="shared" si="5"/>
        <v>#REF!</v>
      </c>
      <c r="K16" s="46"/>
      <c r="L16" s="43"/>
      <c r="M16" s="43"/>
      <c r="N16" s="45">
        <f t="shared" si="0"/>
        <v>0</v>
      </c>
      <c r="O16" s="47"/>
      <c r="P16" s="48"/>
      <c r="Q16" s="49" t="e">
        <f t="shared" si="1"/>
        <v>#REF!</v>
      </c>
      <c r="R16" s="67" t="str">
        <f>'원가계산서 (건축-참고용)'!G15</f>
        <v>직접노무비 * 4.75%</v>
      </c>
      <c r="S16" s="64"/>
      <c r="T16" s="65"/>
    </row>
    <row r="17" spans="1:22" ht="24.6" customHeight="1">
      <c r="A17" s="33" t="s">
        <v>72</v>
      </c>
      <c r="B17" s="532"/>
      <c r="C17" s="524"/>
      <c r="D17" s="527" t="s">
        <v>73</v>
      </c>
      <c r="E17" s="528"/>
      <c r="F17" s="43">
        <f>'원가계산서 (건축-참고용)'!F16</f>
        <v>1105829</v>
      </c>
      <c r="G17" s="43">
        <f>'원가계산서 (토목-참고용)'!F16</f>
        <v>335646</v>
      </c>
      <c r="H17" s="43"/>
      <c r="I17" s="44"/>
      <c r="J17" s="45">
        <f t="shared" si="5"/>
        <v>1441475</v>
      </c>
      <c r="K17" s="46"/>
      <c r="L17" s="43"/>
      <c r="M17" s="43"/>
      <c r="N17" s="45">
        <f t="shared" si="0"/>
        <v>0</v>
      </c>
      <c r="O17" s="47"/>
      <c r="P17" s="48"/>
      <c r="Q17" s="49">
        <f t="shared" si="1"/>
        <v>1441475</v>
      </c>
      <c r="R17" s="67" t="str">
        <f>'원가계산서 (건축-참고용)'!G16</f>
        <v>건강보험료 * 13.14%</v>
      </c>
      <c r="S17" s="64"/>
      <c r="T17" s="65"/>
    </row>
    <row r="18" spans="1:22" ht="24.6" customHeight="1">
      <c r="A18" s="33" t="s">
        <v>74</v>
      </c>
      <c r="B18" s="532"/>
      <c r="C18" s="524"/>
      <c r="D18" s="529" t="s">
        <v>319</v>
      </c>
      <c r="E18" s="528"/>
      <c r="F18" s="43">
        <f>'원가계산서 (건축-참고용)'!F17</f>
        <v>5384205</v>
      </c>
      <c r="G18" s="43">
        <f>'원가계산서 (토목-참고용)'!F17</f>
        <v>1634238</v>
      </c>
      <c r="H18" s="43"/>
      <c r="I18" s="44"/>
      <c r="J18" s="45">
        <f t="shared" si="5"/>
        <v>7018443</v>
      </c>
      <c r="K18" s="46"/>
      <c r="L18" s="43"/>
      <c r="M18" s="43"/>
      <c r="N18" s="45">
        <f t="shared" si="0"/>
        <v>0</v>
      </c>
      <c r="O18" s="47"/>
      <c r="P18" s="48"/>
      <c r="Q18" s="49">
        <f t="shared" si="1"/>
        <v>7018443</v>
      </c>
      <c r="R18" s="67" t="str">
        <f>'원가계산서 (건축-참고용)'!G17</f>
        <v>직접노무비 * 2.3%</v>
      </c>
      <c r="S18" s="64"/>
      <c r="T18" s="65"/>
    </row>
    <row r="19" spans="1:22" ht="24.6" customHeight="1">
      <c r="A19" s="33" t="s">
        <v>75</v>
      </c>
      <c r="B19" s="532"/>
      <c r="C19" s="524"/>
      <c r="D19" s="527" t="s">
        <v>76</v>
      </c>
      <c r="E19" s="528"/>
      <c r="F19" s="43">
        <f>'원가계산서 (건축-참고용)'!F18</f>
        <v>16613739</v>
      </c>
      <c r="G19" s="43">
        <f>'원가계산서 (토목-참고용)'!F18</f>
        <v>3013671</v>
      </c>
      <c r="H19" s="43"/>
      <c r="I19" s="44"/>
      <c r="J19" s="45">
        <f t="shared" si="5"/>
        <v>19627410</v>
      </c>
      <c r="K19" s="46"/>
      <c r="L19" s="43"/>
      <c r="M19" s="43"/>
      <c r="N19" s="45">
        <f t="shared" si="0"/>
        <v>0</v>
      </c>
      <c r="O19" s="47"/>
      <c r="P19" s="48"/>
      <c r="Q19" s="49">
        <f t="shared" si="1"/>
        <v>19627410</v>
      </c>
      <c r="R19" s="67" t="str">
        <f>'원가계산서 (건축-참고용)'!G18</f>
        <v>[(재료비+직노) * 2.28%]*1.2</v>
      </c>
      <c r="S19" s="152">
        <f>'원가계산서 (건축-참고용)'!H18</f>
        <v>4325000</v>
      </c>
      <c r="T19" s="70" t="e">
        <f>INT((J8+J9+'공종별집계표(분야별)'!K39/1.1)*'원가계산서 (건축-참고용)'!#REF!+'원가계산서 (건축-참고용)'!#REF!)</f>
        <v>#REF!</v>
      </c>
      <c r="U19" s="10" t="s">
        <v>304</v>
      </c>
      <c r="V19" s="71" t="e">
        <f>MIN(T19,T20)</f>
        <v>#REF!</v>
      </c>
    </row>
    <row r="20" spans="1:22" ht="24.6" customHeight="1">
      <c r="A20" s="33"/>
      <c r="B20" s="532"/>
      <c r="C20" s="524"/>
      <c r="D20" s="529" t="s">
        <v>414</v>
      </c>
      <c r="E20" s="528"/>
      <c r="F20" s="68">
        <f>'원가계산서 (건축-참고용)'!F19</f>
        <v>15000000</v>
      </c>
      <c r="G20" s="68">
        <f>'원가계산서 (토목-참고용)'!F19</f>
        <v>0</v>
      </c>
      <c r="H20" s="68"/>
      <c r="I20" s="217"/>
      <c r="J20" s="45">
        <f t="shared" ref="J20:J21" si="6">SUM(F20:I20)</f>
        <v>15000000</v>
      </c>
      <c r="K20" s="218"/>
      <c r="L20" s="68"/>
      <c r="M20" s="68"/>
      <c r="N20" s="45">
        <f t="shared" ref="N20:N21" si="7">SUM(K20:M20)</f>
        <v>0</v>
      </c>
      <c r="O20" s="219"/>
      <c r="P20" s="48"/>
      <c r="Q20" s="49">
        <f t="shared" ref="Q20:Q21" si="8">J20+N20+O20</f>
        <v>15000000</v>
      </c>
      <c r="R20" s="67"/>
      <c r="S20" s="69"/>
      <c r="T20" s="70" t="e">
        <f>INT(((J8+J9)*'원가계산서 (건축-참고용)'!#REF!+'원가계산서 (건축-참고용)'!#REF!)*1.2)</f>
        <v>#REF!</v>
      </c>
      <c r="U20" s="10" t="s">
        <v>305</v>
      </c>
      <c r="V20" s="71"/>
    </row>
    <row r="21" spans="1:22" ht="24.6" customHeight="1">
      <c r="A21" s="33"/>
      <c r="B21" s="532"/>
      <c r="C21" s="524"/>
      <c r="D21" s="529" t="s">
        <v>317</v>
      </c>
      <c r="E21" s="528"/>
      <c r="F21" s="68">
        <f>'원가계산서 (건축-참고용)'!F20</f>
        <v>26074542</v>
      </c>
      <c r="G21" s="68">
        <f>'원가계산서 (토목-참고용)'!F20</f>
        <v>0</v>
      </c>
      <c r="H21" s="68"/>
      <c r="I21" s="217"/>
      <c r="J21" s="45">
        <f t="shared" si="6"/>
        <v>26074542</v>
      </c>
      <c r="K21" s="218"/>
      <c r="L21" s="68"/>
      <c r="M21" s="68"/>
      <c r="N21" s="45">
        <f t="shared" si="7"/>
        <v>0</v>
      </c>
      <c r="O21" s="219"/>
      <c r="P21" s="48"/>
      <c r="Q21" s="49">
        <f t="shared" si="8"/>
        <v>26074542</v>
      </c>
      <c r="R21" s="213"/>
      <c r="S21" s="69" t="s">
        <v>362</v>
      </c>
      <c r="T21" s="70"/>
      <c r="V21" s="71"/>
    </row>
    <row r="22" spans="1:22" ht="24.6" customHeight="1">
      <c r="A22" s="33" t="s">
        <v>77</v>
      </c>
      <c r="B22" s="532"/>
      <c r="C22" s="524"/>
      <c r="D22" s="207" t="s">
        <v>298</v>
      </c>
      <c r="E22" s="147" t="s">
        <v>181</v>
      </c>
      <c r="F22" s="43">
        <f>'원가계산서 (건축-참고용)'!F21</f>
        <v>0</v>
      </c>
      <c r="G22" s="43">
        <f>'원가계산서 (토목-참고용)'!F21</f>
        <v>0</v>
      </c>
      <c r="H22" s="43"/>
      <c r="I22" s="44"/>
      <c r="J22" s="45">
        <f t="shared" si="5"/>
        <v>0</v>
      </c>
      <c r="K22" s="46"/>
      <c r="L22" s="43"/>
      <c r="M22" s="43"/>
      <c r="N22" s="45">
        <f t="shared" si="0"/>
        <v>0</v>
      </c>
      <c r="O22" s="47"/>
      <c r="P22" s="48"/>
      <c r="Q22" s="49">
        <f t="shared" si="1"/>
        <v>0</v>
      </c>
      <c r="R22" s="67" t="str">
        <f>'원가계산서 (건축-참고용)'!G21</f>
        <v>(재료비+직노+산출경비) * 0.5%</v>
      </c>
      <c r="S22" s="51"/>
      <c r="T22" s="65"/>
    </row>
    <row r="23" spans="1:22" ht="24.6" customHeight="1">
      <c r="A23" s="33" t="s">
        <v>78</v>
      </c>
      <c r="B23" s="532"/>
      <c r="C23" s="524"/>
      <c r="D23" s="527" t="s">
        <v>79</v>
      </c>
      <c r="E23" s="528"/>
      <c r="F23" s="43">
        <f>'원가계산서 (건축-참고용)'!F22</f>
        <v>0</v>
      </c>
      <c r="G23" s="43">
        <f>'원가계산서 (토목-참고용)'!F22</f>
        <v>0</v>
      </c>
      <c r="H23" s="43"/>
      <c r="I23" s="44"/>
      <c r="J23" s="45">
        <f t="shared" si="5"/>
        <v>0</v>
      </c>
      <c r="K23" s="46"/>
      <c r="L23" s="43"/>
      <c r="M23" s="43"/>
      <c r="N23" s="45">
        <f t="shared" si="0"/>
        <v>0</v>
      </c>
      <c r="O23" s="47"/>
      <c r="P23" s="48"/>
      <c r="Q23" s="49">
        <f t="shared" si="1"/>
        <v>0</v>
      </c>
      <c r="R23" s="67" t="str">
        <f>'원가계산서 (건축-참고용)'!G22</f>
        <v>(재료비+노무비) * 5%</v>
      </c>
      <c r="S23" s="51"/>
      <c r="T23" s="65"/>
    </row>
    <row r="24" spans="1:22" ht="24.6" customHeight="1">
      <c r="A24" s="33" t="s">
        <v>80</v>
      </c>
      <c r="B24" s="532"/>
      <c r="C24" s="524"/>
      <c r="D24" s="529" t="s">
        <v>12</v>
      </c>
      <c r="E24" s="528"/>
      <c r="F24" s="43">
        <f>'원가계산서 (건축-참고용)'!F23</f>
        <v>0</v>
      </c>
      <c r="G24" s="43">
        <f>'원가계산서 (토목-참고용)'!F23</f>
        <v>0</v>
      </c>
      <c r="H24" s="43"/>
      <c r="I24" s="44"/>
      <c r="J24" s="45">
        <f t="shared" ref="J24" si="9">SUM(F24:I24)</f>
        <v>0</v>
      </c>
      <c r="K24" s="46"/>
      <c r="L24" s="43"/>
      <c r="M24" s="43"/>
      <c r="N24" s="45">
        <f t="shared" si="0"/>
        <v>0</v>
      </c>
      <c r="O24" s="47"/>
      <c r="P24" s="48"/>
      <c r="Q24" s="49">
        <f t="shared" si="1"/>
        <v>0</v>
      </c>
      <c r="R24" s="67" t="str">
        <f>'원가계산서 (건축-참고용)'!G23</f>
        <v/>
      </c>
      <c r="S24" s="51"/>
      <c r="T24" s="65"/>
    </row>
    <row r="25" spans="1:22" ht="24.6" customHeight="1">
      <c r="A25" s="33" t="s">
        <v>80</v>
      </c>
      <c r="B25" s="532"/>
      <c r="C25" s="524"/>
      <c r="D25" s="527" t="s">
        <v>81</v>
      </c>
      <c r="E25" s="528"/>
      <c r="F25" s="43">
        <f>'원가계산서 (건축-참고용)'!F24</f>
        <v>0</v>
      </c>
      <c r="G25" s="43">
        <f>'원가계산서 (토목-참고용)'!F24</f>
        <v>0</v>
      </c>
      <c r="H25" s="43"/>
      <c r="I25" s="44"/>
      <c r="J25" s="45">
        <f t="shared" si="5"/>
        <v>0</v>
      </c>
      <c r="K25" s="46"/>
      <c r="L25" s="43"/>
      <c r="M25" s="43"/>
      <c r="N25" s="45">
        <f t="shared" si="0"/>
        <v>0</v>
      </c>
      <c r="O25" s="47"/>
      <c r="P25" s="48"/>
      <c r="Q25" s="49">
        <f t="shared" si="1"/>
        <v>0</v>
      </c>
      <c r="R25" s="67" t="str">
        <f>'원가계산서 (건축-참고용)'!G24</f>
        <v>(재료비+직노+산출경비) * 0.081%</v>
      </c>
      <c r="S25" s="51"/>
      <c r="T25" s="65"/>
    </row>
    <row r="26" spans="1:22" ht="24.6" customHeight="1">
      <c r="A26" s="33" t="s">
        <v>80</v>
      </c>
      <c r="B26" s="532"/>
      <c r="C26" s="524"/>
      <c r="D26" s="527" t="str">
        <f>'원가계산서 (건축-참고용)'!D25</f>
        <v>건설기계대여대금지급보증서발급수수료</v>
      </c>
      <c r="E26" s="528"/>
      <c r="F26" s="43">
        <f>'원가계산서 (건축-참고용)'!F25</f>
        <v>0</v>
      </c>
      <c r="G26" s="43">
        <f>'원가계산서 (토목-참고용)'!F25</f>
        <v>0</v>
      </c>
      <c r="H26" s="43"/>
      <c r="I26" s="44"/>
      <c r="J26" s="45">
        <f t="shared" si="5"/>
        <v>0</v>
      </c>
      <c r="K26" s="46"/>
      <c r="L26" s="43"/>
      <c r="M26" s="43"/>
      <c r="N26" s="45">
        <f t="shared" si="0"/>
        <v>0</v>
      </c>
      <c r="O26" s="47"/>
      <c r="P26" s="48"/>
      <c r="Q26" s="49">
        <f t="shared" si="1"/>
        <v>0</v>
      </c>
      <c r="R26" s="67" t="str">
        <f>'원가계산서 (건축-참고용)'!G25</f>
        <v>(재료비+직노+산출경비) * 0.07%</v>
      </c>
      <c r="S26" s="51"/>
      <c r="T26" s="62"/>
    </row>
    <row r="27" spans="1:22" ht="24.6" customHeight="1">
      <c r="A27" s="33"/>
      <c r="B27" s="532"/>
      <c r="C27" s="525"/>
      <c r="D27" s="527" t="str">
        <f>'원가계산서 (건축-참고용)'!D26</f>
        <v>석면분담금</v>
      </c>
      <c r="E27" s="528"/>
      <c r="F27" s="43">
        <f>'원가계산서 (건축-참고용)'!F26</f>
        <v>0</v>
      </c>
      <c r="G27" s="43">
        <f>'원가계산서 (토목-참고용)'!F26</f>
        <v>0</v>
      </c>
      <c r="H27" s="43"/>
      <c r="I27" s="44"/>
      <c r="J27" s="242"/>
      <c r="K27" s="46"/>
      <c r="L27" s="43"/>
      <c r="M27" s="43"/>
      <c r="N27" s="242"/>
      <c r="O27" s="243"/>
      <c r="P27" s="244"/>
      <c r="Q27" s="245"/>
      <c r="R27" s="246"/>
      <c r="S27" s="241"/>
      <c r="T27" s="62"/>
    </row>
    <row r="28" spans="1:22" ht="24.6" customHeight="1">
      <c r="A28" s="33"/>
      <c r="B28" s="532"/>
      <c r="C28" s="525"/>
      <c r="D28" s="527" t="str">
        <f>'원가계산서 (건축-참고용)'!D27</f>
        <v>임금채권부담금</v>
      </c>
      <c r="E28" s="528"/>
      <c r="F28" s="43">
        <f>'원가계산서 (건축-참고용)'!F27</f>
        <v>0</v>
      </c>
      <c r="G28" s="43">
        <f>'원가계산서 (토목-참고용)'!F27</f>
        <v>0</v>
      </c>
      <c r="H28" s="43"/>
      <c r="I28" s="44"/>
      <c r="J28" s="242"/>
      <c r="K28" s="46"/>
      <c r="L28" s="43"/>
      <c r="M28" s="43"/>
      <c r="N28" s="242"/>
      <c r="O28" s="243"/>
      <c r="P28" s="244"/>
      <c r="Q28" s="245"/>
      <c r="R28" s="246"/>
      <c r="S28" s="241"/>
      <c r="T28" s="62"/>
    </row>
    <row r="29" spans="1:22" ht="24.6" customHeight="1">
      <c r="A29" s="33" t="s">
        <v>82</v>
      </c>
      <c r="B29" s="532"/>
      <c r="C29" s="526"/>
      <c r="D29" s="519" t="s">
        <v>56</v>
      </c>
      <c r="E29" s="520"/>
      <c r="F29" s="52">
        <f>SUM(F12:F28)</f>
        <v>83713617</v>
      </c>
      <c r="G29" s="52" t="e">
        <f t="shared" ref="G29:I29" si="10">SUM(G12:G28)</f>
        <v>#REF!</v>
      </c>
      <c r="H29" s="52">
        <f t="shared" si="10"/>
        <v>0</v>
      </c>
      <c r="I29" s="53">
        <f t="shared" si="10"/>
        <v>0</v>
      </c>
      <c r="J29" s="54" t="e">
        <f t="shared" si="5"/>
        <v>#REF!</v>
      </c>
      <c r="K29" s="55">
        <f>SUM(K12:K28)</f>
        <v>0</v>
      </c>
      <c r="L29" s="52">
        <f>SUM(L12:L28)</f>
        <v>0</v>
      </c>
      <c r="M29" s="52">
        <f>SUM(M12:M28)</f>
        <v>0</v>
      </c>
      <c r="N29" s="54">
        <f t="shared" si="0"/>
        <v>0</v>
      </c>
      <c r="O29" s="56">
        <f>SUM(O12:O28)</f>
        <v>0</v>
      </c>
      <c r="P29" s="57"/>
      <c r="Q29" s="58" t="e">
        <f t="shared" si="1"/>
        <v>#REF!</v>
      </c>
      <c r="R29" s="59"/>
      <c r="S29" s="60"/>
      <c r="T29" s="62"/>
    </row>
    <row r="30" spans="1:22" ht="24.6" customHeight="1">
      <c r="A30" s="33" t="s">
        <v>83</v>
      </c>
      <c r="B30" s="533" t="s">
        <v>84</v>
      </c>
      <c r="C30" s="534"/>
      <c r="D30" s="535"/>
      <c r="E30" s="535"/>
      <c r="F30" s="72">
        <f>TRUNC(F8+F11+F29, 0)</f>
        <v>83713617</v>
      </c>
      <c r="G30" s="72" t="e">
        <f>TRUNC(G8+G11+G29, 0)</f>
        <v>#REF!</v>
      </c>
      <c r="H30" s="72">
        <f>TRUNC(H8+H11+H29, 0)</f>
        <v>0</v>
      </c>
      <c r="I30" s="73">
        <f>TRUNC(I8+I11+I29, 0)</f>
        <v>0</v>
      </c>
      <c r="J30" s="74" t="e">
        <f>SUM(F30:I30)</f>
        <v>#REF!</v>
      </c>
      <c r="K30" s="75">
        <f>TRUNC(K8+K11+K29, 0)</f>
        <v>0</v>
      </c>
      <c r="L30" s="72">
        <f>TRUNC(L8+L11+L29, 0)</f>
        <v>0</v>
      </c>
      <c r="M30" s="72">
        <f>TRUNC(M8+M11+M29, 0)</f>
        <v>0</v>
      </c>
      <c r="N30" s="74">
        <f t="shared" si="0"/>
        <v>0</v>
      </c>
      <c r="O30" s="76"/>
      <c r="P30" s="77"/>
      <c r="Q30" s="78" t="e">
        <f t="shared" si="1"/>
        <v>#REF!</v>
      </c>
      <c r="R30" s="79"/>
      <c r="S30" s="80"/>
      <c r="T30" s="65"/>
    </row>
    <row r="31" spans="1:22" ht="24.6" customHeight="1">
      <c r="A31" s="33" t="s">
        <v>85</v>
      </c>
      <c r="B31" s="513" t="s">
        <v>86</v>
      </c>
      <c r="C31" s="513"/>
      <c r="D31" s="518"/>
      <c r="E31" s="518"/>
      <c r="F31" s="72">
        <f>'원가계산서 (건축-참고용)'!F30</f>
        <v>0</v>
      </c>
      <c r="G31" s="72">
        <f>'원가계산서 (토목-참고용)'!F30</f>
        <v>0</v>
      </c>
      <c r="H31" s="72"/>
      <c r="I31" s="73"/>
      <c r="J31" s="74">
        <f t="shared" si="5"/>
        <v>0</v>
      </c>
      <c r="K31" s="75"/>
      <c r="L31" s="72"/>
      <c r="M31" s="72"/>
      <c r="N31" s="74">
        <f t="shared" si="0"/>
        <v>0</v>
      </c>
      <c r="O31" s="76"/>
      <c r="P31" s="77"/>
      <c r="Q31" s="78">
        <f t="shared" si="1"/>
        <v>0</v>
      </c>
      <c r="R31" s="81" t="str">
        <f>'원가계산서 (건축-참고용)'!G30</f>
        <v>공사원가계 * 8%</v>
      </c>
      <c r="S31" s="80"/>
      <c r="T31" s="65"/>
    </row>
    <row r="32" spans="1:22" ht="24.6" customHeight="1">
      <c r="A32" s="33" t="s">
        <v>87</v>
      </c>
      <c r="B32" s="513" t="s">
        <v>88</v>
      </c>
      <c r="C32" s="513"/>
      <c r="D32" s="518"/>
      <c r="E32" s="518"/>
      <c r="F32" s="72">
        <f>'원가계산서 (건축-참고용)'!F31</f>
        <v>0</v>
      </c>
      <c r="G32" s="72">
        <f>'원가계산서 (토목-참고용)'!F31</f>
        <v>0</v>
      </c>
      <c r="H32" s="72"/>
      <c r="I32" s="73"/>
      <c r="J32" s="74">
        <f t="shared" si="5"/>
        <v>0</v>
      </c>
      <c r="K32" s="82"/>
      <c r="L32" s="72"/>
      <c r="M32" s="72"/>
      <c r="N32" s="74">
        <f t="shared" si="0"/>
        <v>0</v>
      </c>
      <c r="O32" s="76"/>
      <c r="P32" s="77"/>
      <c r="Q32" s="78">
        <f t="shared" si="1"/>
        <v>0</v>
      </c>
      <c r="R32" s="81" t="str">
        <f>'원가계산서 (건축-참고용)'!G31</f>
        <v>(노무비+경비+일반관리비) * 15%</v>
      </c>
      <c r="S32" s="83"/>
      <c r="T32" s="65"/>
    </row>
    <row r="33" spans="1:20" s="273" customFormat="1" ht="24.6" hidden="1" customHeight="1">
      <c r="A33" s="269" t="s">
        <v>87</v>
      </c>
      <c r="B33" s="517" t="str">
        <f>'원가계산서 (건축-참고용)'!B32:E32</f>
        <v>기술사용료</v>
      </c>
      <c r="C33" s="517"/>
      <c r="D33" s="521"/>
      <c r="E33" s="521"/>
      <c r="F33" s="274">
        <f>'원가계산서 (건축-참고용)'!F32</f>
        <v>0</v>
      </c>
      <c r="G33" s="274"/>
      <c r="H33" s="274"/>
      <c r="I33" s="275"/>
      <c r="J33" s="276">
        <f t="shared" ref="J33" si="11">SUM(F33:I33)</f>
        <v>0</v>
      </c>
      <c r="K33" s="277"/>
      <c r="L33" s="274"/>
      <c r="M33" s="274"/>
      <c r="N33" s="276">
        <f t="shared" ref="N33" si="12">SUM(K33:M33)</f>
        <v>0</v>
      </c>
      <c r="O33" s="278"/>
      <c r="P33" s="279"/>
      <c r="Q33" s="280">
        <f t="shared" si="1"/>
        <v>0</v>
      </c>
      <c r="R33" s="281"/>
      <c r="S33" s="272"/>
      <c r="T33" s="282"/>
    </row>
    <row r="34" spans="1:20" s="273" customFormat="1" ht="24.6" hidden="1" customHeight="1">
      <c r="A34" s="269" t="s">
        <v>87</v>
      </c>
      <c r="B34" s="517" t="str">
        <f>'원가계산서 (건축-참고용)'!B33:E33</f>
        <v>고용개선지원비</v>
      </c>
      <c r="C34" s="517"/>
      <c r="D34" s="521"/>
      <c r="E34" s="521"/>
      <c r="F34" s="274">
        <f>'원가계산서 (건축-참고용)'!F33</f>
        <v>0</v>
      </c>
      <c r="G34" s="274"/>
      <c r="H34" s="274"/>
      <c r="I34" s="275"/>
      <c r="J34" s="276">
        <f t="shared" ref="J34" si="13">SUM(F34:I34)</f>
        <v>0</v>
      </c>
      <c r="K34" s="277"/>
      <c r="L34" s="274"/>
      <c r="M34" s="274"/>
      <c r="N34" s="276">
        <f t="shared" si="0"/>
        <v>0</v>
      </c>
      <c r="O34" s="278"/>
      <c r="P34" s="279"/>
      <c r="Q34" s="280">
        <f t="shared" ref="Q34" si="14">J34+N34+O34</f>
        <v>0</v>
      </c>
      <c r="R34" s="281"/>
      <c r="S34" s="272"/>
      <c r="T34" s="282"/>
    </row>
    <row r="35" spans="1:20" ht="24.6" customHeight="1">
      <c r="A35" s="33" t="s">
        <v>87</v>
      </c>
      <c r="B35" s="515" t="str">
        <f>'원가계산서 (건축-참고용)'!B34:E34</f>
        <v>PS항목(미확정설계공종)</v>
      </c>
      <c r="C35" s="515"/>
      <c r="D35" s="522"/>
      <c r="E35" s="522"/>
      <c r="F35" s="85">
        <f>'원가계산서 (건축-참고용)'!F34</f>
        <v>0</v>
      </c>
      <c r="G35" s="85">
        <f>'원가계산서 (토목-참고용)'!F32</f>
        <v>0</v>
      </c>
      <c r="H35" s="85"/>
      <c r="I35" s="142"/>
      <c r="J35" s="74">
        <f t="shared" ref="J35" si="15">SUM(F35:I35)</f>
        <v>0</v>
      </c>
      <c r="K35" s="87"/>
      <c r="L35" s="85"/>
      <c r="M35" s="85"/>
      <c r="N35" s="74">
        <f t="shared" ref="N35" si="16">SUM(K35:M35)</f>
        <v>0</v>
      </c>
      <c r="O35" s="88"/>
      <c r="P35" s="77"/>
      <c r="Q35" s="78">
        <f t="shared" si="1"/>
        <v>0</v>
      </c>
      <c r="R35" s="81"/>
      <c r="S35" s="83"/>
      <c r="T35" s="65"/>
    </row>
    <row r="36" spans="1:20" ht="24.6" customHeight="1">
      <c r="A36" s="33"/>
      <c r="B36" s="515" t="s">
        <v>464</v>
      </c>
      <c r="C36" s="515"/>
      <c r="D36" s="515"/>
      <c r="E36" s="515"/>
      <c r="F36" s="85"/>
      <c r="G36" s="85"/>
      <c r="H36" s="85"/>
      <c r="I36" s="86"/>
      <c r="J36" s="74">
        <f>SUM(F36:I36)</f>
        <v>0</v>
      </c>
      <c r="K36" s="87"/>
      <c r="L36" s="85"/>
      <c r="M36" s="85"/>
      <c r="N36" s="74">
        <f>SUM(K36:M36)</f>
        <v>0</v>
      </c>
      <c r="O36" s="88"/>
      <c r="P36" s="77"/>
      <c r="Q36" s="78">
        <f>J36+N36+O36</f>
        <v>0</v>
      </c>
      <c r="R36" s="89"/>
      <c r="S36" s="83"/>
      <c r="T36" s="62"/>
    </row>
    <row r="37" spans="1:20" ht="24.6" customHeight="1">
      <c r="A37" s="33"/>
      <c r="B37" s="514" t="s">
        <v>168</v>
      </c>
      <c r="C37" s="515"/>
      <c r="D37" s="515"/>
      <c r="E37" s="515"/>
      <c r="F37" s="85"/>
      <c r="G37" s="85"/>
      <c r="H37" s="85"/>
      <c r="I37" s="86"/>
      <c r="J37" s="74">
        <f t="shared" si="5"/>
        <v>0</v>
      </c>
      <c r="K37" s="87"/>
      <c r="L37" s="85"/>
      <c r="M37" s="85"/>
      <c r="N37" s="74">
        <f t="shared" si="0"/>
        <v>0</v>
      </c>
      <c r="O37" s="88"/>
      <c r="P37" s="77"/>
      <c r="Q37" s="78">
        <f t="shared" si="1"/>
        <v>0</v>
      </c>
      <c r="R37" s="89"/>
      <c r="S37" s="83"/>
      <c r="T37" s="84"/>
    </row>
    <row r="38" spans="1:20" ht="24.6" customHeight="1">
      <c r="A38" s="33" t="s">
        <v>89</v>
      </c>
      <c r="B38" s="513" t="s">
        <v>90</v>
      </c>
      <c r="C38" s="513"/>
      <c r="D38" s="518"/>
      <c r="E38" s="518"/>
      <c r="F38" s="72">
        <f>INT(SUM(F30:F37))</f>
        <v>83713617</v>
      </c>
      <c r="G38" s="72" t="e">
        <f>INT(SUM(G30:G37))</f>
        <v>#REF!</v>
      </c>
      <c r="H38" s="72">
        <f>INT(SUM(H30:H37))</f>
        <v>0</v>
      </c>
      <c r="I38" s="73">
        <f>INT(SUM(I30:I37))</f>
        <v>0</v>
      </c>
      <c r="J38" s="74" t="e">
        <f t="shared" si="5"/>
        <v>#REF!</v>
      </c>
      <c r="K38" s="82">
        <f>INT(SUM(K30:K37))</f>
        <v>0</v>
      </c>
      <c r="L38" s="72">
        <f>INT(SUM(L30:L37))</f>
        <v>0</v>
      </c>
      <c r="M38" s="72">
        <f>INT(SUM(M30:M37))</f>
        <v>0</v>
      </c>
      <c r="N38" s="74">
        <f t="shared" si="0"/>
        <v>0</v>
      </c>
      <c r="O38" s="76">
        <f>INT(SUM(O30:O37))</f>
        <v>0</v>
      </c>
      <c r="P38" s="77"/>
      <c r="Q38" s="78" t="e">
        <f t="shared" si="1"/>
        <v>#REF!</v>
      </c>
      <c r="R38" s="89"/>
      <c r="S38" s="80" t="s">
        <v>50</v>
      </c>
      <c r="T38" s="65"/>
    </row>
    <row r="39" spans="1:20" ht="24.6" customHeight="1">
      <c r="A39" s="33"/>
      <c r="B39" s="515" t="str">
        <f>'원가계산서(금회발주분)'!B38:E38</f>
        <v>공사손해보험</v>
      </c>
      <c r="C39" s="515"/>
      <c r="D39" s="522"/>
      <c r="E39" s="522"/>
      <c r="F39" s="85">
        <f>'원가계산서(금회발주분)'!F38</f>
        <v>0</v>
      </c>
      <c r="G39" s="85"/>
      <c r="H39" s="85"/>
      <c r="I39" s="86"/>
      <c r="J39" s="74">
        <f t="shared" si="5"/>
        <v>0</v>
      </c>
      <c r="K39" s="82"/>
      <c r="L39" s="72"/>
      <c r="M39" s="72"/>
      <c r="N39" s="74">
        <f t="shared" si="0"/>
        <v>0</v>
      </c>
      <c r="O39" s="76"/>
      <c r="P39" s="77"/>
      <c r="Q39" s="78">
        <f t="shared" si="1"/>
        <v>0</v>
      </c>
      <c r="R39" s="89"/>
      <c r="S39" s="80"/>
      <c r="T39" s="65"/>
    </row>
    <row r="40" spans="1:20" ht="24.6" hidden="1" customHeight="1">
      <c r="A40" s="33"/>
      <c r="B40" s="515" t="e">
        <f>#REF!</f>
        <v>#REF!</v>
      </c>
      <c r="C40" s="515"/>
      <c r="D40" s="522"/>
      <c r="E40" s="522"/>
      <c r="F40" s="85"/>
      <c r="G40" s="85"/>
      <c r="H40" s="85"/>
      <c r="I40" s="86"/>
      <c r="J40" s="74"/>
      <c r="K40" s="82"/>
      <c r="L40" s="72"/>
      <c r="M40" s="72"/>
      <c r="N40" s="74">
        <f t="shared" si="0"/>
        <v>0</v>
      </c>
      <c r="O40" s="76"/>
      <c r="P40" s="77"/>
      <c r="Q40" s="78">
        <f t="shared" si="1"/>
        <v>0</v>
      </c>
      <c r="R40" s="89"/>
      <c r="S40" s="80"/>
      <c r="T40" s="65"/>
    </row>
    <row r="41" spans="1:20" s="273" customFormat="1" ht="24.6" hidden="1" customHeight="1">
      <c r="A41" s="269" t="s">
        <v>87</v>
      </c>
      <c r="B41" s="517" t="str">
        <f>'원가계산서 (건축-참고용)'!B37:E37</f>
        <v>고재환수비</v>
      </c>
      <c r="C41" s="517"/>
      <c r="D41" s="521"/>
      <c r="E41" s="521"/>
      <c r="F41" s="274">
        <f>'원가계산서 (건축-참고용)'!F37</f>
        <v>0</v>
      </c>
      <c r="G41" s="274"/>
      <c r="H41" s="274"/>
      <c r="I41" s="275"/>
      <c r="J41" s="276">
        <f t="shared" ref="J41" si="17">SUM(F41:I41)</f>
        <v>0</v>
      </c>
      <c r="K41" s="277"/>
      <c r="L41" s="274"/>
      <c r="M41" s="274"/>
      <c r="N41" s="276">
        <f t="shared" ref="N41" si="18">SUM(K41:M41)</f>
        <v>0</v>
      </c>
      <c r="O41" s="278"/>
      <c r="P41" s="279"/>
      <c r="Q41" s="280">
        <f>J41+N41+O41</f>
        <v>0</v>
      </c>
      <c r="R41" s="281"/>
      <c r="S41" s="272"/>
      <c r="T41" s="283"/>
    </row>
    <row r="42" spans="1:20" ht="24.6" customHeight="1">
      <c r="A42" s="33"/>
      <c r="B42" s="513" t="str">
        <f>'원가계산서(금회발주분)'!B40:E40</f>
        <v>소계</v>
      </c>
      <c r="C42" s="513"/>
      <c r="D42" s="518"/>
      <c r="E42" s="518"/>
      <c r="F42" s="214">
        <f>F38+F39+F40+F41</f>
        <v>83713617</v>
      </c>
      <c r="G42" s="214" t="e">
        <f>G38+G39+G40+G41</f>
        <v>#REF!</v>
      </c>
      <c r="H42" s="214">
        <f>H38+H39+H40+H41</f>
        <v>0</v>
      </c>
      <c r="I42" s="214">
        <f>I38+I39+I40+I41</f>
        <v>0</v>
      </c>
      <c r="J42" s="74" t="e">
        <f t="shared" si="5"/>
        <v>#REF!</v>
      </c>
      <c r="K42" s="215">
        <f>K38+K39+K40+K41</f>
        <v>0</v>
      </c>
      <c r="L42" s="214">
        <f>L38+L39+L40+L41</f>
        <v>0</v>
      </c>
      <c r="M42" s="214">
        <f>M38+M39+M40+M41</f>
        <v>0</v>
      </c>
      <c r="N42" s="74">
        <f t="shared" si="0"/>
        <v>0</v>
      </c>
      <c r="O42" s="216">
        <f>O38+O39+O40+O41</f>
        <v>0</v>
      </c>
      <c r="P42" s="77"/>
      <c r="Q42" s="78" t="e">
        <f t="shared" si="1"/>
        <v>#REF!</v>
      </c>
      <c r="R42" s="89"/>
      <c r="S42" s="80"/>
      <c r="T42" s="65"/>
    </row>
    <row r="43" spans="1:20" ht="24.6" customHeight="1">
      <c r="A43" s="33" t="s">
        <v>91</v>
      </c>
      <c r="B43" s="513" t="s">
        <v>92</v>
      </c>
      <c r="C43" s="513"/>
      <c r="D43" s="513"/>
      <c r="E43" s="513"/>
      <c r="F43" s="72">
        <f>TRUNC((F42)*10%, 0)</f>
        <v>8371361</v>
      </c>
      <c r="G43" s="72" t="e">
        <f t="shared" ref="G43:I43" si="19">TRUNC((G42)*10%, 0)</f>
        <v>#REF!</v>
      </c>
      <c r="H43" s="72">
        <f t="shared" si="19"/>
        <v>0</v>
      </c>
      <c r="I43" s="90">
        <f t="shared" si="19"/>
        <v>0</v>
      </c>
      <c r="J43" s="74" t="e">
        <f t="shared" si="5"/>
        <v>#REF!</v>
      </c>
      <c r="K43" s="82">
        <f>TRUNC((K42)*10%, 0)</f>
        <v>0</v>
      </c>
      <c r="L43" s="72">
        <f>TRUNC((L42)*10%, 0)</f>
        <v>0</v>
      </c>
      <c r="M43" s="72">
        <f>TRUNC((M42)*10%, 0)</f>
        <v>0</v>
      </c>
      <c r="N43" s="74">
        <f t="shared" si="0"/>
        <v>0</v>
      </c>
      <c r="O43" s="76">
        <f>TRUNC((O42)*10%, 0)</f>
        <v>0</v>
      </c>
      <c r="P43" s="77"/>
      <c r="Q43" s="78" t="e">
        <f t="shared" si="1"/>
        <v>#REF!</v>
      </c>
      <c r="R43" s="89" t="str">
        <f>'원가계산서 (건축-참고용)'!G39</f>
        <v>공급가액 * 10%</v>
      </c>
      <c r="S43" s="80" t="s">
        <v>50</v>
      </c>
    </row>
    <row r="44" spans="1:20" ht="24.6" customHeight="1">
      <c r="A44" s="33" t="s">
        <v>93</v>
      </c>
      <c r="B44" s="513" t="s">
        <v>94</v>
      </c>
      <c r="C44" s="513"/>
      <c r="D44" s="513"/>
      <c r="E44" s="513"/>
      <c r="F44" s="72">
        <f>SUM(F42:F43)</f>
        <v>92084978</v>
      </c>
      <c r="G44" s="72" t="e">
        <f>SUM(G42:G43)</f>
        <v>#REF!</v>
      </c>
      <c r="H44" s="72">
        <f>SUM(H42:H43)</f>
        <v>0</v>
      </c>
      <c r="I44" s="90">
        <f>SUM(I42:I43)</f>
        <v>0</v>
      </c>
      <c r="J44" s="74" t="e">
        <f t="shared" si="5"/>
        <v>#REF!</v>
      </c>
      <c r="K44" s="82">
        <f>SUM(K42:K43)</f>
        <v>0</v>
      </c>
      <c r="L44" s="72">
        <f>SUM(L42:L43)</f>
        <v>0</v>
      </c>
      <c r="M44" s="72">
        <f>SUM(M42:M43)</f>
        <v>0</v>
      </c>
      <c r="N44" s="74">
        <f t="shared" si="0"/>
        <v>0</v>
      </c>
      <c r="O44" s="76">
        <f>SUM(O42:O43)</f>
        <v>0</v>
      </c>
      <c r="P44" s="77"/>
      <c r="Q44" s="78" t="e">
        <f t="shared" si="1"/>
        <v>#REF!</v>
      </c>
      <c r="R44" s="89"/>
      <c r="S44" s="80" t="s">
        <v>50</v>
      </c>
    </row>
    <row r="45" spans="1:20" ht="24.6" customHeight="1">
      <c r="A45" s="33" t="s">
        <v>95</v>
      </c>
      <c r="B45" s="514" t="s">
        <v>15</v>
      </c>
      <c r="C45" s="515"/>
      <c r="D45" s="515"/>
      <c r="E45" s="515"/>
      <c r="F45" s="85">
        <f>'원가계산서 (건축-참고용)'!F41</f>
        <v>440401000</v>
      </c>
      <c r="G45" s="85">
        <f>'원가계산서 (토목-참고용)'!F36</f>
        <v>0</v>
      </c>
      <c r="H45" s="85"/>
      <c r="I45" s="86"/>
      <c r="J45" s="74">
        <f t="shared" si="5"/>
        <v>440401000</v>
      </c>
      <c r="K45" s="87"/>
      <c r="L45" s="85"/>
      <c r="M45" s="85"/>
      <c r="N45" s="74">
        <f t="shared" si="0"/>
        <v>0</v>
      </c>
      <c r="O45" s="88"/>
      <c r="P45" s="77"/>
      <c r="Q45" s="78">
        <f t="shared" si="1"/>
        <v>440401000</v>
      </c>
      <c r="R45" s="89"/>
      <c r="S45" s="80" t="s">
        <v>50</v>
      </c>
    </row>
    <row r="46" spans="1:20" ht="24.6" customHeight="1">
      <c r="A46" s="33" t="s">
        <v>95</v>
      </c>
      <c r="B46" s="514" t="s">
        <v>16</v>
      </c>
      <c r="C46" s="515"/>
      <c r="D46" s="515"/>
      <c r="E46" s="515"/>
      <c r="F46" s="85">
        <f>'원가계산서 (건축-참고용)'!F42</f>
        <v>0</v>
      </c>
      <c r="G46" s="85">
        <f>'원가계산서 (토목-참고용)'!F37</f>
        <v>0</v>
      </c>
      <c r="H46" s="85"/>
      <c r="I46" s="86"/>
      <c r="J46" s="74">
        <f t="shared" si="5"/>
        <v>0</v>
      </c>
      <c r="K46" s="87"/>
      <c r="L46" s="85"/>
      <c r="M46" s="85"/>
      <c r="N46" s="74">
        <f t="shared" si="0"/>
        <v>0</v>
      </c>
      <c r="O46" s="88"/>
      <c r="P46" s="77"/>
      <c r="Q46" s="78">
        <f t="shared" si="1"/>
        <v>0</v>
      </c>
      <c r="R46" s="89"/>
      <c r="S46" s="80" t="s">
        <v>50</v>
      </c>
    </row>
    <row r="47" spans="1:20" s="273" customFormat="1" ht="24.6" hidden="1" customHeight="1">
      <c r="A47" s="269"/>
      <c r="B47" s="516" t="str">
        <f>'원가계산서 (토목-참고용)'!B38:E38</f>
        <v>하수도분담금</v>
      </c>
      <c r="C47" s="517"/>
      <c r="D47" s="517"/>
      <c r="E47" s="517"/>
      <c r="F47" s="274"/>
      <c r="G47" s="274"/>
      <c r="H47" s="274"/>
      <c r="I47" s="284"/>
      <c r="J47" s="276">
        <f t="shared" si="5"/>
        <v>0</v>
      </c>
      <c r="K47" s="277"/>
      <c r="L47" s="274"/>
      <c r="M47" s="274"/>
      <c r="N47" s="276">
        <f t="shared" si="0"/>
        <v>0</v>
      </c>
      <c r="O47" s="278"/>
      <c r="P47" s="279"/>
      <c r="Q47" s="280">
        <f t="shared" si="1"/>
        <v>0</v>
      </c>
      <c r="R47" s="285"/>
      <c r="S47" s="286"/>
    </row>
    <row r="48" spans="1:20" ht="24.6" customHeight="1">
      <c r="A48" s="33" t="s">
        <v>96</v>
      </c>
      <c r="B48" s="514" t="s">
        <v>17</v>
      </c>
      <c r="C48" s="515"/>
      <c r="D48" s="515"/>
      <c r="E48" s="515"/>
      <c r="F48" s="85"/>
      <c r="G48" s="85"/>
      <c r="H48" s="85"/>
      <c r="I48" s="86"/>
      <c r="J48" s="74">
        <f t="shared" si="5"/>
        <v>0</v>
      </c>
      <c r="K48" s="87"/>
      <c r="L48" s="85"/>
      <c r="M48" s="85"/>
      <c r="N48" s="74">
        <f t="shared" si="0"/>
        <v>0</v>
      </c>
      <c r="O48" s="88"/>
      <c r="P48" s="77"/>
      <c r="Q48" s="78">
        <f t="shared" si="1"/>
        <v>0</v>
      </c>
      <c r="R48" s="89"/>
      <c r="S48" s="80" t="s">
        <v>50</v>
      </c>
    </row>
    <row r="49" spans="1:19" s="273" customFormat="1" ht="24.6" customHeight="1">
      <c r="A49" s="269"/>
      <c r="B49" s="516" t="str">
        <f>'원가계산서(금회발주분)'!B45:E45</f>
        <v>재해예방기술지도</v>
      </c>
      <c r="C49" s="517"/>
      <c r="D49" s="517"/>
      <c r="E49" s="517"/>
      <c r="F49" s="274">
        <f>'원가계산서 (건축-참고용)'!F43</f>
        <v>0</v>
      </c>
      <c r="G49" s="274"/>
      <c r="H49" s="274"/>
      <c r="I49" s="284"/>
      <c r="J49" s="276">
        <f t="shared" si="5"/>
        <v>0</v>
      </c>
      <c r="K49" s="277"/>
      <c r="L49" s="277"/>
      <c r="M49" s="277"/>
      <c r="N49" s="276">
        <f t="shared" si="0"/>
        <v>0</v>
      </c>
      <c r="O49" s="278"/>
      <c r="P49" s="287"/>
      <c r="Q49" s="280">
        <f t="shared" si="1"/>
        <v>0</v>
      </c>
      <c r="R49" s="285"/>
      <c r="S49" s="286"/>
    </row>
    <row r="50" spans="1:19" ht="24.6" customHeight="1">
      <c r="A50" s="33"/>
      <c r="B50" s="514" t="s">
        <v>1522</v>
      </c>
      <c r="C50" s="515"/>
      <c r="D50" s="515"/>
      <c r="E50" s="515"/>
      <c r="F50" s="85"/>
      <c r="G50" s="85"/>
      <c r="H50" s="85"/>
      <c r="I50" s="86"/>
      <c r="J50" s="74">
        <f t="shared" si="5"/>
        <v>0</v>
      </c>
      <c r="K50" s="87"/>
      <c r="L50" s="87"/>
      <c r="M50" s="87"/>
      <c r="N50" s="74">
        <f t="shared" si="0"/>
        <v>0</v>
      </c>
      <c r="O50" s="88"/>
      <c r="P50" s="91"/>
      <c r="Q50" s="78">
        <f t="shared" si="1"/>
        <v>0</v>
      </c>
      <c r="R50" s="89"/>
      <c r="S50" s="80"/>
    </row>
    <row r="51" spans="1:19" ht="24.6" customHeight="1" thickBot="1">
      <c r="A51" s="33" t="s">
        <v>97</v>
      </c>
      <c r="B51" s="513" t="s">
        <v>98</v>
      </c>
      <c r="C51" s="513"/>
      <c r="D51" s="513"/>
      <c r="E51" s="513"/>
      <c r="F51" s="72">
        <f>SUM(F44:F50)</f>
        <v>532485978</v>
      </c>
      <c r="G51" s="72" t="e">
        <f>SUM(G44:G50)</f>
        <v>#REF!</v>
      </c>
      <c r="H51" s="72">
        <f>SUM(H44:H50)</f>
        <v>0</v>
      </c>
      <c r="I51" s="90">
        <f>SUM(I44:I50)</f>
        <v>0</v>
      </c>
      <c r="J51" s="74" t="e">
        <f t="shared" si="5"/>
        <v>#REF!</v>
      </c>
      <c r="K51" s="82">
        <f>SUM(K44:K50)</f>
        <v>0</v>
      </c>
      <c r="L51" s="82">
        <f>SUM(L44:L50)</f>
        <v>0</v>
      </c>
      <c r="M51" s="82">
        <f>SUM(M44:M50)</f>
        <v>0</v>
      </c>
      <c r="N51" s="92">
        <f t="shared" si="0"/>
        <v>0</v>
      </c>
      <c r="O51" s="93">
        <f>SUM(O44:O50)</f>
        <v>0</v>
      </c>
      <c r="P51" s="230"/>
      <c r="Q51" s="94" t="e">
        <f t="shared" si="1"/>
        <v>#REF!</v>
      </c>
      <c r="R51" s="89" t="s">
        <v>50</v>
      </c>
      <c r="S51" s="80" t="s">
        <v>50</v>
      </c>
    </row>
    <row r="52" spans="1:19">
      <c r="F52" s="95" t="e">
        <f>F51/$Q$51</f>
        <v>#REF!</v>
      </c>
      <c r="G52" s="95" t="e">
        <f>G51/$Q$51</f>
        <v>#REF!</v>
      </c>
      <c r="H52" s="95" t="e">
        <f>H51/$Q$51</f>
        <v>#REF!</v>
      </c>
      <c r="I52" s="95" t="e">
        <f>I51/$Q$51</f>
        <v>#REF!</v>
      </c>
      <c r="K52" s="95" t="e">
        <f>K51/$Q$51</f>
        <v>#REF!</v>
      </c>
      <c r="L52" s="95" t="e">
        <f>L51/$Q$51</f>
        <v>#REF!</v>
      </c>
      <c r="M52" s="95" t="e">
        <f>M51/$Q$51</f>
        <v>#REF!</v>
      </c>
      <c r="O52" s="95" t="e">
        <f>O51/$Q$51</f>
        <v>#REF!</v>
      </c>
    </row>
    <row r="53" spans="1:19">
      <c r="F53" s="96"/>
      <c r="G53" s="96"/>
      <c r="H53" s="96"/>
      <c r="I53" s="97" t="s">
        <v>5</v>
      </c>
      <c r="J53" s="96">
        <f>'입력(숨기기하세요)'!B5</f>
        <v>1204000000</v>
      </c>
      <c r="K53" s="96" t="s">
        <v>99</v>
      </c>
      <c r="L53" s="96"/>
      <c r="M53" s="96"/>
      <c r="N53" s="96"/>
      <c r="O53" s="96"/>
      <c r="P53" s="96"/>
      <c r="Q53" s="159">
        <v>22598033000</v>
      </c>
      <c r="R53" s="62" t="s">
        <v>198</v>
      </c>
    </row>
    <row r="54" spans="1:19">
      <c r="I54" s="98" t="s">
        <v>100</v>
      </c>
      <c r="J54" s="96">
        <f>TRUNC(J53*1.1,0)+J45</f>
        <v>1764801000</v>
      </c>
      <c r="K54" s="10" t="s">
        <v>99</v>
      </c>
      <c r="Q54" s="96" t="e">
        <f>Q51-Q53</f>
        <v>#REF!</v>
      </c>
      <c r="R54" s="62" t="s">
        <v>199</v>
      </c>
    </row>
    <row r="55" spans="1:19">
      <c r="I55" s="10" t="s">
        <v>101</v>
      </c>
      <c r="J55" s="96">
        <f>'입력(숨기기하세요)'!B7</f>
        <v>182.5</v>
      </c>
      <c r="K55" s="10" t="s">
        <v>102</v>
      </c>
      <c r="Q55" s="95" t="e">
        <f>Q51/Q53</f>
        <v>#REF!</v>
      </c>
      <c r="R55" s="62" t="s">
        <v>200</v>
      </c>
    </row>
    <row r="56" spans="1:19">
      <c r="E56" s="10" t="s">
        <v>455</v>
      </c>
      <c r="G56" s="233">
        <f>'공종별집계표(분야별)'!Z7</f>
        <v>250101</v>
      </c>
      <c r="H56" s="233">
        <f>'공종별집계표(분야별)'!Z8</f>
        <v>250101</v>
      </c>
      <c r="I56" s="233">
        <f>'공종별집계표(분야별)'!Z11</f>
        <v>250101</v>
      </c>
      <c r="J56" s="234"/>
      <c r="K56" s="233">
        <f>'공종별집계표(분야별)'!Z14</f>
        <v>250101</v>
      </c>
      <c r="L56" s="233">
        <f>'공종별집계표(분야별)'!Z15</f>
        <v>250101</v>
      </c>
      <c r="M56" s="233">
        <f>'공종별집계표(분야별)'!Z16</f>
        <v>250101</v>
      </c>
      <c r="Q56" s="95"/>
      <c r="R56" s="62"/>
    </row>
    <row r="57" spans="1:19">
      <c r="E57" s="10" t="s">
        <v>103</v>
      </c>
      <c r="F57" s="99" t="e">
        <f>F51/('입력(숨기기하세요)'!$B$2/3.3058)</f>
        <v>#DIV/0!</v>
      </c>
      <c r="G57" s="99" t="e">
        <f>G51/('입력(숨기기하세요)'!$B$2/3.3058)</f>
        <v>#REF!</v>
      </c>
      <c r="H57" s="99" t="e">
        <f>H51/('입력(숨기기하세요)'!$B$2/3.3058)</f>
        <v>#DIV/0!</v>
      </c>
      <c r="I57" s="99" t="e">
        <f>I51/('입력(숨기기하세요)'!$B$2/3.3058)</f>
        <v>#DIV/0!</v>
      </c>
      <c r="J57" s="99" t="e">
        <f>J51/('입력(숨기기하세요)'!$B$2/3.3058)</f>
        <v>#REF!</v>
      </c>
      <c r="K57" s="99" t="e">
        <f>K51/('입력(숨기기하세요)'!$B$2/3.3058)</f>
        <v>#DIV/0!</v>
      </c>
      <c r="L57" s="99" t="e">
        <f>L51/('입력(숨기기하세요)'!$B$2/3.3058)</f>
        <v>#DIV/0!</v>
      </c>
      <c r="M57" s="99" t="e">
        <f>M51/('입력(숨기기하세요)'!$B$2/3.3058)</f>
        <v>#DIV/0!</v>
      </c>
      <c r="N57" s="99" t="e">
        <f>N51/('입력(숨기기하세요)'!$B$2/3.3058)</f>
        <v>#DIV/0!</v>
      </c>
      <c r="O57" s="99" t="e">
        <f>O51/('입력(숨기기하세요)'!$B$2/3.3058)</f>
        <v>#DIV/0!</v>
      </c>
      <c r="P57" s="99"/>
      <c r="Q57" s="99" t="e">
        <f>Q51/('입력(숨기기하세요)'!$B$2/3.3058)</f>
        <v>#REF!</v>
      </c>
      <c r="R57" s="62" t="s">
        <v>201</v>
      </c>
    </row>
    <row r="58" spans="1:19">
      <c r="J58" s="96"/>
    </row>
    <row r="59" spans="1:19" ht="31.5" customHeight="1" thickBot="1">
      <c r="D59" s="238" t="s">
        <v>524</v>
      </c>
      <c r="E59" s="10" t="s">
        <v>104</v>
      </c>
      <c r="F59" s="72"/>
      <c r="G59" s="72"/>
      <c r="H59" s="72"/>
      <c r="I59" s="90"/>
      <c r="J59" s="74">
        <f t="shared" ref="J59" si="20">SUM(F59:I59)</f>
        <v>0</v>
      </c>
      <c r="K59" s="82"/>
      <c r="L59" s="82"/>
      <c r="M59" s="82"/>
      <c r="N59" s="92">
        <f t="shared" ref="N59" si="21">SUM(K59:M59)</f>
        <v>0</v>
      </c>
      <c r="O59" s="93"/>
      <c r="P59" s="91"/>
      <c r="Q59" s="94">
        <f t="shared" ref="Q59" si="22">J59+N59+O59</f>
        <v>0</v>
      </c>
    </row>
    <row r="60" spans="1:19" ht="31.5" customHeight="1" thickBot="1">
      <c r="E60" s="10" t="s">
        <v>105</v>
      </c>
      <c r="F60" s="72">
        <f>F51-F59</f>
        <v>532485978</v>
      </c>
      <c r="G60" s="72" t="e">
        <f t="shared" ref="G60:Q60" si="23">G51-G59</f>
        <v>#REF!</v>
      </c>
      <c r="H60" s="72">
        <f t="shared" si="23"/>
        <v>0</v>
      </c>
      <c r="I60" s="90">
        <f t="shared" si="23"/>
        <v>0</v>
      </c>
      <c r="J60" s="74" t="e">
        <f t="shared" si="23"/>
        <v>#REF!</v>
      </c>
      <c r="K60" s="82">
        <f t="shared" si="23"/>
        <v>0</v>
      </c>
      <c r="L60" s="82">
        <f t="shared" si="23"/>
        <v>0</v>
      </c>
      <c r="M60" s="82">
        <f t="shared" si="23"/>
        <v>0</v>
      </c>
      <c r="N60" s="92">
        <f t="shared" si="23"/>
        <v>0</v>
      </c>
      <c r="O60" s="93">
        <f t="shared" si="23"/>
        <v>0</v>
      </c>
      <c r="P60" s="91">
        <f t="shared" si="23"/>
        <v>0</v>
      </c>
      <c r="Q60" s="94" t="e">
        <f t="shared" si="23"/>
        <v>#REF!</v>
      </c>
    </row>
    <row r="61" spans="1:19">
      <c r="F61" s="95" t="e">
        <f>F51/F59</f>
        <v>#DIV/0!</v>
      </c>
      <c r="G61" s="95" t="e">
        <f t="shared" ref="G61:Q61" si="24">G51/G59</f>
        <v>#REF!</v>
      </c>
      <c r="H61" s="95" t="e">
        <f t="shared" si="24"/>
        <v>#DIV/0!</v>
      </c>
      <c r="I61" s="95" t="e">
        <f t="shared" si="24"/>
        <v>#DIV/0!</v>
      </c>
      <c r="J61" s="95" t="e">
        <f t="shared" si="24"/>
        <v>#REF!</v>
      </c>
      <c r="K61" s="95" t="e">
        <f t="shared" si="24"/>
        <v>#DIV/0!</v>
      </c>
      <c r="L61" s="95" t="e">
        <f t="shared" si="24"/>
        <v>#DIV/0!</v>
      </c>
      <c r="M61" s="95" t="e">
        <f t="shared" si="24"/>
        <v>#DIV/0!</v>
      </c>
      <c r="N61" s="95" t="e">
        <f t="shared" si="24"/>
        <v>#DIV/0!</v>
      </c>
      <c r="O61" s="95" t="e">
        <f t="shared" si="24"/>
        <v>#DIV/0!</v>
      </c>
      <c r="P61" s="95" t="e">
        <f t="shared" si="24"/>
        <v>#DIV/0!</v>
      </c>
      <c r="Q61" s="95" t="e">
        <f t="shared" si="24"/>
        <v>#REF!</v>
      </c>
    </row>
  </sheetData>
  <mergeCells count="60">
    <mergeCell ref="D18:E18"/>
    <mergeCell ref="D19:E19"/>
    <mergeCell ref="C5:C8"/>
    <mergeCell ref="D5:E5"/>
    <mergeCell ref="D6:E6"/>
    <mergeCell ref="D8:E8"/>
    <mergeCell ref="D9:E9"/>
    <mergeCell ref="C9:C11"/>
    <mergeCell ref="D10:E10"/>
    <mergeCell ref="B30:E30"/>
    <mergeCell ref="B31:E31"/>
    <mergeCell ref="B32:E32"/>
    <mergeCell ref="B39:E39"/>
    <mergeCell ref="D11:E11"/>
    <mergeCell ref="D15:E15"/>
    <mergeCell ref="D14:E14"/>
    <mergeCell ref="B35:E35"/>
    <mergeCell ref="D25:E25"/>
    <mergeCell ref="D26:E26"/>
    <mergeCell ref="D13:E13"/>
    <mergeCell ref="D23:E23"/>
    <mergeCell ref="D21:E21"/>
    <mergeCell ref="D16:E16"/>
    <mergeCell ref="D20:E20"/>
    <mergeCell ref="D17:E17"/>
    <mergeCell ref="B42:E42"/>
    <mergeCell ref="D29:E29"/>
    <mergeCell ref="B37:E37"/>
    <mergeCell ref="B36:E36"/>
    <mergeCell ref="B34:E34"/>
    <mergeCell ref="B40:E40"/>
    <mergeCell ref="B41:E41"/>
    <mergeCell ref="B33:E33"/>
    <mergeCell ref="C12:C29"/>
    <mergeCell ref="D27:E27"/>
    <mergeCell ref="D28:E28"/>
    <mergeCell ref="D12:E12"/>
    <mergeCell ref="D24:E24"/>
    <mergeCell ref="B38:E38"/>
    <mergeCell ref="B5:B29"/>
    <mergeCell ref="D7:E7"/>
    <mergeCell ref="B51:E51"/>
    <mergeCell ref="B43:E43"/>
    <mergeCell ref="B44:E44"/>
    <mergeCell ref="B45:E45"/>
    <mergeCell ref="B46:E46"/>
    <mergeCell ref="B48:E48"/>
    <mergeCell ref="B50:E50"/>
    <mergeCell ref="B47:E47"/>
    <mergeCell ref="B49:E49"/>
    <mergeCell ref="B1:S1"/>
    <mergeCell ref="B3:E4"/>
    <mergeCell ref="F3:I3"/>
    <mergeCell ref="J3:J4"/>
    <mergeCell ref="K3:M3"/>
    <mergeCell ref="N3:N4"/>
    <mergeCell ref="O3:O4"/>
    <mergeCell ref="Q3:Q4"/>
    <mergeCell ref="R3:R4"/>
    <mergeCell ref="S3:S4"/>
  </mergeCells>
  <phoneticPr fontId="3" type="noConversion"/>
  <printOptions horizontalCentered="1" verticalCentered="1"/>
  <pageMargins left="0.59055118110236227" right="0.19685039370078741" top="0.39370078740157483" bottom="0.39370078740157483" header="0" footer="0.19685039370078741"/>
  <pageSetup paperSize="9" scale="4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J56"/>
  <sheetViews>
    <sheetView tabSelected="1" view="pageBreakPreview" topLeftCell="B1" zoomScaleNormal="100" zoomScaleSheetLayoutView="100" workbookViewId="0">
      <pane xSplit="4" ySplit="4" topLeftCell="F8" activePane="bottomRight" state="frozen"/>
      <selection activeCell="AH7" sqref="AH7"/>
      <selection pane="topRight" activeCell="AH7" sqref="AH7"/>
      <selection pane="bottomLeft" activeCell="AH7" sqref="AH7"/>
      <selection pane="bottomRight" activeCell="G14" sqref="G14"/>
    </sheetView>
  </sheetViews>
  <sheetFormatPr defaultRowHeight="15"/>
  <cols>
    <col min="1" max="1" width="0" style="10" hidden="1" customWidth="1"/>
    <col min="2" max="3" width="5.625" style="10" customWidth="1"/>
    <col min="4" max="4" width="15.625" style="10" customWidth="1"/>
    <col min="5" max="5" width="27.625" style="10" customWidth="1"/>
    <col min="6" max="6" width="50.625" style="10" customWidth="1"/>
    <col min="7" max="7" width="54" style="10" customWidth="1"/>
    <col min="8" max="8" width="49.375" style="10" customWidth="1"/>
    <col min="9" max="9" width="15.75" style="10" customWidth="1"/>
    <col min="10" max="16384" width="9" style="10"/>
  </cols>
  <sheetData>
    <row r="1" spans="1:8" ht="24" customHeight="1">
      <c r="B1" s="491" t="s">
        <v>2348</v>
      </c>
      <c r="C1" s="491"/>
      <c r="D1" s="491"/>
      <c r="E1" s="491"/>
      <c r="F1" s="491"/>
      <c r="G1" s="491"/>
      <c r="H1" s="491"/>
    </row>
    <row r="2" spans="1:8" ht="24" customHeight="1">
      <c r="B2" s="146"/>
      <c r="C2" s="143"/>
      <c r="D2" s="143"/>
      <c r="E2" s="143"/>
      <c r="F2" s="143"/>
      <c r="G2" s="143"/>
      <c r="H2" s="145" t="str">
        <f>CONCATENATE("공사기간: ",'입력(숨기기하세요)'!C7,"개월")</f>
        <v>공사기간: 6개월</v>
      </c>
    </row>
    <row r="3" spans="1:8" ht="21.95" customHeight="1">
      <c r="B3" s="27" t="str">
        <f>'원가계산서 (총괄-참고용)'!B2</f>
        <v>공사명 : (가칭)둔촌동 중학교 도시형캠퍼스 신축공사(1차분/전체동)</v>
      </c>
      <c r="C3" s="27"/>
      <c r="D3" s="27"/>
      <c r="E3" s="27"/>
      <c r="F3" s="144"/>
      <c r="G3" s="541"/>
      <c r="H3" s="541"/>
    </row>
    <row r="4" spans="1:8" ht="21.75" customHeight="1">
      <c r="B4" s="542" t="s">
        <v>106</v>
      </c>
      <c r="C4" s="543"/>
      <c r="D4" s="544"/>
      <c r="E4" s="544"/>
      <c r="F4" s="205" t="s">
        <v>107</v>
      </c>
      <c r="G4" s="205" t="s">
        <v>108</v>
      </c>
      <c r="H4" s="205" t="s">
        <v>109</v>
      </c>
    </row>
    <row r="5" spans="1:8" ht="21.75" customHeight="1">
      <c r="A5" s="33" t="s">
        <v>47</v>
      </c>
      <c r="B5" s="531" t="s">
        <v>48</v>
      </c>
      <c r="C5" s="536" t="s">
        <v>173</v>
      </c>
      <c r="D5" s="539" t="s">
        <v>49</v>
      </c>
      <c r="E5" s="545"/>
      <c r="F5" s="100"/>
      <c r="G5" s="101" t="s">
        <v>50</v>
      </c>
      <c r="H5" s="42" t="s">
        <v>50</v>
      </c>
    </row>
    <row r="6" spans="1:8" ht="21.75" customHeight="1">
      <c r="A6" s="33" t="s">
        <v>51</v>
      </c>
      <c r="B6" s="532"/>
      <c r="C6" s="537"/>
      <c r="D6" s="527" t="s">
        <v>52</v>
      </c>
      <c r="E6" s="530"/>
      <c r="F6" s="102"/>
      <c r="G6" s="103" t="s">
        <v>50</v>
      </c>
      <c r="H6" s="51" t="s">
        <v>50</v>
      </c>
    </row>
    <row r="7" spans="1:8" ht="21.75" customHeight="1">
      <c r="A7" s="33" t="s">
        <v>53</v>
      </c>
      <c r="B7" s="532"/>
      <c r="C7" s="537"/>
      <c r="D7" s="527" t="s">
        <v>54</v>
      </c>
      <c r="E7" s="530"/>
      <c r="F7" s="102"/>
      <c r="G7" s="103" t="s">
        <v>50</v>
      </c>
      <c r="H7" s="51" t="s">
        <v>50</v>
      </c>
    </row>
    <row r="8" spans="1:8" ht="21.75" customHeight="1">
      <c r="A8" s="33" t="s">
        <v>55</v>
      </c>
      <c r="B8" s="532"/>
      <c r="C8" s="538"/>
      <c r="D8" s="519" t="s">
        <v>56</v>
      </c>
      <c r="E8" s="546"/>
      <c r="F8" s="104"/>
      <c r="G8" s="105" t="s">
        <v>50</v>
      </c>
      <c r="H8" s="60" t="s">
        <v>50</v>
      </c>
    </row>
    <row r="9" spans="1:8" ht="21.75" customHeight="1">
      <c r="A9" s="33" t="s">
        <v>57</v>
      </c>
      <c r="B9" s="532"/>
      <c r="C9" s="536" t="s">
        <v>147</v>
      </c>
      <c r="D9" s="539" t="s">
        <v>58</v>
      </c>
      <c r="E9" s="545"/>
      <c r="F9" s="100"/>
      <c r="G9" s="101" t="s">
        <v>50</v>
      </c>
      <c r="H9" s="42" t="s">
        <v>50</v>
      </c>
    </row>
    <row r="10" spans="1:8" ht="21.75" customHeight="1">
      <c r="A10" s="33" t="s">
        <v>59</v>
      </c>
      <c r="B10" s="532"/>
      <c r="C10" s="537"/>
      <c r="D10" s="527" t="s">
        <v>60</v>
      </c>
      <c r="E10" s="530"/>
      <c r="F10" s="102"/>
      <c r="G10" s="103" t="s">
        <v>2331</v>
      </c>
      <c r="H10" s="51" t="s">
        <v>50</v>
      </c>
    </row>
    <row r="11" spans="1:8" ht="21.75" customHeight="1">
      <c r="A11" s="33" t="s">
        <v>61</v>
      </c>
      <c r="B11" s="532"/>
      <c r="C11" s="538"/>
      <c r="D11" s="519" t="s">
        <v>56</v>
      </c>
      <c r="E11" s="546"/>
      <c r="F11" s="104"/>
      <c r="G11" s="105" t="s">
        <v>50</v>
      </c>
      <c r="H11" s="60" t="s">
        <v>50</v>
      </c>
    </row>
    <row r="12" spans="1:8" ht="21.75" customHeight="1">
      <c r="A12" s="33" t="s">
        <v>62</v>
      </c>
      <c r="B12" s="532"/>
      <c r="C12" s="549" t="s">
        <v>63</v>
      </c>
      <c r="D12" s="529" t="s">
        <v>296</v>
      </c>
      <c r="E12" s="530"/>
      <c r="F12" s="100"/>
      <c r="G12" s="101" t="s">
        <v>50</v>
      </c>
      <c r="H12" s="63" t="s">
        <v>438</v>
      </c>
    </row>
    <row r="13" spans="1:8" ht="21.75" customHeight="1">
      <c r="A13" s="33" t="s">
        <v>64</v>
      </c>
      <c r="B13" s="532"/>
      <c r="C13" s="524"/>
      <c r="D13" s="527" t="s">
        <v>65</v>
      </c>
      <c r="E13" s="530"/>
      <c r="F13" s="102"/>
      <c r="G13" s="103" t="s">
        <v>2332</v>
      </c>
      <c r="H13" s="64" t="s">
        <v>50</v>
      </c>
    </row>
    <row r="14" spans="1:8" ht="21.75" customHeight="1">
      <c r="A14" s="33" t="s">
        <v>66</v>
      </c>
      <c r="B14" s="532"/>
      <c r="C14" s="524"/>
      <c r="D14" s="527" t="s">
        <v>67</v>
      </c>
      <c r="E14" s="530"/>
      <c r="F14" s="102"/>
      <c r="G14" s="103" t="s">
        <v>2333</v>
      </c>
      <c r="H14" s="66" t="str">
        <f>'요율(숨기기하세요)'!C73</f>
        <v>7등급이하</v>
      </c>
    </row>
    <row r="15" spans="1:8" ht="21.75" customHeight="1">
      <c r="A15" s="33" t="s">
        <v>68</v>
      </c>
      <c r="B15" s="532"/>
      <c r="C15" s="524"/>
      <c r="D15" s="527" t="s">
        <v>69</v>
      </c>
      <c r="E15" s="530"/>
      <c r="F15" s="102">
        <v>10970132</v>
      </c>
      <c r="G15" s="103" t="s">
        <v>2334</v>
      </c>
      <c r="H15" s="64" t="s">
        <v>50</v>
      </c>
    </row>
    <row r="16" spans="1:8" ht="21.75" customHeight="1">
      <c r="A16" s="33" t="s">
        <v>70</v>
      </c>
      <c r="B16" s="532"/>
      <c r="C16" s="524"/>
      <c r="D16" s="527" t="s">
        <v>71</v>
      </c>
      <c r="E16" s="530"/>
      <c r="F16" s="102">
        <v>14494612</v>
      </c>
      <c r="G16" s="103" t="s">
        <v>2335</v>
      </c>
      <c r="H16" s="64" t="s">
        <v>50</v>
      </c>
    </row>
    <row r="17" spans="1:9" ht="21.75" customHeight="1">
      <c r="A17" s="33" t="s">
        <v>72</v>
      </c>
      <c r="B17" s="532"/>
      <c r="C17" s="524"/>
      <c r="D17" s="527" t="s">
        <v>73</v>
      </c>
      <c r="E17" s="530"/>
      <c r="F17" s="102">
        <v>1441475</v>
      </c>
      <c r="G17" s="103" t="s">
        <v>2336</v>
      </c>
      <c r="H17" s="64" t="s">
        <v>50</v>
      </c>
    </row>
    <row r="18" spans="1:9" ht="21.75" customHeight="1">
      <c r="A18" s="33" t="s">
        <v>74</v>
      </c>
      <c r="B18" s="532"/>
      <c r="C18" s="524"/>
      <c r="D18" s="527" t="s">
        <v>319</v>
      </c>
      <c r="E18" s="530"/>
      <c r="F18" s="102">
        <v>7018443</v>
      </c>
      <c r="G18" s="103" t="s">
        <v>2337</v>
      </c>
      <c r="H18" s="64" t="s">
        <v>50</v>
      </c>
    </row>
    <row r="19" spans="1:9" ht="21.75" customHeight="1">
      <c r="A19" s="33" t="s">
        <v>75</v>
      </c>
      <c r="B19" s="532"/>
      <c r="C19" s="524"/>
      <c r="D19" s="527" t="s">
        <v>76</v>
      </c>
      <c r="E19" s="530"/>
      <c r="F19" s="102">
        <v>19627411</v>
      </c>
      <c r="G19" s="103" t="s">
        <v>2338</v>
      </c>
      <c r="H19" s="69">
        <v>4325000</v>
      </c>
    </row>
    <row r="20" spans="1:9" ht="21.75" customHeight="1">
      <c r="A20" s="33"/>
      <c r="B20" s="532"/>
      <c r="C20" s="524"/>
      <c r="D20" s="529" t="s">
        <v>413</v>
      </c>
      <c r="E20" s="530"/>
      <c r="F20" s="102">
        <v>15000000</v>
      </c>
      <c r="G20" s="103"/>
      <c r="H20" s="69"/>
    </row>
    <row r="21" spans="1:9" ht="21.75" customHeight="1">
      <c r="A21" s="33"/>
      <c r="B21" s="532"/>
      <c r="C21" s="524"/>
      <c r="D21" s="529" t="s">
        <v>317</v>
      </c>
      <c r="E21" s="530"/>
      <c r="F21" s="102">
        <v>26074542</v>
      </c>
      <c r="G21" s="103"/>
      <c r="H21" s="69" t="s">
        <v>318</v>
      </c>
    </row>
    <row r="22" spans="1:9" ht="21.75" customHeight="1">
      <c r="A22" s="33" t="s">
        <v>77</v>
      </c>
      <c r="B22" s="532"/>
      <c r="C22" s="524"/>
      <c r="D22" s="207" t="s">
        <v>298</v>
      </c>
      <c r="E22" s="147" t="s">
        <v>181</v>
      </c>
      <c r="F22" s="102"/>
      <c r="G22" s="103" t="s">
        <v>2339</v>
      </c>
      <c r="H22" s="51" t="s">
        <v>50</v>
      </c>
    </row>
    <row r="23" spans="1:9" ht="21.75" customHeight="1">
      <c r="A23" s="33" t="s">
        <v>78</v>
      </c>
      <c r="B23" s="532"/>
      <c r="C23" s="524"/>
      <c r="D23" s="527" t="s">
        <v>79</v>
      </c>
      <c r="E23" s="530"/>
      <c r="F23" s="102"/>
      <c r="G23" s="103" t="s">
        <v>2340</v>
      </c>
      <c r="H23" s="51" t="s">
        <v>50</v>
      </c>
    </row>
    <row r="24" spans="1:9" ht="21.75" customHeight="1">
      <c r="A24" s="33" t="s">
        <v>80</v>
      </c>
      <c r="B24" s="532"/>
      <c r="C24" s="524"/>
      <c r="D24" s="529" t="s">
        <v>110</v>
      </c>
      <c r="E24" s="530"/>
      <c r="F24" s="102"/>
      <c r="G24" s="106" t="s">
        <v>50</v>
      </c>
      <c r="H24" s="66" t="str">
        <f>IF(F24=0,"",IF(#REF!&gt;0%,"종합심사제,기술제안,대형공사",""))</f>
        <v/>
      </c>
      <c r="I24" s="107">
        <f>'요율(숨기기하세요)'!C112</f>
        <v>0</v>
      </c>
    </row>
    <row r="25" spans="1:9" ht="21.75" customHeight="1">
      <c r="A25" s="33" t="s">
        <v>80</v>
      </c>
      <c r="B25" s="532"/>
      <c r="C25" s="524"/>
      <c r="D25" s="527" t="s">
        <v>81</v>
      </c>
      <c r="E25" s="530"/>
      <c r="F25" s="102"/>
      <c r="G25" s="103" t="s">
        <v>2341</v>
      </c>
      <c r="H25" s="51" t="s">
        <v>50</v>
      </c>
    </row>
    <row r="26" spans="1:9" ht="21.75" customHeight="1">
      <c r="A26" s="33" t="s">
        <v>80</v>
      </c>
      <c r="B26" s="532"/>
      <c r="C26" s="524"/>
      <c r="D26" s="529" t="s">
        <v>111</v>
      </c>
      <c r="E26" s="530"/>
      <c r="F26" s="102"/>
      <c r="G26" s="103" t="s">
        <v>2342</v>
      </c>
      <c r="H26" s="51" t="s">
        <v>50</v>
      </c>
    </row>
    <row r="27" spans="1:9" ht="21.75" customHeight="1">
      <c r="A27" s="33"/>
      <c r="B27" s="532"/>
      <c r="C27" s="524"/>
      <c r="D27" s="529" t="str">
        <f>'원가계산서 (건축-참고용)'!D26</f>
        <v>석면분담금</v>
      </c>
      <c r="E27" s="530"/>
      <c r="F27" s="102"/>
      <c r="G27" s="103" t="s">
        <v>2343</v>
      </c>
      <c r="H27" s="241"/>
    </row>
    <row r="28" spans="1:9" ht="21.75" customHeight="1">
      <c r="A28" s="33"/>
      <c r="B28" s="532"/>
      <c r="C28" s="524"/>
      <c r="D28" s="529" t="str">
        <f>'원가계산서 (건축-참고용)'!D27</f>
        <v>임금채권부담금</v>
      </c>
      <c r="E28" s="530"/>
      <c r="F28" s="102"/>
      <c r="G28" s="103" t="s">
        <v>2344</v>
      </c>
      <c r="H28" s="241"/>
    </row>
    <row r="29" spans="1:9" ht="21.75" customHeight="1">
      <c r="A29" s="33" t="s">
        <v>82</v>
      </c>
      <c r="B29" s="532"/>
      <c r="C29" s="550"/>
      <c r="D29" s="519" t="s">
        <v>56</v>
      </c>
      <c r="E29" s="546"/>
      <c r="F29" s="104"/>
      <c r="G29" s="105" t="s">
        <v>50</v>
      </c>
      <c r="H29" s="60" t="s">
        <v>50</v>
      </c>
    </row>
    <row r="30" spans="1:9" ht="21.75" customHeight="1">
      <c r="A30" s="33" t="s">
        <v>83</v>
      </c>
      <c r="B30" s="533" t="s">
        <v>112</v>
      </c>
      <c r="C30" s="534"/>
      <c r="D30" s="535"/>
      <c r="E30" s="535"/>
      <c r="F30" s="108">
        <v>980134937</v>
      </c>
      <c r="G30" s="109" t="s">
        <v>50</v>
      </c>
      <c r="H30" s="80" t="s">
        <v>50</v>
      </c>
    </row>
    <row r="31" spans="1:9" ht="21.75" customHeight="1">
      <c r="A31" s="33" t="s">
        <v>85</v>
      </c>
      <c r="B31" s="513" t="s">
        <v>86</v>
      </c>
      <c r="C31" s="513"/>
      <c r="D31" s="518"/>
      <c r="E31" s="518"/>
      <c r="F31" s="108"/>
      <c r="G31" s="109" t="s">
        <v>2345</v>
      </c>
      <c r="H31" s="80" t="s">
        <v>50</v>
      </c>
    </row>
    <row r="32" spans="1:9" ht="21.75" customHeight="1">
      <c r="A32" s="33" t="s">
        <v>87</v>
      </c>
      <c r="B32" s="513" t="s">
        <v>88</v>
      </c>
      <c r="C32" s="513"/>
      <c r="D32" s="518"/>
      <c r="E32" s="518"/>
      <c r="F32" s="108"/>
      <c r="G32" s="109" t="s">
        <v>2346</v>
      </c>
      <c r="H32" s="313"/>
      <c r="I32" s="159" t="e">
        <f>F40-'원가계산서 (총괄-참고용)'!J42</f>
        <v>#REF!</v>
      </c>
    </row>
    <row r="33" spans="1:10" s="273" customFormat="1" ht="21.75" hidden="1" customHeight="1">
      <c r="A33" s="269"/>
      <c r="B33" s="516" t="str">
        <f>'원가계산서 (건축-참고용)'!B32:E32</f>
        <v>기술사용료</v>
      </c>
      <c r="C33" s="517"/>
      <c r="D33" s="517"/>
      <c r="E33" s="517"/>
      <c r="F33" s="270"/>
      <c r="G33" s="271"/>
      <c r="H33" s="272"/>
    </row>
    <row r="34" spans="1:10" s="273" customFormat="1" ht="21.75" hidden="1" customHeight="1">
      <c r="A34" s="269"/>
      <c r="B34" s="516" t="str">
        <f>'원가계산서 (건축-참고용)'!B33:E33</f>
        <v>고용개선지원비</v>
      </c>
      <c r="C34" s="517"/>
      <c r="D34" s="517"/>
      <c r="E34" s="517"/>
      <c r="F34" s="270"/>
      <c r="G34" s="271"/>
      <c r="H34" s="272"/>
    </row>
    <row r="35" spans="1:10" ht="21.75" customHeight="1">
      <c r="A35" s="33"/>
      <c r="B35" s="514" t="s">
        <v>113</v>
      </c>
      <c r="C35" s="515"/>
      <c r="D35" s="515"/>
      <c r="E35" s="515"/>
      <c r="F35" s="110">
        <f>'공종별집계표(분야별)'!Q84-H35</f>
        <v>0</v>
      </c>
      <c r="G35" s="109"/>
      <c r="H35" s="83"/>
    </row>
    <row r="36" spans="1:10" ht="21.75" customHeight="1">
      <c r="A36" s="33"/>
      <c r="B36" s="514" t="s">
        <v>150</v>
      </c>
      <c r="C36" s="515"/>
      <c r="D36" s="515"/>
      <c r="E36" s="515"/>
      <c r="F36" s="110">
        <f>'공종별집계표(분야별)'!Q94</f>
        <v>0</v>
      </c>
      <c r="G36" s="109"/>
      <c r="H36" s="83"/>
    </row>
    <row r="37" spans="1:10" ht="21.75" customHeight="1">
      <c r="A37" s="33" t="s">
        <v>89</v>
      </c>
      <c r="B37" s="513" t="s">
        <v>90</v>
      </c>
      <c r="C37" s="513"/>
      <c r="D37" s="513"/>
      <c r="E37" s="513"/>
      <c r="F37" s="108">
        <v>1180310000</v>
      </c>
      <c r="G37" s="109" t="s">
        <v>50</v>
      </c>
      <c r="H37" s="80"/>
      <c r="I37" s="96"/>
      <c r="J37" s="96"/>
    </row>
    <row r="38" spans="1:10" ht="21.75" hidden="1" customHeight="1">
      <c r="A38" s="33"/>
      <c r="B38" s="515" t="str">
        <f>'원가계산서 (건축-참고용)'!B36:E36</f>
        <v>공사손해보험</v>
      </c>
      <c r="C38" s="515"/>
      <c r="D38" s="515"/>
      <c r="E38" s="515"/>
      <c r="F38" s="110">
        <v>0</v>
      </c>
      <c r="G38" s="109"/>
      <c r="H38" s="83"/>
      <c r="I38" s="96"/>
      <c r="J38" s="96"/>
    </row>
    <row r="39" spans="1:10" s="273" customFormat="1" ht="21.75" hidden="1" customHeight="1">
      <c r="A39" s="269"/>
      <c r="B39" s="516" t="s">
        <v>172</v>
      </c>
      <c r="C39" s="517"/>
      <c r="D39" s="517"/>
      <c r="E39" s="517"/>
      <c r="F39" s="270">
        <v>0</v>
      </c>
      <c r="G39" s="271"/>
      <c r="H39" s="272"/>
    </row>
    <row r="40" spans="1:10" ht="21.75" hidden="1" customHeight="1">
      <c r="A40" s="33"/>
      <c r="B40" s="513" t="str">
        <f>'원가계산서 (건축-참고용)'!B38:E38</f>
        <v>소계</v>
      </c>
      <c r="C40" s="513"/>
      <c r="D40" s="513"/>
      <c r="E40" s="513"/>
      <c r="F40" s="108">
        <v>1180310000</v>
      </c>
      <c r="G40" s="208"/>
      <c r="H40" s="80"/>
      <c r="I40" s="96"/>
      <c r="J40" s="96"/>
    </row>
    <row r="41" spans="1:10" ht="21.75" customHeight="1">
      <c r="A41" s="33" t="s">
        <v>91</v>
      </c>
      <c r="B41" s="513" t="s">
        <v>92</v>
      </c>
      <c r="C41" s="513"/>
      <c r="D41" s="513"/>
      <c r="E41" s="513"/>
      <c r="F41" s="108">
        <v>118031000</v>
      </c>
      <c r="G41" s="109" t="s">
        <v>2347</v>
      </c>
      <c r="H41" s="80"/>
    </row>
    <row r="42" spans="1:10" ht="21.75" customHeight="1">
      <c r="A42" s="33" t="s">
        <v>93</v>
      </c>
      <c r="B42" s="513" t="s">
        <v>94</v>
      </c>
      <c r="C42" s="513"/>
      <c r="D42" s="513"/>
      <c r="E42" s="513"/>
      <c r="F42" s="108">
        <v>1298341000</v>
      </c>
      <c r="G42" s="109" t="s">
        <v>50</v>
      </c>
      <c r="H42" s="80"/>
    </row>
    <row r="43" spans="1:10" ht="21.75" customHeight="1">
      <c r="A43" s="33" t="s">
        <v>95</v>
      </c>
      <c r="B43" s="514" t="s">
        <v>151</v>
      </c>
      <c r="C43" s="515"/>
      <c r="D43" s="515"/>
      <c r="E43" s="515"/>
      <c r="F43" s="110">
        <v>440401000</v>
      </c>
      <c r="G43" s="109" t="s">
        <v>50</v>
      </c>
      <c r="H43" s="83"/>
    </row>
    <row r="44" spans="1:10" ht="21.75" customHeight="1">
      <c r="A44" s="33" t="s">
        <v>95</v>
      </c>
      <c r="B44" s="514" t="s">
        <v>152</v>
      </c>
      <c r="C44" s="515"/>
      <c r="D44" s="515"/>
      <c r="E44" s="515"/>
      <c r="F44" s="110">
        <f>'공종별집계표(분야별)'!Q57-H44</f>
        <v>0</v>
      </c>
      <c r="G44" s="109" t="s">
        <v>50</v>
      </c>
      <c r="H44" s="83"/>
    </row>
    <row r="45" spans="1:10" s="437" customFormat="1" ht="21.75" customHeight="1">
      <c r="A45" s="433"/>
      <c r="B45" s="547" t="str">
        <f>'원가계산서 (건축-참고용)'!B43:E43</f>
        <v>재해예방기술지도</v>
      </c>
      <c r="C45" s="548"/>
      <c r="D45" s="548"/>
      <c r="E45" s="548"/>
      <c r="F45" s="434"/>
      <c r="G45" s="435"/>
      <c r="H45" s="436"/>
    </row>
    <row r="46" spans="1:10" ht="21.75" customHeight="1">
      <c r="A46" s="33" t="s">
        <v>97</v>
      </c>
      <c r="B46" s="513" t="s">
        <v>98</v>
      </c>
      <c r="C46" s="513"/>
      <c r="D46" s="513"/>
      <c r="E46" s="513"/>
      <c r="F46" s="108">
        <f>SUM(F42:F45)</f>
        <v>1738742000</v>
      </c>
      <c r="G46" s="109" t="s">
        <v>50</v>
      </c>
      <c r="H46" s="80" t="s">
        <v>50</v>
      </c>
    </row>
    <row r="49" spans="6:6">
      <c r="F49" s="96" t="e">
        <f>F46-#REF!</f>
        <v>#REF!</v>
      </c>
    </row>
    <row r="56" spans="6:6">
      <c r="F56" s="96"/>
    </row>
  </sheetData>
  <mergeCells count="48">
    <mergeCell ref="B34:E34"/>
    <mergeCell ref="D27:E27"/>
    <mergeCell ref="D28:E28"/>
    <mergeCell ref="D6:E6"/>
    <mergeCell ref="D7:E7"/>
    <mergeCell ref="D8:E8"/>
    <mergeCell ref="D9:E9"/>
    <mergeCell ref="B32:E32"/>
    <mergeCell ref="D12:E12"/>
    <mergeCell ref="B30:E30"/>
    <mergeCell ref="B31:E31"/>
    <mergeCell ref="D29:E29"/>
    <mergeCell ref="C12:C29"/>
    <mergeCell ref="D16:E16"/>
    <mergeCell ref="D17:E17"/>
    <mergeCell ref="D25:E25"/>
    <mergeCell ref="B44:E44"/>
    <mergeCell ref="B46:E46"/>
    <mergeCell ref="B38:E38"/>
    <mergeCell ref="B40:E40"/>
    <mergeCell ref="C5:C8"/>
    <mergeCell ref="B39:E39"/>
    <mergeCell ref="B45:E45"/>
    <mergeCell ref="D23:E23"/>
    <mergeCell ref="B33:E33"/>
    <mergeCell ref="B36:E36"/>
    <mergeCell ref="B37:E37"/>
    <mergeCell ref="B41:E41"/>
    <mergeCell ref="B42:E42"/>
    <mergeCell ref="B43:E43"/>
    <mergeCell ref="D15:E15"/>
    <mergeCell ref="B35:E35"/>
    <mergeCell ref="B1:H1"/>
    <mergeCell ref="G3:H3"/>
    <mergeCell ref="B4:E4"/>
    <mergeCell ref="B5:B29"/>
    <mergeCell ref="D18:E18"/>
    <mergeCell ref="D5:E5"/>
    <mergeCell ref="D24:E24"/>
    <mergeCell ref="C9:C11"/>
    <mergeCell ref="D21:E21"/>
    <mergeCell ref="D10:E10"/>
    <mergeCell ref="D11:E11"/>
    <mergeCell ref="D20:E20"/>
    <mergeCell ref="D19:E19"/>
    <mergeCell ref="D26:E26"/>
    <mergeCell ref="D13:E13"/>
    <mergeCell ref="D14:E14"/>
  </mergeCells>
  <phoneticPr fontId="3" type="noConversion"/>
  <printOptions horizontalCentered="1" verticalCentered="1"/>
  <pageMargins left="0.78740157480314965" right="0.31496062992125984" top="0.39370078740157483" bottom="0.39370078740157483" header="0.31496062992125984" footer="0.31496062992125984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J44"/>
  <sheetViews>
    <sheetView view="pageBreakPreview" zoomScale="80" zoomScaleSheetLayoutView="80" workbookViewId="0">
      <pane xSplit="5" ySplit="3" topLeftCell="F4" activePane="bottomRight" state="frozen"/>
      <selection activeCell="AH7" sqref="AH7"/>
      <selection pane="topRight" activeCell="AH7" sqref="AH7"/>
      <selection pane="bottomLeft" activeCell="AH7" sqref="AH7"/>
      <selection pane="bottomRight" activeCell="F26" sqref="F26"/>
    </sheetView>
  </sheetViews>
  <sheetFormatPr defaultRowHeight="15"/>
  <cols>
    <col min="1" max="1" width="9" style="10" hidden="1" customWidth="1"/>
    <col min="2" max="2" width="4.625" style="10" customWidth="1"/>
    <col min="3" max="3" width="5.625" style="10" customWidth="1"/>
    <col min="4" max="4" width="15.625" style="10" customWidth="1"/>
    <col min="5" max="5" width="27.625" style="10" customWidth="1"/>
    <col min="6" max="6" width="50.625" style="10" customWidth="1"/>
    <col min="7" max="7" width="54" style="10" customWidth="1"/>
    <col min="8" max="8" width="49.375" style="10" customWidth="1"/>
    <col min="9" max="9" width="15.75" style="10" customWidth="1"/>
    <col min="10" max="16384" width="9" style="10"/>
  </cols>
  <sheetData>
    <row r="1" spans="1:8" ht="24" customHeight="1">
      <c r="B1" s="491" t="s">
        <v>149</v>
      </c>
      <c r="C1" s="491"/>
      <c r="D1" s="491"/>
      <c r="E1" s="491"/>
      <c r="F1" s="491"/>
      <c r="G1" s="491"/>
      <c r="H1" s="491"/>
    </row>
    <row r="2" spans="1:8" ht="21.95" customHeight="1">
      <c r="B2" s="27" t="str">
        <f>'원가계산서 (총괄-참고용)'!B2</f>
        <v>공사명 : (가칭)둔촌동 중학교 도시형캠퍼스 신축공사(1차분/전체동)</v>
      </c>
      <c r="C2" s="27"/>
      <c r="D2" s="27"/>
      <c r="E2" s="27"/>
      <c r="F2" s="27"/>
      <c r="G2" s="541"/>
      <c r="H2" s="541"/>
    </row>
    <row r="3" spans="1:8" ht="22.5" customHeight="1">
      <c r="B3" s="542" t="s">
        <v>106</v>
      </c>
      <c r="C3" s="543"/>
      <c r="D3" s="544"/>
      <c r="E3" s="544"/>
      <c r="F3" s="205" t="s">
        <v>107</v>
      </c>
      <c r="G3" s="205" t="s">
        <v>108</v>
      </c>
      <c r="H3" s="205" t="s">
        <v>109</v>
      </c>
    </row>
    <row r="4" spans="1:8" ht="22.5" customHeight="1">
      <c r="A4" s="33" t="s">
        <v>47</v>
      </c>
      <c r="B4" s="552" t="s">
        <v>48</v>
      </c>
      <c r="C4" s="536" t="s">
        <v>173</v>
      </c>
      <c r="D4" s="539" t="s">
        <v>49</v>
      </c>
      <c r="E4" s="545"/>
      <c r="F4" s="100"/>
      <c r="G4" s="101"/>
      <c r="H4" s="42"/>
    </row>
    <row r="5" spans="1:8" ht="22.5" customHeight="1">
      <c r="A5" s="33" t="s">
        <v>51</v>
      </c>
      <c r="B5" s="553"/>
      <c r="C5" s="537"/>
      <c r="D5" s="527" t="s">
        <v>52</v>
      </c>
      <c r="E5" s="530"/>
      <c r="F5" s="102"/>
      <c r="G5" s="103"/>
      <c r="H5" s="51"/>
    </row>
    <row r="6" spans="1:8" ht="22.5" customHeight="1">
      <c r="A6" s="33" t="s">
        <v>53</v>
      </c>
      <c r="B6" s="553"/>
      <c r="C6" s="537"/>
      <c r="D6" s="527" t="s">
        <v>54</v>
      </c>
      <c r="E6" s="530"/>
      <c r="F6" s="102"/>
      <c r="G6" s="103"/>
      <c r="H6" s="51"/>
    </row>
    <row r="7" spans="1:8" ht="22.5" customHeight="1">
      <c r="A7" s="33" t="s">
        <v>55</v>
      </c>
      <c r="B7" s="553"/>
      <c r="C7" s="538"/>
      <c r="D7" s="519" t="s">
        <v>56</v>
      </c>
      <c r="E7" s="546"/>
      <c r="F7" s="104"/>
      <c r="G7" s="105"/>
      <c r="H7" s="60"/>
    </row>
    <row r="8" spans="1:8" ht="22.5" customHeight="1">
      <c r="A8" s="33" t="s">
        <v>57</v>
      </c>
      <c r="B8" s="553"/>
      <c r="C8" s="536" t="s">
        <v>147</v>
      </c>
      <c r="D8" s="539" t="s">
        <v>58</v>
      </c>
      <c r="E8" s="545"/>
      <c r="F8" s="100"/>
      <c r="G8" s="101"/>
      <c r="H8" s="42"/>
    </row>
    <row r="9" spans="1:8" ht="22.5" customHeight="1">
      <c r="A9" s="33" t="s">
        <v>59</v>
      </c>
      <c r="B9" s="553"/>
      <c r="C9" s="537"/>
      <c r="D9" s="527" t="s">
        <v>60</v>
      </c>
      <c r="E9" s="530"/>
      <c r="F9" s="102"/>
      <c r="G9" s="103" t="s">
        <v>2331</v>
      </c>
      <c r="H9" s="51"/>
    </row>
    <row r="10" spans="1:8" ht="22.5" customHeight="1">
      <c r="A10" s="33" t="s">
        <v>61</v>
      </c>
      <c r="B10" s="553"/>
      <c r="C10" s="538"/>
      <c r="D10" s="519" t="s">
        <v>56</v>
      </c>
      <c r="E10" s="546"/>
      <c r="F10" s="104"/>
      <c r="G10" s="105" t="s">
        <v>50</v>
      </c>
      <c r="H10" s="60"/>
    </row>
    <row r="11" spans="1:8" ht="22.5" customHeight="1">
      <c r="A11" s="33" t="s">
        <v>62</v>
      </c>
      <c r="B11" s="553"/>
      <c r="C11" s="554" t="s">
        <v>63</v>
      </c>
      <c r="D11" s="529" t="s">
        <v>296</v>
      </c>
      <c r="E11" s="530"/>
      <c r="F11" s="100"/>
      <c r="G11" s="101" t="s">
        <v>50</v>
      </c>
      <c r="H11" s="63" t="s">
        <v>2349</v>
      </c>
    </row>
    <row r="12" spans="1:8" ht="22.5" customHeight="1">
      <c r="A12" s="33" t="s">
        <v>64</v>
      </c>
      <c r="B12" s="553"/>
      <c r="C12" s="525"/>
      <c r="D12" s="527" t="s">
        <v>65</v>
      </c>
      <c r="E12" s="530"/>
      <c r="F12" s="102"/>
      <c r="G12" s="103" t="s">
        <v>2332</v>
      </c>
      <c r="H12" s="64" t="s">
        <v>50</v>
      </c>
    </row>
    <row r="13" spans="1:8" ht="22.5" customHeight="1">
      <c r="A13" s="33" t="s">
        <v>66</v>
      </c>
      <c r="B13" s="553"/>
      <c r="C13" s="525"/>
      <c r="D13" s="527" t="s">
        <v>67</v>
      </c>
      <c r="E13" s="530"/>
      <c r="F13" s="102"/>
      <c r="G13" s="103" t="s">
        <v>2333</v>
      </c>
      <c r="H13" s="66" t="s">
        <v>2350</v>
      </c>
    </row>
    <row r="14" spans="1:8" ht="22.5" customHeight="1">
      <c r="A14" s="33" t="s">
        <v>68</v>
      </c>
      <c r="B14" s="553"/>
      <c r="C14" s="525"/>
      <c r="D14" s="527" t="s">
        <v>69</v>
      </c>
      <c r="E14" s="530"/>
      <c r="F14" s="102">
        <v>8415747</v>
      </c>
      <c r="G14" s="103" t="s">
        <v>2334</v>
      </c>
      <c r="H14" s="64" t="s">
        <v>50</v>
      </c>
    </row>
    <row r="15" spans="1:8" ht="22.5" customHeight="1">
      <c r="A15" s="33" t="s">
        <v>70</v>
      </c>
      <c r="B15" s="553"/>
      <c r="C15" s="525"/>
      <c r="D15" s="527" t="s">
        <v>71</v>
      </c>
      <c r="E15" s="530"/>
      <c r="F15" s="102">
        <v>11119555</v>
      </c>
      <c r="G15" s="103" t="s">
        <v>2335</v>
      </c>
      <c r="H15" s="64" t="s">
        <v>50</v>
      </c>
    </row>
    <row r="16" spans="1:8" ht="22.5" customHeight="1">
      <c r="A16" s="33" t="s">
        <v>72</v>
      </c>
      <c r="B16" s="553"/>
      <c r="C16" s="525"/>
      <c r="D16" s="527" t="s">
        <v>73</v>
      </c>
      <c r="E16" s="530"/>
      <c r="F16" s="102">
        <v>1105829</v>
      </c>
      <c r="G16" s="103" t="s">
        <v>2336</v>
      </c>
      <c r="H16" s="64" t="s">
        <v>50</v>
      </c>
    </row>
    <row r="17" spans="1:9" ht="22.5" customHeight="1">
      <c r="A17" s="33" t="s">
        <v>74</v>
      </c>
      <c r="B17" s="553"/>
      <c r="C17" s="525"/>
      <c r="D17" s="527" t="s">
        <v>319</v>
      </c>
      <c r="E17" s="530"/>
      <c r="F17" s="102">
        <v>5384205</v>
      </c>
      <c r="G17" s="103" t="s">
        <v>2337</v>
      </c>
      <c r="H17" s="64" t="s">
        <v>50</v>
      </c>
    </row>
    <row r="18" spans="1:9" ht="22.5" customHeight="1">
      <c r="A18" s="33" t="s">
        <v>75</v>
      </c>
      <c r="B18" s="553"/>
      <c r="C18" s="525"/>
      <c r="D18" s="527" t="s">
        <v>76</v>
      </c>
      <c r="E18" s="530"/>
      <c r="F18" s="102">
        <v>16613739</v>
      </c>
      <c r="G18" s="103" t="s">
        <v>2338</v>
      </c>
      <c r="H18" s="69">
        <v>4325000</v>
      </c>
    </row>
    <row r="19" spans="1:9" ht="22.5" customHeight="1">
      <c r="A19" s="33"/>
      <c r="B19" s="553"/>
      <c r="C19" s="525"/>
      <c r="D19" s="529" t="s">
        <v>413</v>
      </c>
      <c r="E19" s="530"/>
      <c r="F19" s="102">
        <v>15000000</v>
      </c>
      <c r="G19" s="103"/>
      <c r="H19" s="69"/>
    </row>
    <row r="20" spans="1:9" ht="22.5" customHeight="1">
      <c r="A20" s="33"/>
      <c r="B20" s="553"/>
      <c r="C20" s="525"/>
      <c r="D20" s="529" t="s">
        <v>317</v>
      </c>
      <c r="E20" s="530"/>
      <c r="F20" s="102">
        <v>26074542</v>
      </c>
      <c r="G20" s="103"/>
      <c r="H20" s="69" t="s">
        <v>2351</v>
      </c>
    </row>
    <row r="21" spans="1:9" ht="22.5" customHeight="1">
      <c r="A21" s="33" t="s">
        <v>77</v>
      </c>
      <c r="B21" s="553"/>
      <c r="C21" s="525"/>
      <c r="D21" s="207" t="s">
        <v>298</v>
      </c>
      <c r="E21" s="147" t="s">
        <v>181</v>
      </c>
      <c r="F21" s="102"/>
      <c r="G21" s="103" t="s">
        <v>2339</v>
      </c>
      <c r="H21" s="51"/>
    </row>
    <row r="22" spans="1:9" ht="22.5" customHeight="1">
      <c r="A22" s="33" t="s">
        <v>78</v>
      </c>
      <c r="B22" s="553"/>
      <c r="C22" s="525"/>
      <c r="D22" s="527" t="s">
        <v>79</v>
      </c>
      <c r="E22" s="530"/>
      <c r="F22" s="102"/>
      <c r="G22" s="103" t="s">
        <v>2340</v>
      </c>
      <c r="H22" s="51"/>
    </row>
    <row r="23" spans="1:9" ht="22.5" customHeight="1">
      <c r="A23" s="33" t="s">
        <v>80</v>
      </c>
      <c r="B23" s="553"/>
      <c r="C23" s="525"/>
      <c r="D23" s="529" t="s">
        <v>110</v>
      </c>
      <c r="E23" s="530"/>
      <c r="F23" s="102"/>
      <c r="G23" s="106" t="s">
        <v>50</v>
      </c>
      <c r="H23" s="66"/>
      <c r="I23" s="107">
        <f>'요율(숨기기하세요)'!C112</f>
        <v>0</v>
      </c>
    </row>
    <row r="24" spans="1:9" ht="22.5" customHeight="1">
      <c r="A24" s="33" t="s">
        <v>80</v>
      </c>
      <c r="B24" s="553"/>
      <c r="C24" s="525"/>
      <c r="D24" s="527" t="s">
        <v>81</v>
      </c>
      <c r="E24" s="530"/>
      <c r="F24" s="102"/>
      <c r="G24" s="103" t="s">
        <v>2341</v>
      </c>
      <c r="H24" s="51"/>
    </row>
    <row r="25" spans="1:9" ht="22.5" customHeight="1">
      <c r="A25" s="33" t="s">
        <v>80</v>
      </c>
      <c r="B25" s="553"/>
      <c r="C25" s="525"/>
      <c r="D25" s="529" t="s">
        <v>111</v>
      </c>
      <c r="E25" s="530"/>
      <c r="F25" s="102"/>
      <c r="G25" s="103" t="s">
        <v>2342</v>
      </c>
      <c r="H25" s="51"/>
    </row>
    <row r="26" spans="1:9" ht="22.5" customHeight="1">
      <c r="A26" s="33"/>
      <c r="B26" s="553"/>
      <c r="C26" s="525"/>
      <c r="D26" s="529" t="s">
        <v>553</v>
      </c>
      <c r="E26" s="530"/>
      <c r="F26" s="102"/>
      <c r="G26" s="103" t="s">
        <v>2343</v>
      </c>
      <c r="H26" s="241"/>
    </row>
    <row r="27" spans="1:9" ht="22.5" customHeight="1">
      <c r="A27" s="33"/>
      <c r="B27" s="553"/>
      <c r="C27" s="525"/>
      <c r="D27" s="529" t="s">
        <v>554</v>
      </c>
      <c r="E27" s="530"/>
      <c r="F27" s="102"/>
      <c r="G27" s="103" t="s">
        <v>2344</v>
      </c>
      <c r="H27" s="241"/>
    </row>
    <row r="28" spans="1:9" ht="22.5" customHeight="1">
      <c r="A28" s="33" t="s">
        <v>82</v>
      </c>
      <c r="B28" s="553"/>
      <c r="C28" s="526"/>
      <c r="D28" s="519" t="s">
        <v>56</v>
      </c>
      <c r="E28" s="520"/>
      <c r="F28" s="104"/>
      <c r="G28" s="105" t="s">
        <v>50</v>
      </c>
      <c r="H28" s="60"/>
    </row>
    <row r="29" spans="1:9" ht="22.5" customHeight="1">
      <c r="A29" s="33" t="s">
        <v>83</v>
      </c>
      <c r="B29" s="533" t="s">
        <v>112</v>
      </c>
      <c r="C29" s="534"/>
      <c r="D29" s="535"/>
      <c r="E29" s="535"/>
      <c r="F29" s="108">
        <v>815288223</v>
      </c>
      <c r="G29" s="109" t="s">
        <v>50</v>
      </c>
      <c r="H29" s="80"/>
    </row>
    <row r="30" spans="1:9" ht="22.5" customHeight="1">
      <c r="A30" s="33" t="s">
        <v>85</v>
      </c>
      <c r="B30" s="513" t="s">
        <v>86</v>
      </c>
      <c r="C30" s="513"/>
      <c r="D30" s="518"/>
      <c r="E30" s="518"/>
      <c r="F30" s="108"/>
      <c r="G30" s="109" t="s">
        <v>2345</v>
      </c>
      <c r="H30" s="80"/>
    </row>
    <row r="31" spans="1:9" ht="22.5" customHeight="1">
      <c r="A31" s="33" t="s">
        <v>87</v>
      </c>
      <c r="B31" s="513" t="s">
        <v>88</v>
      </c>
      <c r="C31" s="513"/>
      <c r="D31" s="518"/>
      <c r="E31" s="518"/>
      <c r="F31" s="108"/>
      <c r="G31" s="109" t="s">
        <v>2346</v>
      </c>
      <c r="H31" s="83"/>
    </row>
    <row r="32" spans="1:9" s="273" customFormat="1" ht="22.5" hidden="1" customHeight="1">
      <c r="A32" s="269"/>
      <c r="B32" s="516" t="s">
        <v>409</v>
      </c>
      <c r="C32" s="517"/>
      <c r="D32" s="517"/>
      <c r="E32" s="517"/>
      <c r="F32" s="270"/>
      <c r="G32" s="271"/>
      <c r="H32" s="272"/>
    </row>
    <row r="33" spans="1:10" s="273" customFormat="1" ht="22.5" hidden="1" customHeight="1">
      <c r="A33" s="269"/>
      <c r="B33" s="516" t="s">
        <v>351</v>
      </c>
      <c r="C33" s="517"/>
      <c r="D33" s="517"/>
      <c r="E33" s="517"/>
      <c r="F33" s="270"/>
      <c r="G33" s="271"/>
      <c r="H33" s="272"/>
    </row>
    <row r="34" spans="1:10" ht="22.5" customHeight="1">
      <c r="A34" s="33"/>
      <c r="B34" s="514" t="s">
        <v>113</v>
      </c>
      <c r="C34" s="515"/>
      <c r="D34" s="515"/>
      <c r="E34" s="515"/>
      <c r="F34" s="110"/>
      <c r="G34" s="109"/>
      <c r="H34" s="83"/>
    </row>
    <row r="35" spans="1:10" ht="22.5" customHeight="1">
      <c r="A35" s="33" t="s">
        <v>89</v>
      </c>
      <c r="B35" s="513" t="s">
        <v>90</v>
      </c>
      <c r="C35" s="513"/>
      <c r="D35" s="513"/>
      <c r="E35" s="513"/>
      <c r="F35" s="108">
        <v>981440000</v>
      </c>
      <c r="G35" s="109"/>
      <c r="H35" s="80"/>
      <c r="I35" s="96"/>
      <c r="J35" s="96"/>
    </row>
    <row r="36" spans="1:10" s="273" customFormat="1" ht="22.5" hidden="1" customHeight="1">
      <c r="A36" s="269"/>
      <c r="B36" s="516" t="s">
        <v>398</v>
      </c>
      <c r="C36" s="517"/>
      <c r="D36" s="517"/>
      <c r="E36" s="517"/>
      <c r="F36" s="270"/>
      <c r="G36" s="271"/>
      <c r="H36" s="272"/>
      <c r="I36" s="314"/>
      <c r="J36" s="314"/>
    </row>
    <row r="37" spans="1:10" s="273" customFormat="1" ht="22.5" hidden="1" customHeight="1">
      <c r="A37" s="269"/>
      <c r="B37" s="516" t="s">
        <v>172</v>
      </c>
      <c r="C37" s="517"/>
      <c r="D37" s="517"/>
      <c r="E37" s="517"/>
      <c r="F37" s="270"/>
      <c r="G37" s="271"/>
      <c r="H37" s="272"/>
    </row>
    <row r="38" spans="1:10" ht="22.5" hidden="1" customHeight="1">
      <c r="A38" s="33"/>
      <c r="B38" s="551" t="s">
        <v>500</v>
      </c>
      <c r="C38" s="513"/>
      <c r="D38" s="513"/>
      <c r="E38" s="513"/>
      <c r="F38" s="108"/>
      <c r="G38" s="208"/>
      <c r="H38" s="80"/>
      <c r="I38" s="96"/>
      <c r="J38" s="96"/>
    </row>
    <row r="39" spans="1:10" ht="22.5" customHeight="1">
      <c r="A39" s="33" t="s">
        <v>91</v>
      </c>
      <c r="B39" s="513" t="s">
        <v>92</v>
      </c>
      <c r="C39" s="513"/>
      <c r="D39" s="513"/>
      <c r="E39" s="513"/>
      <c r="F39" s="466">
        <v>98144000</v>
      </c>
      <c r="G39" s="109" t="s">
        <v>2347</v>
      </c>
      <c r="H39" s="80"/>
    </row>
    <row r="40" spans="1:10" ht="22.5" customHeight="1">
      <c r="A40" s="33" t="s">
        <v>93</v>
      </c>
      <c r="B40" s="513" t="s">
        <v>94</v>
      </c>
      <c r="C40" s="513"/>
      <c r="D40" s="513"/>
      <c r="E40" s="513"/>
      <c r="F40" s="108">
        <v>1079584000</v>
      </c>
      <c r="G40" s="109"/>
      <c r="H40" s="80"/>
    </row>
    <row r="41" spans="1:10" ht="22.5" customHeight="1">
      <c r="A41" s="33" t="s">
        <v>95</v>
      </c>
      <c r="B41" s="514" t="str">
        <f>'원가계산서 (총괄-참고용)'!$B$45:$E$45</f>
        <v>도급자설치관급</v>
      </c>
      <c r="C41" s="515"/>
      <c r="D41" s="515"/>
      <c r="E41" s="515"/>
      <c r="F41" s="110">
        <v>440401000</v>
      </c>
      <c r="G41" s="109"/>
      <c r="H41" s="83"/>
    </row>
    <row r="42" spans="1:10" ht="22.5" customHeight="1">
      <c r="A42" s="33" t="s">
        <v>95</v>
      </c>
      <c r="B42" s="514" t="str">
        <f>'원가계산서 (총괄-참고용)'!$B$46:$E$46</f>
        <v>관급자설치관급</v>
      </c>
      <c r="C42" s="515"/>
      <c r="D42" s="515"/>
      <c r="E42" s="515"/>
      <c r="F42" s="110"/>
      <c r="G42" s="109"/>
      <c r="H42" s="83"/>
    </row>
    <row r="43" spans="1:10" s="437" customFormat="1" ht="22.5" customHeight="1">
      <c r="A43" s="433"/>
      <c r="B43" s="547" t="s">
        <v>389</v>
      </c>
      <c r="C43" s="548"/>
      <c r="D43" s="548"/>
      <c r="E43" s="548"/>
      <c r="F43" s="434"/>
      <c r="G43" s="435"/>
      <c r="H43" s="436"/>
    </row>
    <row r="44" spans="1:10" ht="22.5" customHeight="1">
      <c r="A44" s="33" t="s">
        <v>97</v>
      </c>
      <c r="B44" s="513" t="s">
        <v>98</v>
      </c>
      <c r="C44" s="513"/>
      <c r="D44" s="513"/>
      <c r="E44" s="513"/>
      <c r="F44" s="108">
        <v>1519985000</v>
      </c>
      <c r="G44" s="109"/>
      <c r="H44" s="80"/>
    </row>
  </sheetData>
  <mergeCells count="47">
    <mergeCell ref="B39:E39"/>
    <mergeCell ref="B40:E40"/>
    <mergeCell ref="B41:E41"/>
    <mergeCell ref="B42:E42"/>
    <mergeCell ref="D11:E11"/>
    <mergeCell ref="D28:E28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20:E20"/>
    <mergeCell ref="B44:E44"/>
    <mergeCell ref="B36:E36"/>
    <mergeCell ref="B38:E38"/>
    <mergeCell ref="B43:E43"/>
    <mergeCell ref="B1:H1"/>
    <mergeCell ref="G2:H2"/>
    <mergeCell ref="B3:E3"/>
    <mergeCell ref="B4:B28"/>
    <mergeCell ref="C4:C7"/>
    <mergeCell ref="C8:C10"/>
    <mergeCell ref="C11:C28"/>
    <mergeCell ref="D10:E10"/>
    <mergeCell ref="D4:E4"/>
    <mergeCell ref="D5:E5"/>
    <mergeCell ref="D6:E6"/>
    <mergeCell ref="D7:E7"/>
    <mergeCell ref="D8:E8"/>
    <mergeCell ref="D9:E9"/>
    <mergeCell ref="D12:E12"/>
    <mergeCell ref="D13:E13"/>
    <mergeCell ref="B29:E29"/>
    <mergeCell ref="D19:E19"/>
    <mergeCell ref="D26:E26"/>
    <mergeCell ref="D27:E27"/>
    <mergeCell ref="B30:E30"/>
    <mergeCell ref="B31:E31"/>
    <mergeCell ref="B34:E34"/>
    <mergeCell ref="B37:E37"/>
    <mergeCell ref="B33:E33"/>
    <mergeCell ref="B32:E32"/>
    <mergeCell ref="B35:E35"/>
  </mergeCells>
  <phoneticPr fontId="3" type="noConversion"/>
  <printOptions horizontalCentered="1" verticalCentered="1"/>
  <pageMargins left="0.78740157480314965" right="0.31496062992125984" top="0.39370078740157483" bottom="0.39370078740157483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I39"/>
  <sheetViews>
    <sheetView view="pageBreakPreview" topLeftCell="B1" zoomScale="80" zoomScaleSheetLayoutView="80" workbookViewId="0">
      <pane xSplit="4" ySplit="3" topLeftCell="F4" activePane="bottomRight" state="frozen"/>
      <selection activeCell="AH7" sqref="AH7"/>
      <selection pane="topRight" activeCell="AH7" sqref="AH7"/>
      <selection pane="bottomLeft" activeCell="AH7" sqref="AH7"/>
      <selection pane="bottomRight" activeCell="G21" sqref="G21"/>
    </sheetView>
  </sheetViews>
  <sheetFormatPr defaultRowHeight="15"/>
  <cols>
    <col min="1" max="1" width="0" style="10" hidden="1" customWidth="1"/>
    <col min="2" max="3" width="5.625" style="10" customWidth="1"/>
    <col min="4" max="4" width="15.625" style="10" customWidth="1"/>
    <col min="5" max="5" width="27.625" style="10" customWidth="1"/>
    <col min="6" max="6" width="50.625" style="10" customWidth="1"/>
    <col min="7" max="8" width="46.125" style="10" customWidth="1"/>
    <col min="9" max="16384" width="9" style="10"/>
  </cols>
  <sheetData>
    <row r="1" spans="1:8" ht="24" customHeight="1">
      <c r="B1" s="491" t="s">
        <v>148</v>
      </c>
      <c r="C1" s="491"/>
      <c r="D1" s="491"/>
      <c r="E1" s="491"/>
      <c r="F1" s="491"/>
      <c r="G1" s="491"/>
      <c r="H1" s="491"/>
    </row>
    <row r="2" spans="1:8" ht="21.95" customHeight="1">
      <c r="B2" s="27" t="str">
        <f>'원가계산서 (총괄-참고용)'!B2</f>
        <v>공사명 : (가칭)둔촌동 중학교 도시형캠퍼스 신축공사(1차분/전체동)</v>
      </c>
      <c r="C2" s="27"/>
      <c r="D2" s="27"/>
      <c r="E2" s="27"/>
      <c r="F2" s="27"/>
      <c r="G2" s="541"/>
      <c r="H2" s="541"/>
    </row>
    <row r="3" spans="1:8" ht="21.95" customHeight="1">
      <c r="B3" s="542" t="s">
        <v>106</v>
      </c>
      <c r="C3" s="543"/>
      <c r="D3" s="544"/>
      <c r="E3" s="544"/>
      <c r="F3" s="205" t="s">
        <v>107</v>
      </c>
      <c r="G3" s="205" t="s">
        <v>108</v>
      </c>
      <c r="H3" s="205" t="s">
        <v>109</v>
      </c>
    </row>
    <row r="4" spans="1:8" ht="21.95" customHeight="1">
      <c r="A4" s="33" t="s">
        <v>47</v>
      </c>
      <c r="B4" s="552" t="s">
        <v>48</v>
      </c>
      <c r="C4" s="536" t="s">
        <v>173</v>
      </c>
      <c r="D4" s="539" t="s">
        <v>49</v>
      </c>
      <c r="E4" s="545"/>
      <c r="F4" s="100"/>
      <c r="G4" s="101" t="s">
        <v>50</v>
      </c>
      <c r="H4" s="42" t="s">
        <v>50</v>
      </c>
    </row>
    <row r="5" spans="1:8" ht="21.95" customHeight="1">
      <c r="A5" s="33" t="s">
        <v>51</v>
      </c>
      <c r="B5" s="553"/>
      <c r="C5" s="537"/>
      <c r="D5" s="527" t="s">
        <v>52</v>
      </c>
      <c r="E5" s="530"/>
      <c r="F5" s="102"/>
      <c r="G5" s="103"/>
      <c r="H5" s="51"/>
    </row>
    <row r="6" spans="1:8" ht="21.95" customHeight="1">
      <c r="A6" s="33" t="s">
        <v>53</v>
      </c>
      <c r="B6" s="553"/>
      <c r="C6" s="537"/>
      <c r="D6" s="527" t="s">
        <v>54</v>
      </c>
      <c r="E6" s="530"/>
      <c r="F6" s="102"/>
      <c r="G6" s="103"/>
      <c r="H6" s="51"/>
    </row>
    <row r="7" spans="1:8" ht="21.95" customHeight="1">
      <c r="A7" s="33" t="s">
        <v>55</v>
      </c>
      <c r="B7" s="553"/>
      <c r="C7" s="538"/>
      <c r="D7" s="519" t="s">
        <v>56</v>
      </c>
      <c r="E7" s="546"/>
      <c r="F7" s="104"/>
      <c r="G7" s="105"/>
      <c r="H7" s="60"/>
    </row>
    <row r="8" spans="1:8" ht="21.95" customHeight="1">
      <c r="A8" s="33" t="s">
        <v>57</v>
      </c>
      <c r="B8" s="553"/>
      <c r="C8" s="536" t="s">
        <v>147</v>
      </c>
      <c r="D8" s="539" t="s">
        <v>58</v>
      </c>
      <c r="E8" s="545"/>
      <c r="F8" s="100"/>
      <c r="G8" s="101"/>
      <c r="H8" s="42"/>
    </row>
    <row r="9" spans="1:8" ht="21.95" customHeight="1">
      <c r="A9" s="33" t="s">
        <v>59</v>
      </c>
      <c r="B9" s="553"/>
      <c r="C9" s="537"/>
      <c r="D9" s="527" t="s">
        <v>60</v>
      </c>
      <c r="E9" s="530"/>
      <c r="F9" s="102"/>
      <c r="G9" s="103" t="s">
        <v>2331</v>
      </c>
      <c r="H9" s="51"/>
    </row>
    <row r="10" spans="1:8" ht="21.95" customHeight="1">
      <c r="A10" s="33" t="s">
        <v>61</v>
      </c>
      <c r="B10" s="553"/>
      <c r="C10" s="538"/>
      <c r="D10" s="519" t="s">
        <v>56</v>
      </c>
      <c r="E10" s="546"/>
      <c r="F10" s="104"/>
      <c r="G10" s="105" t="s">
        <v>50</v>
      </c>
      <c r="H10" s="60"/>
    </row>
    <row r="11" spans="1:8" ht="21.95" customHeight="1">
      <c r="A11" s="33" t="s">
        <v>62</v>
      </c>
      <c r="B11" s="553"/>
      <c r="C11" s="523" t="s">
        <v>63</v>
      </c>
      <c r="D11" s="529" t="s">
        <v>296</v>
      </c>
      <c r="E11" s="530"/>
      <c r="F11" s="100"/>
      <c r="G11" s="101" t="s">
        <v>50</v>
      </c>
      <c r="H11" s="63" t="s">
        <v>2349</v>
      </c>
    </row>
    <row r="12" spans="1:8" ht="21.95" customHeight="1">
      <c r="A12" s="33" t="s">
        <v>64</v>
      </c>
      <c r="B12" s="553"/>
      <c r="C12" s="524"/>
      <c r="D12" s="527" t="s">
        <v>65</v>
      </c>
      <c r="E12" s="530"/>
      <c r="F12" s="102"/>
      <c r="G12" s="103" t="s">
        <v>2332</v>
      </c>
      <c r="H12" s="64" t="s">
        <v>50</v>
      </c>
    </row>
    <row r="13" spans="1:8" ht="21.95" customHeight="1">
      <c r="A13" s="33" t="s">
        <v>66</v>
      </c>
      <c r="B13" s="553"/>
      <c r="C13" s="524"/>
      <c r="D13" s="527" t="s">
        <v>67</v>
      </c>
      <c r="E13" s="530"/>
      <c r="F13" s="102"/>
      <c r="G13" s="103" t="s">
        <v>2333</v>
      </c>
      <c r="H13" s="66" t="s">
        <v>2350</v>
      </c>
    </row>
    <row r="14" spans="1:8" ht="21.95" customHeight="1">
      <c r="A14" s="33" t="s">
        <v>68</v>
      </c>
      <c r="B14" s="553"/>
      <c r="C14" s="524"/>
      <c r="D14" s="527" t="s">
        <v>69</v>
      </c>
      <c r="E14" s="530"/>
      <c r="F14" s="102">
        <v>2554385</v>
      </c>
      <c r="G14" s="103" t="s">
        <v>2334</v>
      </c>
      <c r="H14" s="64" t="s">
        <v>50</v>
      </c>
    </row>
    <row r="15" spans="1:8" ht="21.95" customHeight="1">
      <c r="A15" s="33" t="s">
        <v>70</v>
      </c>
      <c r="B15" s="553"/>
      <c r="C15" s="524"/>
      <c r="D15" s="527" t="s">
        <v>71</v>
      </c>
      <c r="E15" s="530"/>
      <c r="F15" s="102">
        <v>3375056</v>
      </c>
      <c r="G15" s="103" t="s">
        <v>2335</v>
      </c>
      <c r="H15" s="64" t="s">
        <v>50</v>
      </c>
    </row>
    <row r="16" spans="1:8" ht="21.95" customHeight="1">
      <c r="A16" s="33" t="s">
        <v>72</v>
      </c>
      <c r="B16" s="553"/>
      <c r="C16" s="524"/>
      <c r="D16" s="527" t="s">
        <v>73</v>
      </c>
      <c r="E16" s="530"/>
      <c r="F16" s="102">
        <v>335646</v>
      </c>
      <c r="G16" s="103" t="s">
        <v>2336</v>
      </c>
      <c r="H16" s="64" t="s">
        <v>50</v>
      </c>
    </row>
    <row r="17" spans="1:9" ht="21.95" customHeight="1">
      <c r="A17" s="33" t="s">
        <v>74</v>
      </c>
      <c r="B17" s="553"/>
      <c r="C17" s="524"/>
      <c r="D17" s="527" t="s">
        <v>319</v>
      </c>
      <c r="E17" s="530"/>
      <c r="F17" s="102">
        <v>1634238</v>
      </c>
      <c r="G17" s="103" t="s">
        <v>2337</v>
      </c>
      <c r="H17" s="64" t="s">
        <v>50</v>
      </c>
    </row>
    <row r="18" spans="1:9" ht="21.95" customHeight="1">
      <c r="A18" s="33" t="s">
        <v>75</v>
      </c>
      <c r="B18" s="553"/>
      <c r="C18" s="524"/>
      <c r="D18" s="527" t="s">
        <v>76</v>
      </c>
      <c r="E18" s="530"/>
      <c r="F18" s="102">
        <v>3013671</v>
      </c>
      <c r="G18" s="103" t="s">
        <v>2338</v>
      </c>
      <c r="H18" s="69"/>
    </row>
    <row r="19" spans="1:9" ht="21.95" customHeight="1">
      <c r="A19" s="33" t="s">
        <v>75</v>
      </c>
      <c r="B19" s="553"/>
      <c r="C19" s="524"/>
      <c r="D19" s="207" t="s">
        <v>297</v>
      </c>
      <c r="E19" s="147" t="s">
        <v>294</v>
      </c>
      <c r="F19" s="102"/>
      <c r="G19" s="103" t="s">
        <v>50</v>
      </c>
      <c r="H19" s="66"/>
    </row>
    <row r="20" spans="1:9" ht="21.95" customHeight="1">
      <c r="A20" s="33"/>
      <c r="B20" s="553"/>
      <c r="C20" s="524"/>
      <c r="D20" s="529" t="s">
        <v>317</v>
      </c>
      <c r="E20" s="530"/>
      <c r="F20" s="102"/>
      <c r="G20" s="103"/>
      <c r="H20" s="66" t="s">
        <v>2351</v>
      </c>
    </row>
    <row r="21" spans="1:9" ht="21.95" customHeight="1">
      <c r="A21" s="33" t="s">
        <v>77</v>
      </c>
      <c r="B21" s="553"/>
      <c r="C21" s="524"/>
      <c r="D21" s="207" t="s">
        <v>298</v>
      </c>
      <c r="E21" s="147" t="s">
        <v>181</v>
      </c>
      <c r="F21" s="102"/>
      <c r="G21" s="103" t="s">
        <v>2339</v>
      </c>
      <c r="H21" s="51" t="s">
        <v>50</v>
      </c>
    </row>
    <row r="22" spans="1:9" ht="21.95" customHeight="1">
      <c r="A22" s="33" t="s">
        <v>78</v>
      </c>
      <c r="B22" s="553"/>
      <c r="C22" s="524"/>
      <c r="D22" s="527" t="s">
        <v>79</v>
      </c>
      <c r="E22" s="530"/>
      <c r="F22" s="102"/>
      <c r="G22" s="103" t="s">
        <v>2340</v>
      </c>
      <c r="H22" s="51" t="s">
        <v>50</v>
      </c>
    </row>
    <row r="23" spans="1:9" ht="21.95" customHeight="1">
      <c r="A23" s="33" t="s">
        <v>80</v>
      </c>
      <c r="B23" s="553"/>
      <c r="C23" s="524"/>
      <c r="D23" s="529" t="s">
        <v>110</v>
      </c>
      <c r="E23" s="530"/>
      <c r="F23" s="102"/>
      <c r="G23" s="106"/>
      <c r="H23" s="66" t="s">
        <v>2352</v>
      </c>
      <c r="I23" s="107"/>
    </row>
    <row r="24" spans="1:9" ht="21.95" customHeight="1">
      <c r="A24" s="33" t="s">
        <v>80</v>
      </c>
      <c r="B24" s="553"/>
      <c r="C24" s="524"/>
      <c r="D24" s="527" t="s">
        <v>81</v>
      </c>
      <c r="E24" s="530"/>
      <c r="F24" s="102"/>
      <c r="G24" s="103" t="s">
        <v>2341</v>
      </c>
      <c r="H24" s="51"/>
    </row>
    <row r="25" spans="1:9" ht="21.95" customHeight="1">
      <c r="A25" s="33" t="s">
        <v>80</v>
      </c>
      <c r="B25" s="553"/>
      <c r="C25" s="524"/>
      <c r="D25" s="527" t="str">
        <f>'원가계산서 (건축-참고용)'!D25</f>
        <v>건설기계대여대금지급보증서발급수수료</v>
      </c>
      <c r="E25" s="530"/>
      <c r="F25" s="102"/>
      <c r="G25" s="103" t="s">
        <v>2342</v>
      </c>
      <c r="H25" s="51"/>
    </row>
    <row r="26" spans="1:9" ht="21.95" customHeight="1">
      <c r="A26" s="33"/>
      <c r="B26" s="553"/>
      <c r="C26" s="524"/>
      <c r="D26" s="527" t="str">
        <f>'원가계산서 (건축-참고용)'!D26</f>
        <v>석면분담금</v>
      </c>
      <c r="E26" s="530"/>
      <c r="F26" s="102"/>
      <c r="G26" s="103" t="s">
        <v>2343</v>
      </c>
      <c r="H26" s="241"/>
    </row>
    <row r="27" spans="1:9" ht="21.95" customHeight="1">
      <c r="A27" s="33"/>
      <c r="B27" s="553"/>
      <c r="C27" s="524"/>
      <c r="D27" s="527" t="str">
        <f>'원가계산서 (건축-참고용)'!D27</f>
        <v>임금채권부담금</v>
      </c>
      <c r="E27" s="530"/>
      <c r="F27" s="102"/>
      <c r="G27" s="103" t="s">
        <v>2344</v>
      </c>
      <c r="H27" s="241"/>
    </row>
    <row r="28" spans="1:9" ht="21.95" customHeight="1">
      <c r="A28" s="33" t="s">
        <v>82</v>
      </c>
      <c r="B28" s="553"/>
      <c r="C28" s="550"/>
      <c r="D28" s="519" t="s">
        <v>56</v>
      </c>
      <c r="E28" s="546"/>
      <c r="F28" s="104"/>
      <c r="G28" s="105" t="s">
        <v>50</v>
      </c>
      <c r="H28" s="60"/>
    </row>
    <row r="29" spans="1:9" ht="21.95" customHeight="1">
      <c r="A29" s="33" t="s">
        <v>83</v>
      </c>
      <c r="B29" s="533" t="s">
        <v>112</v>
      </c>
      <c r="C29" s="534"/>
      <c r="D29" s="535"/>
      <c r="E29" s="535"/>
      <c r="F29" s="466">
        <v>164846707</v>
      </c>
      <c r="G29" s="109" t="s">
        <v>50</v>
      </c>
      <c r="H29" s="80"/>
    </row>
    <row r="30" spans="1:9" ht="21.95" customHeight="1">
      <c r="A30" s="33" t="s">
        <v>85</v>
      </c>
      <c r="B30" s="513" t="s">
        <v>86</v>
      </c>
      <c r="C30" s="513"/>
      <c r="D30" s="518"/>
      <c r="E30" s="518"/>
      <c r="F30" s="108"/>
      <c r="G30" s="109" t="s">
        <v>2345</v>
      </c>
      <c r="H30" s="80"/>
    </row>
    <row r="31" spans="1:9" ht="21.95" customHeight="1">
      <c r="A31" s="33" t="s">
        <v>87</v>
      </c>
      <c r="B31" s="513" t="s">
        <v>88</v>
      </c>
      <c r="C31" s="513"/>
      <c r="D31" s="518"/>
      <c r="E31" s="518"/>
      <c r="F31" s="108"/>
      <c r="G31" s="109" t="s">
        <v>2346</v>
      </c>
      <c r="H31" s="83"/>
    </row>
    <row r="32" spans="1:9" ht="21.95" customHeight="1">
      <c r="A32" s="33"/>
      <c r="B32" s="514" t="s">
        <v>113</v>
      </c>
      <c r="C32" s="515"/>
      <c r="D32" s="515"/>
      <c r="E32" s="515"/>
      <c r="F32" s="110"/>
      <c r="G32" s="109"/>
      <c r="H32" s="83"/>
    </row>
    <row r="33" spans="1:8" ht="21.95" customHeight="1">
      <c r="A33" s="33" t="s">
        <v>89</v>
      </c>
      <c r="B33" s="513" t="s">
        <v>90</v>
      </c>
      <c r="C33" s="513"/>
      <c r="D33" s="518"/>
      <c r="E33" s="518"/>
      <c r="F33" s="466">
        <v>198870000</v>
      </c>
      <c r="G33" s="109" t="s">
        <v>50</v>
      </c>
      <c r="H33" s="80"/>
    </row>
    <row r="34" spans="1:8" ht="21.95" customHeight="1">
      <c r="A34" s="33" t="s">
        <v>91</v>
      </c>
      <c r="B34" s="513" t="s">
        <v>92</v>
      </c>
      <c r="C34" s="513"/>
      <c r="D34" s="518"/>
      <c r="E34" s="518"/>
      <c r="F34" s="466">
        <v>19887000</v>
      </c>
      <c r="G34" s="109" t="s">
        <v>2347</v>
      </c>
      <c r="H34" s="80"/>
    </row>
    <row r="35" spans="1:8" ht="21.95" customHeight="1">
      <c r="A35" s="33" t="s">
        <v>93</v>
      </c>
      <c r="B35" s="513" t="s">
        <v>94</v>
      </c>
      <c r="C35" s="513"/>
      <c r="D35" s="513"/>
      <c r="E35" s="513"/>
      <c r="F35" s="466">
        <v>218757000</v>
      </c>
      <c r="G35" s="109"/>
      <c r="H35" s="80"/>
    </row>
    <row r="36" spans="1:8" ht="21.95" customHeight="1">
      <c r="A36" s="33" t="s">
        <v>95</v>
      </c>
      <c r="B36" s="514" t="str">
        <f>'원가계산서 (총괄-참고용)'!$B$45:$E$45</f>
        <v>도급자설치관급</v>
      </c>
      <c r="C36" s="515"/>
      <c r="D36" s="515"/>
      <c r="E36" s="515"/>
      <c r="F36" s="110"/>
      <c r="G36" s="109"/>
      <c r="H36" s="83"/>
    </row>
    <row r="37" spans="1:8" ht="21" customHeight="1">
      <c r="A37" s="33" t="s">
        <v>95</v>
      </c>
      <c r="B37" s="514" t="str">
        <f>'원가계산서 (총괄-참고용)'!$B$46:$E$46</f>
        <v>관급자설치관급</v>
      </c>
      <c r="C37" s="515"/>
      <c r="D37" s="515"/>
      <c r="E37" s="515"/>
      <c r="F37" s="110"/>
      <c r="G37" s="109"/>
      <c r="H37" s="83"/>
    </row>
    <row r="38" spans="1:8" ht="21.95" hidden="1" customHeight="1">
      <c r="A38" s="33"/>
      <c r="B38" s="514" t="s">
        <v>346</v>
      </c>
      <c r="C38" s="515"/>
      <c r="D38" s="515"/>
      <c r="E38" s="515"/>
      <c r="F38" s="110"/>
      <c r="G38" s="109"/>
      <c r="H38" s="83"/>
    </row>
    <row r="39" spans="1:8" ht="21.95" customHeight="1">
      <c r="A39" s="33" t="s">
        <v>97</v>
      </c>
      <c r="B39" s="513" t="s">
        <v>98</v>
      </c>
      <c r="C39" s="513"/>
      <c r="D39" s="513"/>
      <c r="E39" s="513"/>
      <c r="F39" s="108">
        <v>218757000</v>
      </c>
      <c r="G39" s="109"/>
      <c r="H39" s="80"/>
    </row>
  </sheetData>
  <mergeCells count="41">
    <mergeCell ref="B38:E38"/>
    <mergeCell ref="B39:E39"/>
    <mergeCell ref="D7:E7"/>
    <mergeCell ref="D8:E8"/>
    <mergeCell ref="D28:E28"/>
    <mergeCell ref="D9:E9"/>
    <mergeCell ref="D10:E10"/>
    <mergeCell ref="D12:E12"/>
    <mergeCell ref="D13:E13"/>
    <mergeCell ref="D14:E14"/>
    <mergeCell ref="D15:E15"/>
    <mergeCell ref="D16:E16"/>
    <mergeCell ref="D17:E17"/>
    <mergeCell ref="D18:E18"/>
    <mergeCell ref="B35:E35"/>
    <mergeCell ref="B36:E36"/>
    <mergeCell ref="B37:E37"/>
    <mergeCell ref="D22:E22"/>
    <mergeCell ref="D23:E23"/>
    <mergeCell ref="D24:E24"/>
    <mergeCell ref="D25:E25"/>
    <mergeCell ref="B34:E34"/>
    <mergeCell ref="B29:E29"/>
    <mergeCell ref="B30:E30"/>
    <mergeCell ref="B31:E31"/>
    <mergeCell ref="B33:E33"/>
    <mergeCell ref="B32:E32"/>
    <mergeCell ref="D4:E4"/>
    <mergeCell ref="B1:H1"/>
    <mergeCell ref="G2:H2"/>
    <mergeCell ref="B3:E3"/>
    <mergeCell ref="B4:B28"/>
    <mergeCell ref="C4:C7"/>
    <mergeCell ref="C8:C10"/>
    <mergeCell ref="D5:E5"/>
    <mergeCell ref="D6:E6"/>
    <mergeCell ref="D11:E11"/>
    <mergeCell ref="D20:E20"/>
    <mergeCell ref="D26:E26"/>
    <mergeCell ref="D27:E27"/>
    <mergeCell ref="C11:C28"/>
  </mergeCells>
  <phoneticPr fontId="3" type="noConversion"/>
  <printOptions horizontalCentered="1" verticalCentered="1"/>
  <pageMargins left="0.78740157480314965" right="0.31496062992125984" top="0.39370078740157483" bottom="0.39370078740157483" header="0.31496062992125984" footer="0.31496062992125984"/>
  <pageSetup paperSize="9"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J103"/>
  <sheetViews>
    <sheetView view="pageBreakPreview" zoomScale="80" zoomScaleNormal="80" zoomScaleSheetLayoutView="80" workbookViewId="0">
      <pane xSplit="9" ySplit="4" topLeftCell="J6" activePane="bottomRight" state="frozen"/>
      <selection activeCell="AH7" sqref="AH7"/>
      <selection pane="topRight" activeCell="AH7" sqref="AH7"/>
      <selection pane="bottomLeft" activeCell="AH7" sqref="AH7"/>
      <selection pane="bottomRight" activeCell="L28" sqref="L28"/>
    </sheetView>
  </sheetViews>
  <sheetFormatPr defaultRowHeight="15"/>
  <cols>
    <col min="1" max="1" width="3" style="111" bestFit="1" customWidth="1"/>
    <col min="2" max="2" width="8.125" style="111" bestFit="1" customWidth="1"/>
    <col min="3" max="3" width="10.75" style="111" customWidth="1"/>
    <col min="4" max="4" width="4" style="111" customWidth="1"/>
    <col min="5" max="5" width="10.25" style="111" customWidth="1"/>
    <col min="6" max="6" width="45.875" style="111" customWidth="1"/>
    <col min="7" max="7" width="23.375" style="111" customWidth="1"/>
    <col min="8" max="9" width="5.375" style="111" customWidth="1"/>
    <col min="10" max="17" width="15.5" style="111" customWidth="1"/>
    <col min="18" max="18" width="14.375" style="111" customWidth="1"/>
    <col min="19" max="21" width="3.125" style="111" hidden="1" customWidth="1"/>
    <col min="22" max="24" width="2" style="111" hidden="1" customWidth="1"/>
    <col min="25" max="25" width="21.125" style="111" hidden="1" customWidth="1"/>
    <col min="26" max="26" width="17.375" style="111" customWidth="1"/>
    <col min="27" max="27" width="18" style="111" bestFit="1" customWidth="1"/>
    <col min="28" max="28" width="3.625" style="111" customWidth="1"/>
    <col min="29" max="32" width="9" style="111"/>
    <col min="33" max="33" width="3.375" style="111" customWidth="1"/>
    <col min="34" max="34" width="9" style="111"/>
    <col min="35" max="35" width="1.625" style="111" customWidth="1"/>
    <col min="36" max="263" width="9" style="111"/>
    <col min="264" max="264" width="45.875" style="111" customWidth="1"/>
    <col min="265" max="265" width="23.375" style="111" customWidth="1"/>
    <col min="266" max="267" width="5.375" style="111" customWidth="1"/>
    <col min="268" max="275" width="15.5" style="111" customWidth="1"/>
    <col min="276" max="276" width="14.375" style="111" customWidth="1"/>
    <col min="277" max="283" width="0" style="111" hidden="1" customWidth="1"/>
    <col min="284" max="519" width="9" style="111"/>
    <col min="520" max="520" width="45.875" style="111" customWidth="1"/>
    <col min="521" max="521" width="23.375" style="111" customWidth="1"/>
    <col min="522" max="523" width="5.375" style="111" customWidth="1"/>
    <col min="524" max="531" width="15.5" style="111" customWidth="1"/>
    <col min="532" max="532" width="14.375" style="111" customWidth="1"/>
    <col min="533" max="539" width="0" style="111" hidden="1" customWidth="1"/>
    <col min="540" max="775" width="9" style="111"/>
    <col min="776" max="776" width="45.875" style="111" customWidth="1"/>
    <col min="777" max="777" width="23.375" style="111" customWidth="1"/>
    <col min="778" max="779" width="5.375" style="111" customWidth="1"/>
    <col min="780" max="787" width="15.5" style="111" customWidth="1"/>
    <col min="788" max="788" width="14.375" style="111" customWidth="1"/>
    <col min="789" max="795" width="0" style="111" hidden="1" customWidth="1"/>
    <col min="796" max="1031" width="9" style="111"/>
    <col min="1032" max="1032" width="45.875" style="111" customWidth="1"/>
    <col min="1033" max="1033" width="23.375" style="111" customWidth="1"/>
    <col min="1034" max="1035" width="5.375" style="111" customWidth="1"/>
    <col min="1036" max="1043" width="15.5" style="111" customWidth="1"/>
    <col min="1044" max="1044" width="14.375" style="111" customWidth="1"/>
    <col min="1045" max="1051" width="0" style="111" hidden="1" customWidth="1"/>
    <col min="1052" max="1287" width="9" style="111"/>
    <col min="1288" max="1288" width="45.875" style="111" customWidth="1"/>
    <col min="1289" max="1289" width="23.375" style="111" customWidth="1"/>
    <col min="1290" max="1291" width="5.375" style="111" customWidth="1"/>
    <col min="1292" max="1299" width="15.5" style="111" customWidth="1"/>
    <col min="1300" max="1300" width="14.375" style="111" customWidth="1"/>
    <col min="1301" max="1307" width="0" style="111" hidden="1" customWidth="1"/>
    <col min="1308" max="1543" width="9" style="111"/>
    <col min="1544" max="1544" width="45.875" style="111" customWidth="1"/>
    <col min="1545" max="1545" width="23.375" style="111" customWidth="1"/>
    <col min="1546" max="1547" width="5.375" style="111" customWidth="1"/>
    <col min="1548" max="1555" width="15.5" style="111" customWidth="1"/>
    <col min="1556" max="1556" width="14.375" style="111" customWidth="1"/>
    <col min="1557" max="1563" width="0" style="111" hidden="1" customWidth="1"/>
    <col min="1564" max="1799" width="9" style="111"/>
    <col min="1800" max="1800" width="45.875" style="111" customWidth="1"/>
    <col min="1801" max="1801" width="23.375" style="111" customWidth="1"/>
    <col min="1802" max="1803" width="5.375" style="111" customWidth="1"/>
    <col min="1804" max="1811" width="15.5" style="111" customWidth="1"/>
    <col min="1812" max="1812" width="14.375" style="111" customWidth="1"/>
    <col min="1813" max="1819" width="0" style="111" hidden="1" customWidth="1"/>
    <col min="1820" max="2055" width="9" style="111"/>
    <col min="2056" max="2056" width="45.875" style="111" customWidth="1"/>
    <col min="2057" max="2057" width="23.375" style="111" customWidth="1"/>
    <col min="2058" max="2059" width="5.375" style="111" customWidth="1"/>
    <col min="2060" max="2067" width="15.5" style="111" customWidth="1"/>
    <col min="2068" max="2068" width="14.375" style="111" customWidth="1"/>
    <col min="2069" max="2075" width="0" style="111" hidden="1" customWidth="1"/>
    <col min="2076" max="2311" width="9" style="111"/>
    <col min="2312" max="2312" width="45.875" style="111" customWidth="1"/>
    <col min="2313" max="2313" width="23.375" style="111" customWidth="1"/>
    <col min="2314" max="2315" width="5.375" style="111" customWidth="1"/>
    <col min="2316" max="2323" width="15.5" style="111" customWidth="1"/>
    <col min="2324" max="2324" width="14.375" style="111" customWidth="1"/>
    <col min="2325" max="2331" width="0" style="111" hidden="1" customWidth="1"/>
    <col min="2332" max="2567" width="9" style="111"/>
    <col min="2568" max="2568" width="45.875" style="111" customWidth="1"/>
    <col min="2569" max="2569" width="23.375" style="111" customWidth="1"/>
    <col min="2570" max="2571" width="5.375" style="111" customWidth="1"/>
    <col min="2572" max="2579" width="15.5" style="111" customWidth="1"/>
    <col min="2580" max="2580" width="14.375" style="111" customWidth="1"/>
    <col min="2581" max="2587" width="0" style="111" hidden="1" customWidth="1"/>
    <col min="2588" max="2823" width="9" style="111"/>
    <col min="2824" max="2824" width="45.875" style="111" customWidth="1"/>
    <col min="2825" max="2825" width="23.375" style="111" customWidth="1"/>
    <col min="2826" max="2827" width="5.375" style="111" customWidth="1"/>
    <col min="2828" max="2835" width="15.5" style="111" customWidth="1"/>
    <col min="2836" max="2836" width="14.375" style="111" customWidth="1"/>
    <col min="2837" max="2843" width="0" style="111" hidden="1" customWidth="1"/>
    <col min="2844" max="3079" width="9" style="111"/>
    <col min="3080" max="3080" width="45.875" style="111" customWidth="1"/>
    <col min="3081" max="3081" width="23.375" style="111" customWidth="1"/>
    <col min="3082" max="3083" width="5.375" style="111" customWidth="1"/>
    <col min="3084" max="3091" width="15.5" style="111" customWidth="1"/>
    <col min="3092" max="3092" width="14.375" style="111" customWidth="1"/>
    <col min="3093" max="3099" width="0" style="111" hidden="1" customWidth="1"/>
    <col min="3100" max="3335" width="9" style="111"/>
    <col min="3336" max="3336" width="45.875" style="111" customWidth="1"/>
    <col min="3337" max="3337" width="23.375" style="111" customWidth="1"/>
    <col min="3338" max="3339" width="5.375" style="111" customWidth="1"/>
    <col min="3340" max="3347" width="15.5" style="111" customWidth="1"/>
    <col min="3348" max="3348" width="14.375" style="111" customWidth="1"/>
    <col min="3349" max="3355" width="0" style="111" hidden="1" customWidth="1"/>
    <col min="3356" max="3591" width="9" style="111"/>
    <col min="3592" max="3592" width="45.875" style="111" customWidth="1"/>
    <col min="3593" max="3593" width="23.375" style="111" customWidth="1"/>
    <col min="3594" max="3595" width="5.375" style="111" customWidth="1"/>
    <col min="3596" max="3603" width="15.5" style="111" customWidth="1"/>
    <col min="3604" max="3604" width="14.375" style="111" customWidth="1"/>
    <col min="3605" max="3611" width="0" style="111" hidden="1" customWidth="1"/>
    <col min="3612" max="3847" width="9" style="111"/>
    <col min="3848" max="3848" width="45.875" style="111" customWidth="1"/>
    <col min="3849" max="3849" width="23.375" style="111" customWidth="1"/>
    <col min="3850" max="3851" width="5.375" style="111" customWidth="1"/>
    <col min="3852" max="3859" width="15.5" style="111" customWidth="1"/>
    <col min="3860" max="3860" width="14.375" style="111" customWidth="1"/>
    <col min="3861" max="3867" width="0" style="111" hidden="1" customWidth="1"/>
    <col min="3868" max="4103" width="9" style="111"/>
    <col min="4104" max="4104" width="45.875" style="111" customWidth="1"/>
    <col min="4105" max="4105" width="23.375" style="111" customWidth="1"/>
    <col min="4106" max="4107" width="5.375" style="111" customWidth="1"/>
    <col min="4108" max="4115" width="15.5" style="111" customWidth="1"/>
    <col min="4116" max="4116" width="14.375" style="111" customWidth="1"/>
    <col min="4117" max="4123" width="0" style="111" hidden="1" customWidth="1"/>
    <col min="4124" max="4359" width="9" style="111"/>
    <col min="4360" max="4360" width="45.875" style="111" customWidth="1"/>
    <col min="4361" max="4361" width="23.375" style="111" customWidth="1"/>
    <col min="4362" max="4363" width="5.375" style="111" customWidth="1"/>
    <col min="4364" max="4371" width="15.5" style="111" customWidth="1"/>
    <col min="4372" max="4372" width="14.375" style="111" customWidth="1"/>
    <col min="4373" max="4379" width="0" style="111" hidden="1" customWidth="1"/>
    <col min="4380" max="4615" width="9" style="111"/>
    <col min="4616" max="4616" width="45.875" style="111" customWidth="1"/>
    <col min="4617" max="4617" width="23.375" style="111" customWidth="1"/>
    <col min="4618" max="4619" width="5.375" style="111" customWidth="1"/>
    <col min="4620" max="4627" width="15.5" style="111" customWidth="1"/>
    <col min="4628" max="4628" width="14.375" style="111" customWidth="1"/>
    <col min="4629" max="4635" width="0" style="111" hidden="1" customWidth="1"/>
    <col min="4636" max="4871" width="9" style="111"/>
    <col min="4872" max="4872" width="45.875" style="111" customWidth="1"/>
    <col min="4873" max="4873" width="23.375" style="111" customWidth="1"/>
    <col min="4874" max="4875" width="5.375" style="111" customWidth="1"/>
    <col min="4876" max="4883" width="15.5" style="111" customWidth="1"/>
    <col min="4884" max="4884" width="14.375" style="111" customWidth="1"/>
    <col min="4885" max="4891" width="0" style="111" hidden="1" customWidth="1"/>
    <col min="4892" max="5127" width="9" style="111"/>
    <col min="5128" max="5128" width="45.875" style="111" customWidth="1"/>
    <col min="5129" max="5129" width="23.375" style="111" customWidth="1"/>
    <col min="5130" max="5131" width="5.375" style="111" customWidth="1"/>
    <col min="5132" max="5139" width="15.5" style="111" customWidth="1"/>
    <col min="5140" max="5140" width="14.375" style="111" customWidth="1"/>
    <col min="5141" max="5147" width="0" style="111" hidden="1" customWidth="1"/>
    <col min="5148" max="5383" width="9" style="111"/>
    <col min="5384" max="5384" width="45.875" style="111" customWidth="1"/>
    <col min="5385" max="5385" width="23.375" style="111" customWidth="1"/>
    <col min="5386" max="5387" width="5.375" style="111" customWidth="1"/>
    <col min="5388" max="5395" width="15.5" style="111" customWidth="1"/>
    <col min="5396" max="5396" width="14.375" style="111" customWidth="1"/>
    <col min="5397" max="5403" width="0" style="111" hidden="1" customWidth="1"/>
    <col min="5404" max="5639" width="9" style="111"/>
    <col min="5640" max="5640" width="45.875" style="111" customWidth="1"/>
    <col min="5641" max="5641" width="23.375" style="111" customWidth="1"/>
    <col min="5642" max="5643" width="5.375" style="111" customWidth="1"/>
    <col min="5644" max="5651" width="15.5" style="111" customWidth="1"/>
    <col min="5652" max="5652" width="14.375" style="111" customWidth="1"/>
    <col min="5653" max="5659" width="0" style="111" hidden="1" customWidth="1"/>
    <col min="5660" max="5895" width="9" style="111"/>
    <col min="5896" max="5896" width="45.875" style="111" customWidth="1"/>
    <col min="5897" max="5897" width="23.375" style="111" customWidth="1"/>
    <col min="5898" max="5899" width="5.375" style="111" customWidth="1"/>
    <col min="5900" max="5907" width="15.5" style="111" customWidth="1"/>
    <col min="5908" max="5908" width="14.375" style="111" customWidth="1"/>
    <col min="5909" max="5915" width="0" style="111" hidden="1" customWidth="1"/>
    <col min="5916" max="6151" width="9" style="111"/>
    <col min="6152" max="6152" width="45.875" style="111" customWidth="1"/>
    <col min="6153" max="6153" width="23.375" style="111" customWidth="1"/>
    <col min="6154" max="6155" width="5.375" style="111" customWidth="1"/>
    <col min="6156" max="6163" width="15.5" style="111" customWidth="1"/>
    <col min="6164" max="6164" width="14.375" style="111" customWidth="1"/>
    <col min="6165" max="6171" width="0" style="111" hidden="1" customWidth="1"/>
    <col min="6172" max="6407" width="9" style="111"/>
    <col min="6408" max="6408" width="45.875" style="111" customWidth="1"/>
    <col min="6409" max="6409" width="23.375" style="111" customWidth="1"/>
    <col min="6410" max="6411" width="5.375" style="111" customWidth="1"/>
    <col min="6412" max="6419" width="15.5" style="111" customWidth="1"/>
    <col min="6420" max="6420" width="14.375" style="111" customWidth="1"/>
    <col min="6421" max="6427" width="0" style="111" hidden="1" customWidth="1"/>
    <col min="6428" max="6663" width="9" style="111"/>
    <col min="6664" max="6664" width="45.875" style="111" customWidth="1"/>
    <col min="6665" max="6665" width="23.375" style="111" customWidth="1"/>
    <col min="6666" max="6667" width="5.375" style="111" customWidth="1"/>
    <col min="6668" max="6675" width="15.5" style="111" customWidth="1"/>
    <col min="6676" max="6676" width="14.375" style="111" customWidth="1"/>
    <col min="6677" max="6683" width="0" style="111" hidden="1" customWidth="1"/>
    <col min="6684" max="6919" width="9" style="111"/>
    <col min="6920" max="6920" width="45.875" style="111" customWidth="1"/>
    <col min="6921" max="6921" width="23.375" style="111" customWidth="1"/>
    <col min="6922" max="6923" width="5.375" style="111" customWidth="1"/>
    <col min="6924" max="6931" width="15.5" style="111" customWidth="1"/>
    <col min="6932" max="6932" width="14.375" style="111" customWidth="1"/>
    <col min="6933" max="6939" width="0" style="111" hidden="1" customWidth="1"/>
    <col min="6940" max="7175" width="9" style="111"/>
    <col min="7176" max="7176" width="45.875" style="111" customWidth="1"/>
    <col min="7177" max="7177" width="23.375" style="111" customWidth="1"/>
    <col min="7178" max="7179" width="5.375" style="111" customWidth="1"/>
    <col min="7180" max="7187" width="15.5" style="111" customWidth="1"/>
    <col min="7188" max="7188" width="14.375" style="111" customWidth="1"/>
    <col min="7189" max="7195" width="0" style="111" hidden="1" customWidth="1"/>
    <col min="7196" max="7431" width="9" style="111"/>
    <col min="7432" max="7432" width="45.875" style="111" customWidth="1"/>
    <col min="7433" max="7433" width="23.375" style="111" customWidth="1"/>
    <col min="7434" max="7435" width="5.375" style="111" customWidth="1"/>
    <col min="7436" max="7443" width="15.5" style="111" customWidth="1"/>
    <col min="7444" max="7444" width="14.375" style="111" customWidth="1"/>
    <col min="7445" max="7451" width="0" style="111" hidden="1" customWidth="1"/>
    <col min="7452" max="7687" width="9" style="111"/>
    <col min="7688" max="7688" width="45.875" style="111" customWidth="1"/>
    <col min="7689" max="7689" width="23.375" style="111" customWidth="1"/>
    <col min="7690" max="7691" width="5.375" style="111" customWidth="1"/>
    <col min="7692" max="7699" width="15.5" style="111" customWidth="1"/>
    <col min="7700" max="7700" width="14.375" style="111" customWidth="1"/>
    <col min="7701" max="7707" width="0" style="111" hidden="1" customWidth="1"/>
    <col min="7708" max="7943" width="9" style="111"/>
    <col min="7944" max="7944" width="45.875" style="111" customWidth="1"/>
    <col min="7945" max="7945" width="23.375" style="111" customWidth="1"/>
    <col min="7946" max="7947" width="5.375" style="111" customWidth="1"/>
    <col min="7948" max="7955" width="15.5" style="111" customWidth="1"/>
    <col min="7956" max="7956" width="14.375" style="111" customWidth="1"/>
    <col min="7957" max="7963" width="0" style="111" hidden="1" customWidth="1"/>
    <col min="7964" max="8199" width="9" style="111"/>
    <col min="8200" max="8200" width="45.875" style="111" customWidth="1"/>
    <col min="8201" max="8201" width="23.375" style="111" customWidth="1"/>
    <col min="8202" max="8203" width="5.375" style="111" customWidth="1"/>
    <col min="8204" max="8211" width="15.5" style="111" customWidth="1"/>
    <col min="8212" max="8212" width="14.375" style="111" customWidth="1"/>
    <col min="8213" max="8219" width="0" style="111" hidden="1" customWidth="1"/>
    <col min="8220" max="8455" width="9" style="111"/>
    <col min="8456" max="8456" width="45.875" style="111" customWidth="1"/>
    <col min="8457" max="8457" width="23.375" style="111" customWidth="1"/>
    <col min="8458" max="8459" width="5.375" style="111" customWidth="1"/>
    <col min="8460" max="8467" width="15.5" style="111" customWidth="1"/>
    <col min="8468" max="8468" width="14.375" style="111" customWidth="1"/>
    <col min="8469" max="8475" width="0" style="111" hidden="1" customWidth="1"/>
    <col min="8476" max="8711" width="9" style="111"/>
    <col min="8712" max="8712" width="45.875" style="111" customWidth="1"/>
    <col min="8713" max="8713" width="23.375" style="111" customWidth="1"/>
    <col min="8714" max="8715" width="5.375" style="111" customWidth="1"/>
    <col min="8716" max="8723" width="15.5" style="111" customWidth="1"/>
    <col min="8724" max="8724" width="14.375" style="111" customWidth="1"/>
    <col min="8725" max="8731" width="0" style="111" hidden="1" customWidth="1"/>
    <col min="8732" max="8967" width="9" style="111"/>
    <col min="8968" max="8968" width="45.875" style="111" customWidth="1"/>
    <col min="8969" max="8969" width="23.375" style="111" customWidth="1"/>
    <col min="8970" max="8971" width="5.375" style="111" customWidth="1"/>
    <col min="8972" max="8979" width="15.5" style="111" customWidth="1"/>
    <col min="8980" max="8980" width="14.375" style="111" customWidth="1"/>
    <col min="8981" max="8987" width="0" style="111" hidden="1" customWidth="1"/>
    <col min="8988" max="9223" width="9" style="111"/>
    <col min="9224" max="9224" width="45.875" style="111" customWidth="1"/>
    <col min="9225" max="9225" width="23.375" style="111" customWidth="1"/>
    <col min="9226" max="9227" width="5.375" style="111" customWidth="1"/>
    <col min="9228" max="9235" width="15.5" style="111" customWidth="1"/>
    <col min="9236" max="9236" width="14.375" style="111" customWidth="1"/>
    <col min="9237" max="9243" width="0" style="111" hidden="1" customWidth="1"/>
    <col min="9244" max="9479" width="9" style="111"/>
    <col min="9480" max="9480" width="45.875" style="111" customWidth="1"/>
    <col min="9481" max="9481" width="23.375" style="111" customWidth="1"/>
    <col min="9482" max="9483" width="5.375" style="111" customWidth="1"/>
    <col min="9484" max="9491" width="15.5" style="111" customWidth="1"/>
    <col min="9492" max="9492" width="14.375" style="111" customWidth="1"/>
    <col min="9493" max="9499" width="0" style="111" hidden="1" customWidth="1"/>
    <col min="9500" max="9735" width="9" style="111"/>
    <col min="9736" max="9736" width="45.875" style="111" customWidth="1"/>
    <col min="9737" max="9737" width="23.375" style="111" customWidth="1"/>
    <col min="9738" max="9739" width="5.375" style="111" customWidth="1"/>
    <col min="9740" max="9747" width="15.5" style="111" customWidth="1"/>
    <col min="9748" max="9748" width="14.375" style="111" customWidth="1"/>
    <col min="9749" max="9755" width="0" style="111" hidden="1" customWidth="1"/>
    <col min="9756" max="9991" width="9" style="111"/>
    <col min="9992" max="9992" width="45.875" style="111" customWidth="1"/>
    <col min="9993" max="9993" width="23.375" style="111" customWidth="1"/>
    <col min="9994" max="9995" width="5.375" style="111" customWidth="1"/>
    <col min="9996" max="10003" width="15.5" style="111" customWidth="1"/>
    <col min="10004" max="10004" width="14.375" style="111" customWidth="1"/>
    <col min="10005" max="10011" width="0" style="111" hidden="1" customWidth="1"/>
    <col min="10012" max="10247" width="9" style="111"/>
    <col min="10248" max="10248" width="45.875" style="111" customWidth="1"/>
    <col min="10249" max="10249" width="23.375" style="111" customWidth="1"/>
    <col min="10250" max="10251" width="5.375" style="111" customWidth="1"/>
    <col min="10252" max="10259" width="15.5" style="111" customWidth="1"/>
    <col min="10260" max="10260" width="14.375" style="111" customWidth="1"/>
    <col min="10261" max="10267" width="0" style="111" hidden="1" customWidth="1"/>
    <col min="10268" max="10503" width="9" style="111"/>
    <col min="10504" max="10504" width="45.875" style="111" customWidth="1"/>
    <col min="10505" max="10505" width="23.375" style="111" customWidth="1"/>
    <col min="10506" max="10507" width="5.375" style="111" customWidth="1"/>
    <col min="10508" max="10515" width="15.5" style="111" customWidth="1"/>
    <col min="10516" max="10516" width="14.375" style="111" customWidth="1"/>
    <col min="10517" max="10523" width="0" style="111" hidden="1" customWidth="1"/>
    <col min="10524" max="10759" width="9" style="111"/>
    <col min="10760" max="10760" width="45.875" style="111" customWidth="1"/>
    <col min="10761" max="10761" width="23.375" style="111" customWidth="1"/>
    <col min="10762" max="10763" width="5.375" style="111" customWidth="1"/>
    <col min="10764" max="10771" width="15.5" style="111" customWidth="1"/>
    <col min="10772" max="10772" width="14.375" style="111" customWidth="1"/>
    <col min="10773" max="10779" width="0" style="111" hidden="1" customWidth="1"/>
    <col min="10780" max="11015" width="9" style="111"/>
    <col min="11016" max="11016" width="45.875" style="111" customWidth="1"/>
    <col min="11017" max="11017" width="23.375" style="111" customWidth="1"/>
    <col min="11018" max="11019" width="5.375" style="111" customWidth="1"/>
    <col min="11020" max="11027" width="15.5" style="111" customWidth="1"/>
    <col min="11028" max="11028" width="14.375" style="111" customWidth="1"/>
    <col min="11029" max="11035" width="0" style="111" hidden="1" customWidth="1"/>
    <col min="11036" max="11271" width="9" style="111"/>
    <col min="11272" max="11272" width="45.875" style="111" customWidth="1"/>
    <col min="11273" max="11273" width="23.375" style="111" customWidth="1"/>
    <col min="11274" max="11275" width="5.375" style="111" customWidth="1"/>
    <col min="11276" max="11283" width="15.5" style="111" customWidth="1"/>
    <col min="11284" max="11284" width="14.375" style="111" customWidth="1"/>
    <col min="11285" max="11291" width="0" style="111" hidden="1" customWidth="1"/>
    <col min="11292" max="11527" width="9" style="111"/>
    <col min="11528" max="11528" width="45.875" style="111" customWidth="1"/>
    <col min="11529" max="11529" width="23.375" style="111" customWidth="1"/>
    <col min="11530" max="11531" width="5.375" style="111" customWidth="1"/>
    <col min="11532" max="11539" width="15.5" style="111" customWidth="1"/>
    <col min="11540" max="11540" width="14.375" style="111" customWidth="1"/>
    <col min="11541" max="11547" width="0" style="111" hidden="1" customWidth="1"/>
    <col min="11548" max="11783" width="9" style="111"/>
    <col min="11784" max="11784" width="45.875" style="111" customWidth="1"/>
    <col min="11785" max="11785" width="23.375" style="111" customWidth="1"/>
    <col min="11786" max="11787" width="5.375" style="111" customWidth="1"/>
    <col min="11788" max="11795" width="15.5" style="111" customWidth="1"/>
    <col min="11796" max="11796" width="14.375" style="111" customWidth="1"/>
    <col min="11797" max="11803" width="0" style="111" hidden="1" customWidth="1"/>
    <col min="11804" max="12039" width="9" style="111"/>
    <col min="12040" max="12040" width="45.875" style="111" customWidth="1"/>
    <col min="12041" max="12041" width="23.375" style="111" customWidth="1"/>
    <col min="12042" max="12043" width="5.375" style="111" customWidth="1"/>
    <col min="12044" max="12051" width="15.5" style="111" customWidth="1"/>
    <col min="12052" max="12052" width="14.375" style="111" customWidth="1"/>
    <col min="12053" max="12059" width="0" style="111" hidden="1" customWidth="1"/>
    <col min="12060" max="12295" width="9" style="111"/>
    <col min="12296" max="12296" width="45.875" style="111" customWidth="1"/>
    <col min="12297" max="12297" width="23.375" style="111" customWidth="1"/>
    <col min="12298" max="12299" width="5.375" style="111" customWidth="1"/>
    <col min="12300" max="12307" width="15.5" style="111" customWidth="1"/>
    <col min="12308" max="12308" width="14.375" style="111" customWidth="1"/>
    <col min="12309" max="12315" width="0" style="111" hidden="1" customWidth="1"/>
    <col min="12316" max="12551" width="9" style="111"/>
    <col min="12552" max="12552" width="45.875" style="111" customWidth="1"/>
    <col min="12553" max="12553" width="23.375" style="111" customWidth="1"/>
    <col min="12554" max="12555" width="5.375" style="111" customWidth="1"/>
    <col min="12556" max="12563" width="15.5" style="111" customWidth="1"/>
    <col min="12564" max="12564" width="14.375" style="111" customWidth="1"/>
    <col min="12565" max="12571" width="0" style="111" hidden="1" customWidth="1"/>
    <col min="12572" max="12807" width="9" style="111"/>
    <col min="12808" max="12808" width="45.875" style="111" customWidth="1"/>
    <col min="12809" max="12809" width="23.375" style="111" customWidth="1"/>
    <col min="12810" max="12811" width="5.375" style="111" customWidth="1"/>
    <col min="12812" max="12819" width="15.5" style="111" customWidth="1"/>
    <col min="12820" max="12820" width="14.375" style="111" customWidth="1"/>
    <col min="12821" max="12827" width="0" style="111" hidden="1" customWidth="1"/>
    <col min="12828" max="13063" width="9" style="111"/>
    <col min="13064" max="13064" width="45.875" style="111" customWidth="1"/>
    <col min="13065" max="13065" width="23.375" style="111" customWidth="1"/>
    <col min="13066" max="13067" width="5.375" style="111" customWidth="1"/>
    <col min="13068" max="13075" width="15.5" style="111" customWidth="1"/>
    <col min="13076" max="13076" width="14.375" style="111" customWidth="1"/>
    <col min="13077" max="13083" width="0" style="111" hidden="1" customWidth="1"/>
    <col min="13084" max="13319" width="9" style="111"/>
    <col min="13320" max="13320" width="45.875" style="111" customWidth="1"/>
    <col min="13321" max="13321" width="23.375" style="111" customWidth="1"/>
    <col min="13322" max="13323" width="5.375" style="111" customWidth="1"/>
    <col min="13324" max="13331" width="15.5" style="111" customWidth="1"/>
    <col min="13332" max="13332" width="14.375" style="111" customWidth="1"/>
    <col min="13333" max="13339" width="0" style="111" hidden="1" customWidth="1"/>
    <col min="13340" max="13575" width="9" style="111"/>
    <col min="13576" max="13576" width="45.875" style="111" customWidth="1"/>
    <col min="13577" max="13577" width="23.375" style="111" customWidth="1"/>
    <col min="13578" max="13579" width="5.375" style="111" customWidth="1"/>
    <col min="13580" max="13587" width="15.5" style="111" customWidth="1"/>
    <col min="13588" max="13588" width="14.375" style="111" customWidth="1"/>
    <col min="13589" max="13595" width="0" style="111" hidden="1" customWidth="1"/>
    <col min="13596" max="13831" width="9" style="111"/>
    <col min="13832" max="13832" width="45.875" style="111" customWidth="1"/>
    <col min="13833" max="13833" width="23.375" style="111" customWidth="1"/>
    <col min="13834" max="13835" width="5.375" style="111" customWidth="1"/>
    <col min="13836" max="13843" width="15.5" style="111" customWidth="1"/>
    <col min="13844" max="13844" width="14.375" style="111" customWidth="1"/>
    <col min="13845" max="13851" width="0" style="111" hidden="1" customWidth="1"/>
    <col min="13852" max="14087" width="9" style="111"/>
    <col min="14088" max="14088" width="45.875" style="111" customWidth="1"/>
    <col min="14089" max="14089" width="23.375" style="111" customWidth="1"/>
    <col min="14090" max="14091" width="5.375" style="111" customWidth="1"/>
    <col min="14092" max="14099" width="15.5" style="111" customWidth="1"/>
    <col min="14100" max="14100" width="14.375" style="111" customWidth="1"/>
    <col min="14101" max="14107" width="0" style="111" hidden="1" customWidth="1"/>
    <col min="14108" max="14343" width="9" style="111"/>
    <col min="14344" max="14344" width="45.875" style="111" customWidth="1"/>
    <col min="14345" max="14345" width="23.375" style="111" customWidth="1"/>
    <col min="14346" max="14347" width="5.375" style="111" customWidth="1"/>
    <col min="14348" max="14355" width="15.5" style="111" customWidth="1"/>
    <col min="14356" max="14356" width="14.375" style="111" customWidth="1"/>
    <col min="14357" max="14363" width="0" style="111" hidden="1" customWidth="1"/>
    <col min="14364" max="14599" width="9" style="111"/>
    <col min="14600" max="14600" width="45.875" style="111" customWidth="1"/>
    <col min="14601" max="14601" width="23.375" style="111" customWidth="1"/>
    <col min="14602" max="14603" width="5.375" style="111" customWidth="1"/>
    <col min="14604" max="14611" width="15.5" style="111" customWidth="1"/>
    <col min="14612" max="14612" width="14.375" style="111" customWidth="1"/>
    <col min="14613" max="14619" width="0" style="111" hidden="1" customWidth="1"/>
    <col min="14620" max="14855" width="9" style="111"/>
    <col min="14856" max="14856" width="45.875" style="111" customWidth="1"/>
    <col min="14857" max="14857" width="23.375" style="111" customWidth="1"/>
    <col min="14858" max="14859" width="5.375" style="111" customWidth="1"/>
    <col min="14860" max="14867" width="15.5" style="111" customWidth="1"/>
    <col min="14868" max="14868" width="14.375" style="111" customWidth="1"/>
    <col min="14869" max="14875" width="0" style="111" hidden="1" customWidth="1"/>
    <col min="14876" max="15111" width="9" style="111"/>
    <col min="15112" max="15112" width="45.875" style="111" customWidth="1"/>
    <col min="15113" max="15113" width="23.375" style="111" customWidth="1"/>
    <col min="15114" max="15115" width="5.375" style="111" customWidth="1"/>
    <col min="15116" max="15123" width="15.5" style="111" customWidth="1"/>
    <col min="15124" max="15124" width="14.375" style="111" customWidth="1"/>
    <col min="15125" max="15131" width="0" style="111" hidden="1" customWidth="1"/>
    <col min="15132" max="15367" width="9" style="111"/>
    <col min="15368" max="15368" width="45.875" style="111" customWidth="1"/>
    <col min="15369" max="15369" width="23.375" style="111" customWidth="1"/>
    <col min="15370" max="15371" width="5.375" style="111" customWidth="1"/>
    <col min="15372" max="15379" width="15.5" style="111" customWidth="1"/>
    <col min="15380" max="15380" width="14.375" style="111" customWidth="1"/>
    <col min="15381" max="15387" width="0" style="111" hidden="1" customWidth="1"/>
    <col min="15388" max="15623" width="9" style="111"/>
    <col min="15624" max="15624" width="45.875" style="111" customWidth="1"/>
    <col min="15625" max="15625" width="23.375" style="111" customWidth="1"/>
    <col min="15626" max="15627" width="5.375" style="111" customWidth="1"/>
    <col min="15628" max="15635" width="15.5" style="111" customWidth="1"/>
    <col min="15636" max="15636" width="14.375" style="111" customWidth="1"/>
    <col min="15637" max="15643" width="0" style="111" hidden="1" customWidth="1"/>
    <col min="15644" max="15879" width="9" style="111"/>
    <col min="15880" max="15880" width="45.875" style="111" customWidth="1"/>
    <col min="15881" max="15881" width="23.375" style="111" customWidth="1"/>
    <col min="15882" max="15883" width="5.375" style="111" customWidth="1"/>
    <col min="15884" max="15891" width="15.5" style="111" customWidth="1"/>
    <col min="15892" max="15892" width="14.375" style="111" customWidth="1"/>
    <col min="15893" max="15899" width="0" style="111" hidden="1" customWidth="1"/>
    <col min="15900" max="16135" width="9" style="111"/>
    <col min="16136" max="16136" width="45.875" style="111" customWidth="1"/>
    <col min="16137" max="16137" width="23.375" style="111" customWidth="1"/>
    <col min="16138" max="16139" width="5.375" style="111" customWidth="1"/>
    <col min="16140" max="16147" width="15.5" style="111" customWidth="1"/>
    <col min="16148" max="16148" width="14.375" style="111" customWidth="1"/>
    <col min="16149" max="16155" width="0" style="111" hidden="1" customWidth="1"/>
    <col min="16156" max="16384" width="9" style="111"/>
  </cols>
  <sheetData>
    <row r="1" spans="1:36" ht="30" customHeight="1">
      <c r="D1" s="62"/>
      <c r="E1" s="557" t="s">
        <v>114</v>
      </c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</row>
    <row r="2" spans="1:36" ht="30" customHeight="1">
      <c r="D2" s="62"/>
      <c r="E2" s="112" t="str">
        <f>'원가계산서 (건축-참고용)'!B2</f>
        <v>공사명 : (가칭)둔촌동 중학교 도시형캠퍼스 신축공사(1차분/전체동)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36" ht="30" customHeight="1">
      <c r="D3" s="62"/>
      <c r="E3" s="560" t="s">
        <v>115</v>
      </c>
      <c r="F3" s="561"/>
      <c r="G3" s="558" t="s">
        <v>116</v>
      </c>
      <c r="H3" s="559" t="s">
        <v>117</v>
      </c>
      <c r="I3" s="559" t="s">
        <v>118</v>
      </c>
      <c r="J3" s="559" t="s">
        <v>119</v>
      </c>
      <c r="K3" s="559"/>
      <c r="L3" s="559" t="s">
        <v>120</v>
      </c>
      <c r="M3" s="559"/>
      <c r="N3" s="559" t="s">
        <v>121</v>
      </c>
      <c r="O3" s="559"/>
      <c r="P3" s="559" t="s">
        <v>122</v>
      </c>
      <c r="Q3" s="559"/>
      <c r="R3" s="558" t="s">
        <v>123</v>
      </c>
      <c r="S3" s="566" t="s">
        <v>124</v>
      </c>
      <c r="T3" s="566" t="s">
        <v>125</v>
      </c>
      <c r="U3" s="566" t="s">
        <v>126</v>
      </c>
      <c r="V3" s="566" t="s">
        <v>127</v>
      </c>
      <c r="W3" s="566" t="s">
        <v>128</v>
      </c>
      <c r="X3" s="566" t="s">
        <v>129</v>
      </c>
      <c r="Y3" s="566" t="s">
        <v>130</v>
      </c>
    </row>
    <row r="4" spans="1:36" ht="30" customHeight="1">
      <c r="A4" s="111">
        <v>1</v>
      </c>
      <c r="B4" s="111" t="s">
        <v>163</v>
      </c>
      <c r="C4" s="111" t="s">
        <v>164</v>
      </c>
      <c r="D4" s="62"/>
      <c r="E4" s="562"/>
      <c r="F4" s="563"/>
      <c r="G4" s="558"/>
      <c r="H4" s="559"/>
      <c r="I4" s="559"/>
      <c r="J4" s="151" t="s">
        <v>131</v>
      </c>
      <c r="K4" s="151" t="s">
        <v>132</v>
      </c>
      <c r="L4" s="151" t="s">
        <v>131</v>
      </c>
      <c r="M4" s="151" t="s">
        <v>132</v>
      </c>
      <c r="N4" s="151" t="s">
        <v>131</v>
      </c>
      <c r="O4" s="151" t="s">
        <v>132</v>
      </c>
      <c r="P4" s="151" t="s">
        <v>131</v>
      </c>
      <c r="Q4" s="151" t="s">
        <v>132</v>
      </c>
      <c r="R4" s="558"/>
      <c r="S4" s="566"/>
      <c r="T4" s="566"/>
      <c r="U4" s="566"/>
      <c r="V4" s="566"/>
      <c r="W4" s="566"/>
      <c r="X4" s="566"/>
      <c r="Y4" s="566"/>
      <c r="AC4" s="567" t="s">
        <v>133</v>
      </c>
      <c r="AD4" s="567"/>
      <c r="AE4" s="567"/>
      <c r="AF4" s="568" t="s">
        <v>134</v>
      </c>
      <c r="AG4" s="568"/>
      <c r="AH4" s="568"/>
      <c r="AI4" s="568"/>
      <c r="AJ4" s="568"/>
    </row>
    <row r="5" spans="1:36" ht="30" customHeight="1">
      <c r="A5" s="111">
        <v>1</v>
      </c>
      <c r="B5" s="111" t="s">
        <v>403</v>
      </c>
      <c r="D5" s="62"/>
      <c r="E5" s="210" t="s">
        <v>309</v>
      </c>
      <c r="F5" s="148" t="s">
        <v>536</v>
      </c>
      <c r="G5" s="113" t="s">
        <v>50</v>
      </c>
      <c r="H5" s="113" t="s">
        <v>50</v>
      </c>
      <c r="I5" s="114"/>
      <c r="J5" s="115"/>
      <c r="K5" s="115"/>
      <c r="L5" s="115"/>
      <c r="M5" s="115"/>
      <c r="N5" s="115"/>
      <c r="O5" s="115"/>
      <c r="P5" s="115"/>
      <c r="Q5" s="115"/>
      <c r="R5" s="116" t="s">
        <v>50</v>
      </c>
      <c r="S5" s="117" t="s">
        <v>135</v>
      </c>
      <c r="T5" s="117" t="s">
        <v>50</v>
      </c>
      <c r="U5" s="117" t="s">
        <v>50</v>
      </c>
      <c r="V5" s="117" t="s">
        <v>50</v>
      </c>
      <c r="W5" s="111">
        <v>1</v>
      </c>
      <c r="X5" s="117" t="s">
        <v>50</v>
      </c>
      <c r="Y5" s="118"/>
      <c r="AC5" s="111" t="s">
        <v>136</v>
      </c>
      <c r="AD5" s="111" t="s">
        <v>137</v>
      </c>
      <c r="AE5" s="111" t="s">
        <v>138</v>
      </c>
      <c r="AF5" s="119"/>
      <c r="AG5" s="119"/>
      <c r="AH5" s="119"/>
      <c r="AI5" s="119"/>
      <c r="AJ5" s="119"/>
    </row>
    <row r="6" spans="1:36" ht="30" customHeight="1">
      <c r="A6" s="111">
        <v>1</v>
      </c>
      <c r="B6" s="111" t="s">
        <v>174</v>
      </c>
      <c r="C6" s="111" t="s">
        <v>165</v>
      </c>
      <c r="D6" s="62"/>
      <c r="E6" s="211" t="s">
        <v>182</v>
      </c>
      <c r="F6" s="150" t="s">
        <v>183</v>
      </c>
      <c r="G6" s="113" t="s">
        <v>50</v>
      </c>
      <c r="H6" s="120" t="s">
        <v>139</v>
      </c>
      <c r="I6" s="114">
        <v>1</v>
      </c>
      <c r="J6" s="115"/>
      <c r="K6" s="115"/>
      <c r="L6" s="115"/>
      <c r="M6" s="115"/>
      <c r="N6" s="115"/>
      <c r="O6" s="115"/>
      <c r="P6" s="115"/>
      <c r="Q6" s="115"/>
      <c r="R6" s="121" t="s">
        <v>50</v>
      </c>
      <c r="S6" s="117" t="s">
        <v>140</v>
      </c>
      <c r="T6" s="117" t="s">
        <v>50</v>
      </c>
      <c r="U6" s="117" t="s">
        <v>135</v>
      </c>
      <c r="V6" s="117" t="s">
        <v>50</v>
      </c>
      <c r="W6" s="111">
        <v>2</v>
      </c>
      <c r="X6" s="117" t="s">
        <v>50</v>
      </c>
      <c r="Y6" s="118"/>
      <c r="Z6" s="122" t="e">
        <f>(Q6+Q33+Q51)/('입력(숨기기하세요)'!B2/3.3058)</f>
        <v>#DIV/0!</v>
      </c>
      <c r="AA6" s="111" t="s">
        <v>141</v>
      </c>
      <c r="AC6" s="123" t="e">
        <f>K6/Q6</f>
        <v>#DIV/0!</v>
      </c>
      <c r="AD6" s="123" t="e">
        <f>M6/Q6</f>
        <v>#DIV/0!</v>
      </c>
      <c r="AE6" s="123" t="e">
        <f>1-AC6-AD6</f>
        <v>#DIV/0!</v>
      </c>
      <c r="AF6" s="124" t="e">
        <f>(J6+J33/1.1+J51/1.1)/($Q6+$Q33/1.1+$Q51/1.1)</f>
        <v>#DIV/0!</v>
      </c>
      <c r="AG6" s="124"/>
      <c r="AH6" s="124" t="e">
        <f>(L6+L33/1.1+L51/1.1)/($Q6+$Q33/1.1+$Q51/1.1)</f>
        <v>#DIV/0!</v>
      </c>
      <c r="AI6" s="124"/>
      <c r="AJ6" s="124" t="e">
        <f>1-AF6-AH6</f>
        <v>#DIV/0!</v>
      </c>
    </row>
    <row r="7" spans="1:36" ht="30" customHeight="1">
      <c r="A7" s="111">
        <v>1</v>
      </c>
      <c r="B7" s="111" t="s">
        <v>175</v>
      </c>
      <c r="C7" s="111" t="s">
        <v>165</v>
      </c>
      <c r="D7" s="62"/>
      <c r="E7" s="211" t="s">
        <v>187</v>
      </c>
      <c r="F7" s="150" t="s">
        <v>184</v>
      </c>
      <c r="G7" s="113"/>
      <c r="H7" s="120" t="s">
        <v>139</v>
      </c>
      <c r="I7" s="114">
        <v>1</v>
      </c>
      <c r="J7" s="115"/>
      <c r="K7" s="115"/>
      <c r="L7" s="115"/>
      <c r="M7" s="115"/>
      <c r="N7" s="115"/>
      <c r="O7" s="115"/>
      <c r="P7" s="115"/>
      <c r="Q7" s="115"/>
      <c r="R7" s="121"/>
      <c r="S7" s="117"/>
      <c r="T7" s="117"/>
      <c r="U7" s="117"/>
      <c r="V7" s="117"/>
      <c r="X7" s="117"/>
      <c r="Y7" s="118"/>
      <c r="Z7" s="232">
        <v>250101</v>
      </c>
      <c r="AC7" s="123" t="e">
        <f t="shared" ref="AC7:AC11" si="0">K7/Q7</f>
        <v>#DIV/0!</v>
      </c>
      <c r="AD7" s="123" t="e">
        <f t="shared" ref="AD7:AD11" si="1">M7/Q7</f>
        <v>#DIV/0!</v>
      </c>
      <c r="AE7" s="123" t="e">
        <f t="shared" ref="AE7:AE11" si="2">O7/Q7</f>
        <v>#DIV/0!</v>
      </c>
      <c r="AF7" s="124" t="e">
        <f>(J7+J34/1.1+J52/1.1)/($Q7+$Q34/1.1+$Q52/1.1)</f>
        <v>#DIV/0!</v>
      </c>
      <c r="AG7" s="124"/>
      <c r="AH7" s="124" t="e">
        <f>(L7+L34/1.1+L52/1.1)/($Q7+$Q34/1.1+$Q52/1.1)</f>
        <v>#DIV/0!</v>
      </c>
      <c r="AI7" s="124"/>
      <c r="AJ7" s="124" t="e">
        <f>(N7+N34/1.1+N52/1.1)/($Q7+$Q34/1.1+$Q52/1.1)</f>
        <v>#DIV/0!</v>
      </c>
    </row>
    <row r="8" spans="1:36" ht="30" hidden="1" customHeight="1">
      <c r="A8" s="111">
        <v>1</v>
      </c>
      <c r="B8" s="111" t="s">
        <v>176</v>
      </c>
      <c r="C8" s="111" t="s">
        <v>165</v>
      </c>
      <c r="D8" s="62"/>
      <c r="E8" s="211" t="s">
        <v>188</v>
      </c>
      <c r="F8" s="150" t="s">
        <v>185</v>
      </c>
      <c r="G8" s="113"/>
      <c r="H8" s="120" t="s">
        <v>139</v>
      </c>
      <c r="I8" s="114">
        <v>1</v>
      </c>
      <c r="J8" s="115"/>
      <c r="K8" s="115"/>
      <c r="L8" s="115"/>
      <c r="M8" s="115"/>
      <c r="N8" s="115"/>
      <c r="O8" s="115"/>
      <c r="P8" s="115"/>
      <c r="Q8" s="115"/>
      <c r="R8" s="125"/>
      <c r="S8" s="117"/>
      <c r="T8" s="117"/>
      <c r="U8" s="117"/>
      <c r="V8" s="117"/>
      <c r="X8" s="117"/>
      <c r="Y8" s="118"/>
      <c r="Z8" s="232">
        <v>250101</v>
      </c>
      <c r="AC8" s="123" t="e">
        <f t="shared" si="0"/>
        <v>#DIV/0!</v>
      </c>
      <c r="AD8" s="123" t="e">
        <f t="shared" si="1"/>
        <v>#DIV/0!</v>
      </c>
      <c r="AE8" s="123" t="e">
        <f t="shared" si="2"/>
        <v>#DIV/0!</v>
      </c>
      <c r="AF8" s="124" t="e">
        <f>(J8+J35/1.1+J53/1.1)/($Q8+$Q35/1.1+$Q53/1.1)</f>
        <v>#DIV/0!</v>
      </c>
      <c r="AG8" s="124"/>
      <c r="AH8" s="124" t="e">
        <f>(L8+L35/1.1+L53/1.1)/($Q8+$Q35/1.1+$Q53/1.1)</f>
        <v>#DIV/0!</v>
      </c>
      <c r="AI8" s="124"/>
      <c r="AJ8" s="124" t="e">
        <f>(N8+N35/1.1+N53/1.1)/($Q8+$Q35/1.1+$Q53/1.1)</f>
        <v>#DIV/0!</v>
      </c>
    </row>
    <row r="9" spans="1:36" ht="30" hidden="1" customHeight="1">
      <c r="A9" s="111">
        <v>1</v>
      </c>
      <c r="B9" s="111" t="str">
        <f>B8</f>
        <v>3.기계</v>
      </c>
      <c r="C9" s="153" t="str">
        <f>C8</f>
        <v>직접비</v>
      </c>
      <c r="D9" s="153"/>
      <c r="E9" s="212" t="s">
        <v>203</v>
      </c>
      <c r="F9" s="154" t="s">
        <v>204</v>
      </c>
      <c r="G9" s="155"/>
      <c r="H9" s="156" t="s">
        <v>205</v>
      </c>
      <c r="I9" s="157">
        <v>1</v>
      </c>
      <c r="J9" s="158"/>
      <c r="K9" s="158"/>
      <c r="L9" s="158"/>
      <c r="M9" s="158"/>
      <c r="N9" s="158"/>
      <c r="O9" s="158"/>
      <c r="P9" s="158"/>
      <c r="Q9" s="115"/>
      <c r="R9" s="156"/>
      <c r="S9" s="117"/>
      <c r="T9" s="117"/>
      <c r="U9" s="117"/>
      <c r="V9" s="117"/>
      <c r="X9" s="117"/>
      <c r="Y9" s="118"/>
      <c r="Z9" s="232"/>
      <c r="AC9" s="123"/>
      <c r="AD9" s="123"/>
      <c r="AE9" s="123"/>
      <c r="AF9" s="124"/>
      <c r="AG9" s="124"/>
      <c r="AH9" s="124"/>
      <c r="AI9" s="124"/>
      <c r="AJ9" s="124"/>
    </row>
    <row r="10" spans="1:36" ht="30" hidden="1" customHeight="1">
      <c r="A10" s="111">
        <v>1</v>
      </c>
      <c r="B10" s="111" t="str">
        <f>B9</f>
        <v>3.기계</v>
      </c>
      <c r="C10" s="153" t="str">
        <f>C9</f>
        <v>직접비</v>
      </c>
      <c r="D10" s="153"/>
      <c r="E10" s="212" t="s">
        <v>202</v>
      </c>
      <c r="F10" s="154" t="s">
        <v>505</v>
      </c>
      <c r="G10" s="155"/>
      <c r="H10" s="156" t="s">
        <v>205</v>
      </c>
      <c r="I10" s="157">
        <v>1</v>
      </c>
      <c r="J10" s="158"/>
      <c r="K10" s="158"/>
      <c r="L10" s="158"/>
      <c r="M10" s="158"/>
      <c r="N10" s="158"/>
      <c r="O10" s="158"/>
      <c r="P10" s="158"/>
      <c r="Q10" s="115"/>
      <c r="R10" s="156"/>
      <c r="S10" s="117"/>
      <c r="T10" s="117"/>
      <c r="U10" s="117"/>
      <c r="V10" s="117"/>
      <c r="X10" s="117"/>
      <c r="Y10" s="118"/>
      <c r="Z10" s="232"/>
      <c r="AC10" s="123"/>
      <c r="AD10" s="123"/>
      <c r="AE10" s="123"/>
      <c r="AF10" s="124"/>
      <c r="AG10" s="124"/>
      <c r="AH10" s="124"/>
      <c r="AI10" s="124"/>
      <c r="AJ10" s="124"/>
    </row>
    <row r="11" spans="1:36" ht="30" hidden="1" customHeight="1">
      <c r="A11" s="111">
        <v>1</v>
      </c>
      <c r="B11" s="111" t="s">
        <v>177</v>
      </c>
      <c r="C11" s="111" t="s">
        <v>165</v>
      </c>
      <c r="D11" s="62"/>
      <c r="E11" s="211" t="s">
        <v>189</v>
      </c>
      <c r="F11" s="150" t="s">
        <v>186</v>
      </c>
      <c r="G11" s="113"/>
      <c r="H11" s="120" t="s">
        <v>139</v>
      </c>
      <c r="I11" s="114">
        <v>1</v>
      </c>
      <c r="J11" s="115"/>
      <c r="K11" s="115"/>
      <c r="L11" s="115"/>
      <c r="M11" s="115"/>
      <c r="N11" s="115"/>
      <c r="O11" s="115"/>
      <c r="P11" s="115"/>
      <c r="Q11" s="115"/>
      <c r="R11" s="121"/>
      <c r="S11" s="117"/>
      <c r="T11" s="117"/>
      <c r="U11" s="117"/>
      <c r="V11" s="117"/>
      <c r="X11" s="117"/>
      <c r="Y11" s="118"/>
      <c r="Z11" s="232">
        <v>250101</v>
      </c>
      <c r="AC11" s="123" t="e">
        <f t="shared" si="0"/>
        <v>#DIV/0!</v>
      </c>
      <c r="AD11" s="123" t="e">
        <f t="shared" si="1"/>
        <v>#DIV/0!</v>
      </c>
      <c r="AE11" s="123" t="e">
        <f t="shared" si="2"/>
        <v>#DIV/0!</v>
      </c>
      <c r="AF11" s="124" t="e">
        <f>(J11+J38/1.1+J56/1.1)/($Q11+$Q38/1.1+$Q56/1.1)</f>
        <v>#DIV/0!</v>
      </c>
      <c r="AG11" s="124"/>
      <c r="AH11" s="124" t="e">
        <f>(L11+L38/1.1+L56/1.1)/($Q11+$Q38/1.1+$Q56/1.1)</f>
        <v>#DIV/0!</v>
      </c>
      <c r="AI11" s="124"/>
      <c r="AJ11" s="124" t="e">
        <f>(N11+N38/1.1+N56/1.1)/($Q11+$Q38/1.1+$Q56/1.1)</f>
        <v>#DIV/0!</v>
      </c>
    </row>
    <row r="12" spans="1:36" ht="30" customHeight="1">
      <c r="A12" s="111">
        <v>1</v>
      </c>
      <c r="D12" s="62"/>
      <c r="E12" s="555" t="s">
        <v>336</v>
      </c>
      <c r="F12" s="556"/>
      <c r="G12" s="126" t="str">
        <f>E5</f>
        <v>(가)</v>
      </c>
      <c r="H12" s="127"/>
      <c r="I12" s="128"/>
      <c r="J12" s="129"/>
      <c r="K12" s="129"/>
      <c r="L12" s="129"/>
      <c r="M12" s="129"/>
      <c r="N12" s="129"/>
      <c r="O12" s="129"/>
      <c r="P12" s="129"/>
      <c r="Q12" s="129"/>
      <c r="R12" s="130"/>
      <c r="S12" s="117"/>
      <c r="T12" s="117"/>
      <c r="U12" s="117"/>
      <c r="V12" s="117"/>
      <c r="X12" s="117"/>
      <c r="Y12" s="118"/>
      <c r="AC12" s="123"/>
      <c r="AD12" s="123"/>
      <c r="AE12" s="123"/>
      <c r="AF12" s="123"/>
      <c r="AG12" s="123"/>
      <c r="AH12" s="123"/>
      <c r="AI12" s="123"/>
      <c r="AJ12" s="123"/>
    </row>
    <row r="13" spans="1:36" ht="30" hidden="1" customHeight="1">
      <c r="A13" s="111">
        <v>1</v>
      </c>
      <c r="B13" s="111" t="s">
        <v>403</v>
      </c>
      <c r="D13" s="62" t="s">
        <v>289</v>
      </c>
      <c r="E13" s="210" t="s">
        <v>397</v>
      </c>
      <c r="F13" s="224" t="s">
        <v>539</v>
      </c>
      <c r="G13" s="113" t="s">
        <v>50</v>
      </c>
      <c r="H13" s="113" t="s">
        <v>50</v>
      </c>
      <c r="I13" s="114"/>
      <c r="J13" s="115"/>
      <c r="K13" s="115"/>
      <c r="L13" s="115"/>
      <c r="M13" s="115"/>
      <c r="N13" s="115"/>
      <c r="O13" s="115"/>
      <c r="P13" s="115"/>
      <c r="Q13" s="115"/>
      <c r="R13" s="116" t="s">
        <v>50</v>
      </c>
      <c r="S13" s="117" t="s">
        <v>135</v>
      </c>
      <c r="T13" s="117" t="s">
        <v>50</v>
      </c>
      <c r="U13" s="117" t="s">
        <v>50</v>
      </c>
      <c r="V13" s="117" t="s">
        <v>50</v>
      </c>
      <c r="W13" s="111">
        <v>1</v>
      </c>
      <c r="X13" s="117" t="s">
        <v>50</v>
      </c>
      <c r="Y13" s="118"/>
      <c r="AC13" s="111" t="s">
        <v>136</v>
      </c>
      <c r="AD13" s="111" t="s">
        <v>137</v>
      </c>
      <c r="AE13" s="111" t="s">
        <v>138</v>
      </c>
      <c r="AF13" s="119"/>
      <c r="AG13" s="119"/>
      <c r="AH13" s="119"/>
      <c r="AI13" s="119"/>
      <c r="AJ13" s="119"/>
    </row>
    <row r="14" spans="1:36" ht="30" hidden="1" customHeight="1">
      <c r="A14" s="111">
        <v>1</v>
      </c>
      <c r="B14" s="111" t="s">
        <v>178</v>
      </c>
      <c r="C14" s="111" t="s">
        <v>165</v>
      </c>
      <c r="D14" s="62" t="s">
        <v>289</v>
      </c>
      <c r="E14" s="211" t="s">
        <v>182</v>
      </c>
      <c r="F14" s="222" t="s">
        <v>190</v>
      </c>
      <c r="G14" s="113"/>
      <c r="H14" s="120" t="s">
        <v>139</v>
      </c>
      <c r="I14" s="114">
        <v>1</v>
      </c>
      <c r="J14" s="115"/>
      <c r="K14" s="115"/>
      <c r="L14" s="115"/>
      <c r="M14" s="115"/>
      <c r="N14" s="115"/>
      <c r="O14" s="115"/>
      <c r="P14" s="115"/>
      <c r="Q14" s="115"/>
      <c r="R14" s="125"/>
      <c r="S14" s="117"/>
      <c r="T14" s="117"/>
      <c r="U14" s="117"/>
      <c r="V14" s="117"/>
      <c r="X14" s="117"/>
      <c r="Y14" s="118"/>
      <c r="Z14" s="232">
        <v>250101</v>
      </c>
      <c r="AC14" s="123" t="e">
        <f t="shared" ref="AC14:AC16" si="3">K14/Q14</f>
        <v>#DIV/0!</v>
      </c>
      <c r="AD14" s="123" t="e">
        <f t="shared" ref="AD14:AD16" si="4">M14/Q14</f>
        <v>#DIV/0!</v>
      </c>
      <c r="AE14" s="123" t="e">
        <f t="shared" ref="AE14:AE16" si="5">O14/Q14</f>
        <v>#DIV/0!</v>
      </c>
      <c r="AF14" s="124" t="e">
        <f>(J14+J42/1.1+J60/1.1)/($Q14+$Q42/1.1+$Q60/1.1)</f>
        <v>#DIV/0!</v>
      </c>
      <c r="AG14" s="124"/>
      <c r="AH14" s="124" t="e">
        <f>(L14+L42/1.1+L60/1.1)/($Q14+$Q42/1.1+$Q60/1.1)</f>
        <v>#DIV/0!</v>
      </c>
      <c r="AI14" s="124"/>
      <c r="AJ14" s="124" t="e">
        <f>(N14+N42/1.1+N60/1.1)/($Q14+$Q42/1.1+$Q60/1.1)</f>
        <v>#DIV/0!</v>
      </c>
    </row>
    <row r="15" spans="1:36" ht="30" hidden="1" customHeight="1">
      <c r="A15" s="111">
        <v>1</v>
      </c>
      <c r="B15" s="111" t="s">
        <v>179</v>
      </c>
      <c r="C15" s="111" t="s">
        <v>165</v>
      </c>
      <c r="D15" s="62" t="s">
        <v>289</v>
      </c>
      <c r="E15" s="211" t="s">
        <v>187</v>
      </c>
      <c r="F15" s="222" t="s">
        <v>191</v>
      </c>
      <c r="G15" s="113"/>
      <c r="H15" s="120" t="s">
        <v>139</v>
      </c>
      <c r="I15" s="114">
        <v>1</v>
      </c>
      <c r="J15" s="115"/>
      <c r="K15" s="115"/>
      <c r="L15" s="115"/>
      <c r="M15" s="115"/>
      <c r="N15" s="115"/>
      <c r="O15" s="115"/>
      <c r="P15" s="115"/>
      <c r="Q15" s="115"/>
      <c r="R15" s="121"/>
      <c r="S15" s="117"/>
      <c r="T15" s="117"/>
      <c r="U15" s="117"/>
      <c r="V15" s="117"/>
      <c r="X15" s="117"/>
      <c r="Y15" s="118"/>
      <c r="Z15" s="232">
        <v>250101</v>
      </c>
      <c r="AC15" s="123" t="e">
        <f t="shared" si="3"/>
        <v>#DIV/0!</v>
      </c>
      <c r="AD15" s="123" t="e">
        <f t="shared" si="4"/>
        <v>#DIV/0!</v>
      </c>
      <c r="AE15" s="123" t="e">
        <f t="shared" si="5"/>
        <v>#DIV/0!</v>
      </c>
      <c r="AF15" s="124" t="e">
        <f>(J15+J43/1.1+J61/1.1)/($Q15+$Q43/1.1+$Q61/1.1)</f>
        <v>#DIV/0!</v>
      </c>
      <c r="AG15" s="124"/>
      <c r="AH15" s="124" t="e">
        <f>(L15+L43/1.1+L61/1.1)/($Q15+$Q43/1.1+$Q61/1.1)</f>
        <v>#DIV/0!</v>
      </c>
      <c r="AI15" s="124"/>
      <c r="AJ15" s="124" t="e">
        <f>(N15+N43/1.1+N61/1.1)/($Q15+$Q43/1.1+$Q61/1.1)</f>
        <v>#DIV/0!</v>
      </c>
    </row>
    <row r="16" spans="1:36" ht="30" hidden="1" customHeight="1">
      <c r="A16" s="111">
        <v>1</v>
      </c>
      <c r="B16" s="111" t="s">
        <v>180</v>
      </c>
      <c r="C16" s="111" t="s">
        <v>165</v>
      </c>
      <c r="D16" s="62" t="s">
        <v>289</v>
      </c>
      <c r="E16" s="211" t="s">
        <v>188</v>
      </c>
      <c r="F16" s="222" t="s">
        <v>192</v>
      </c>
      <c r="G16" s="113"/>
      <c r="H16" s="120" t="s">
        <v>139</v>
      </c>
      <c r="I16" s="114">
        <v>1</v>
      </c>
      <c r="J16" s="115"/>
      <c r="K16" s="115"/>
      <c r="L16" s="115"/>
      <c r="M16" s="115"/>
      <c r="N16" s="115"/>
      <c r="O16" s="115"/>
      <c r="P16" s="115"/>
      <c r="Q16" s="115"/>
      <c r="R16" s="125"/>
      <c r="S16" s="117"/>
      <c r="T16" s="117"/>
      <c r="U16" s="117"/>
      <c r="V16" s="117"/>
      <c r="X16" s="117"/>
      <c r="Y16" s="118"/>
      <c r="Z16" s="232">
        <v>250101</v>
      </c>
      <c r="AC16" s="123" t="e">
        <f t="shared" si="3"/>
        <v>#DIV/0!</v>
      </c>
      <c r="AD16" s="123" t="e">
        <f t="shared" si="4"/>
        <v>#DIV/0!</v>
      </c>
      <c r="AE16" s="123" t="e">
        <f t="shared" si="5"/>
        <v>#DIV/0!</v>
      </c>
      <c r="AF16" s="124" t="e">
        <f>(J16+J44/1.1+J62/1.1)/($Q16+$Q44/1.1+$Q62/1.1)</f>
        <v>#DIV/0!</v>
      </c>
      <c r="AG16" s="124"/>
      <c r="AH16" s="124" t="e">
        <f>(L16+L44/1.1+L62/1.1)/($Q16+$Q44/1.1+$Q62/1.1)</f>
        <v>#DIV/0!</v>
      </c>
      <c r="AI16" s="124"/>
      <c r="AJ16" s="124" t="e">
        <f>(N16+N44/1.1+N62/1.1)/($Q16+$Q44/1.1+$Q62/1.1)</f>
        <v>#DIV/0!</v>
      </c>
    </row>
    <row r="17" spans="1:36" ht="30" hidden="1" customHeight="1">
      <c r="A17" s="111">
        <v>1</v>
      </c>
      <c r="B17" s="111" t="str">
        <f>B16</f>
        <v>7.소방</v>
      </c>
      <c r="C17" s="153" t="str">
        <f>C16</f>
        <v>직접비</v>
      </c>
      <c r="D17" s="62" t="s">
        <v>289</v>
      </c>
      <c r="E17" s="212" t="s">
        <v>203</v>
      </c>
      <c r="F17" s="223" t="s">
        <v>206</v>
      </c>
      <c r="G17" s="155"/>
      <c r="H17" s="156" t="s">
        <v>205</v>
      </c>
      <c r="I17" s="157">
        <v>1</v>
      </c>
      <c r="J17" s="158"/>
      <c r="K17" s="158"/>
      <c r="L17" s="158"/>
      <c r="M17" s="158"/>
      <c r="N17" s="158"/>
      <c r="O17" s="158"/>
      <c r="P17" s="158"/>
      <c r="Q17" s="115"/>
      <c r="R17" s="156"/>
      <c r="S17" s="117"/>
      <c r="T17" s="117"/>
      <c r="U17" s="117"/>
      <c r="V17" s="117"/>
      <c r="X17" s="117"/>
      <c r="Y17" s="118"/>
      <c r="Z17" s="232"/>
      <c r="AC17" s="123"/>
      <c r="AD17" s="123"/>
      <c r="AE17" s="123"/>
      <c r="AF17" s="124"/>
      <c r="AG17" s="124"/>
      <c r="AH17" s="124"/>
      <c r="AI17" s="124"/>
      <c r="AJ17" s="124"/>
    </row>
    <row r="18" spans="1:36" ht="30" hidden="1" customHeight="1">
      <c r="A18" s="111">
        <v>1</v>
      </c>
      <c r="B18" s="111" t="str">
        <f>B17</f>
        <v>7.소방</v>
      </c>
      <c r="C18" s="153" t="str">
        <f>C17</f>
        <v>직접비</v>
      </c>
      <c r="D18" s="62" t="s">
        <v>289</v>
      </c>
      <c r="E18" s="212" t="s">
        <v>202</v>
      </c>
      <c r="F18" s="223" t="s">
        <v>505</v>
      </c>
      <c r="G18" s="155"/>
      <c r="H18" s="156" t="s">
        <v>205</v>
      </c>
      <c r="I18" s="157">
        <v>1</v>
      </c>
      <c r="J18" s="158"/>
      <c r="K18" s="158"/>
      <c r="L18" s="158"/>
      <c r="M18" s="158"/>
      <c r="N18" s="158"/>
      <c r="O18" s="158"/>
      <c r="P18" s="158"/>
      <c r="Q18" s="115"/>
      <c r="R18" s="156"/>
      <c r="S18" s="117"/>
      <c r="T18" s="117"/>
      <c r="U18" s="117"/>
      <c r="V18" s="117"/>
      <c r="X18" s="117"/>
      <c r="Y18" s="118"/>
      <c r="Z18" s="232"/>
      <c r="AC18" s="123"/>
      <c r="AD18" s="123"/>
      <c r="AE18" s="123"/>
      <c r="AF18" s="124"/>
      <c r="AG18" s="124"/>
      <c r="AH18" s="124"/>
      <c r="AI18" s="124"/>
      <c r="AJ18" s="124"/>
    </row>
    <row r="19" spans="1:36" ht="30" hidden="1" customHeight="1">
      <c r="A19" s="111">
        <v>1</v>
      </c>
      <c r="D19" s="62" t="s">
        <v>289</v>
      </c>
      <c r="E19" s="555" t="s">
        <v>142</v>
      </c>
      <c r="F19" s="556"/>
      <c r="G19" s="126" t="str">
        <f>E13</f>
        <v>별도공사</v>
      </c>
      <c r="H19" s="127"/>
      <c r="I19" s="128"/>
      <c r="J19" s="129"/>
      <c r="K19" s="129"/>
      <c r="L19" s="129"/>
      <c r="M19" s="129"/>
      <c r="N19" s="129"/>
      <c r="O19" s="129"/>
      <c r="P19" s="129"/>
      <c r="Q19" s="129"/>
      <c r="R19" s="130"/>
      <c r="S19" s="117"/>
      <c r="T19" s="117"/>
      <c r="U19" s="117"/>
      <c r="V19" s="117"/>
      <c r="X19" s="117"/>
      <c r="Y19" s="118"/>
      <c r="AC19" s="123"/>
      <c r="AD19" s="123"/>
      <c r="AE19" s="123"/>
      <c r="AF19" s="123"/>
      <c r="AG19" s="123"/>
      <c r="AH19" s="123"/>
      <c r="AI19" s="123"/>
      <c r="AJ19" s="123"/>
    </row>
    <row r="20" spans="1:36" ht="30" hidden="1" customHeight="1">
      <c r="A20" s="111">
        <v>1</v>
      </c>
      <c r="D20" s="62" t="s">
        <v>289</v>
      </c>
      <c r="E20" s="564" t="s">
        <v>143</v>
      </c>
      <c r="F20" s="565"/>
      <c r="G20" s="131" t="str">
        <f>CONCATENATE(G12,"+",G19)</f>
        <v>(가)+별도공사</v>
      </c>
      <c r="H20" s="132"/>
      <c r="I20" s="133"/>
      <c r="J20" s="134"/>
      <c r="K20" s="134"/>
      <c r="L20" s="134"/>
      <c r="M20" s="134"/>
      <c r="N20" s="134"/>
      <c r="O20" s="134"/>
      <c r="P20" s="134"/>
      <c r="Q20" s="134"/>
      <c r="R20" s="135"/>
      <c r="S20" s="117"/>
      <c r="T20" s="117"/>
      <c r="U20" s="117"/>
      <c r="V20" s="117"/>
      <c r="X20" s="117"/>
      <c r="Y20" s="118"/>
    </row>
    <row r="21" spans="1:36" ht="30" customHeight="1">
      <c r="A21" s="111">
        <v>1</v>
      </c>
      <c r="D21" s="62"/>
      <c r="E21" s="149"/>
      <c r="F21" s="150"/>
      <c r="G21" s="113"/>
      <c r="H21" s="113"/>
      <c r="I21" s="114"/>
      <c r="J21" s="115"/>
      <c r="K21" s="115"/>
      <c r="L21" s="115"/>
      <c r="M21" s="115"/>
      <c r="N21" s="115"/>
      <c r="O21" s="115"/>
      <c r="P21" s="115"/>
      <c r="Q21" s="115"/>
      <c r="R21" s="121"/>
      <c r="S21" s="117"/>
      <c r="T21" s="117"/>
      <c r="U21" s="117"/>
      <c r="V21" s="117"/>
      <c r="X21" s="117"/>
      <c r="Y21" s="118"/>
    </row>
    <row r="22" spans="1:36" ht="30" customHeight="1">
      <c r="A22" s="111">
        <v>1</v>
      </c>
      <c r="B22" s="111" t="s">
        <v>403</v>
      </c>
      <c r="D22" s="62"/>
      <c r="E22" s="210" t="s">
        <v>299</v>
      </c>
      <c r="F22" s="148" t="s">
        <v>499</v>
      </c>
      <c r="G22" s="113"/>
      <c r="H22" s="120"/>
      <c r="I22" s="114"/>
      <c r="J22" s="115"/>
      <c r="K22" s="115"/>
      <c r="L22" s="115"/>
      <c r="M22" s="115"/>
      <c r="N22" s="115"/>
      <c r="O22" s="115"/>
      <c r="P22" s="115"/>
      <c r="Q22" s="115"/>
      <c r="R22" s="121"/>
      <c r="S22" s="117"/>
      <c r="T22" s="117"/>
      <c r="U22" s="117"/>
      <c r="V22" s="117"/>
      <c r="X22" s="117"/>
      <c r="Y22" s="118"/>
    </row>
    <row r="23" spans="1:36" ht="30" customHeight="1">
      <c r="A23" s="111">
        <v>1</v>
      </c>
      <c r="B23" s="111" t="s">
        <v>174</v>
      </c>
      <c r="C23" s="111" t="str">
        <f>F22</f>
        <v xml:space="preserve"> 안전관리비(제요율적용제외공종)</v>
      </c>
      <c r="D23" s="62"/>
      <c r="E23" s="211" t="s">
        <v>182</v>
      </c>
      <c r="F23" s="150" t="s">
        <v>183</v>
      </c>
      <c r="G23" s="113"/>
      <c r="H23" s="120" t="s">
        <v>146</v>
      </c>
      <c r="I23" s="114">
        <v>1</v>
      </c>
      <c r="J23" s="115"/>
      <c r="K23" s="115"/>
      <c r="L23" s="115"/>
      <c r="M23" s="115"/>
      <c r="N23" s="115"/>
      <c r="O23" s="115"/>
      <c r="P23" s="115"/>
      <c r="Q23" s="115"/>
      <c r="R23" s="125"/>
      <c r="S23" s="117"/>
      <c r="T23" s="117"/>
      <c r="U23" s="117"/>
      <c r="V23" s="117"/>
      <c r="X23" s="117"/>
      <c r="Y23" s="118"/>
    </row>
    <row r="24" spans="1:36" ht="30" hidden="1" customHeight="1">
      <c r="A24" s="111">
        <v>1</v>
      </c>
      <c r="B24" s="111" t="s">
        <v>175</v>
      </c>
      <c r="C24" s="111" t="str">
        <f>C23</f>
        <v xml:space="preserve"> 안전관리비(제요율적용제외공종)</v>
      </c>
      <c r="D24" s="62"/>
      <c r="E24" s="211" t="s">
        <v>187</v>
      </c>
      <c r="F24" s="150" t="s">
        <v>184</v>
      </c>
      <c r="G24" s="113"/>
      <c r="H24" s="120" t="s">
        <v>146</v>
      </c>
      <c r="I24" s="114">
        <v>1</v>
      </c>
      <c r="J24" s="115"/>
      <c r="K24" s="115"/>
      <c r="L24" s="115"/>
      <c r="M24" s="115"/>
      <c r="N24" s="115"/>
      <c r="O24" s="115"/>
      <c r="P24" s="115"/>
      <c r="Q24" s="115"/>
      <c r="R24" s="125"/>
      <c r="S24" s="117"/>
      <c r="T24" s="117"/>
      <c r="U24" s="117"/>
      <c r="V24" s="117"/>
      <c r="X24" s="117"/>
      <c r="Y24" s="118"/>
    </row>
    <row r="25" spans="1:36" ht="30" customHeight="1">
      <c r="A25" s="111">
        <v>1</v>
      </c>
      <c r="D25" s="62"/>
      <c r="E25" s="555" t="s">
        <v>301</v>
      </c>
      <c r="F25" s="556"/>
      <c r="G25" s="126" t="str">
        <f>E22</f>
        <v>(나)</v>
      </c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17"/>
      <c r="T25" s="117"/>
      <c r="U25" s="117"/>
      <c r="V25" s="117"/>
      <c r="X25" s="117"/>
      <c r="Y25" s="118"/>
    </row>
    <row r="26" spans="1:36" ht="30" customHeight="1">
      <c r="A26" s="111">
        <v>1</v>
      </c>
      <c r="D26" s="62"/>
      <c r="E26" s="211"/>
      <c r="F26" s="150"/>
      <c r="G26" s="113"/>
      <c r="H26" s="113"/>
      <c r="I26" s="114"/>
      <c r="J26" s="115"/>
      <c r="K26" s="115"/>
      <c r="L26" s="115"/>
      <c r="M26" s="115"/>
      <c r="N26" s="115"/>
      <c r="O26" s="115"/>
      <c r="P26" s="115"/>
      <c r="Q26" s="115"/>
      <c r="R26" s="121"/>
      <c r="S26" s="117"/>
      <c r="T26" s="117"/>
      <c r="U26" s="117"/>
      <c r="V26" s="117"/>
      <c r="X26" s="117"/>
      <c r="Y26" s="118"/>
    </row>
    <row r="27" spans="1:36" ht="30" customHeight="1">
      <c r="A27" s="111">
        <v>1</v>
      </c>
      <c r="B27" s="111" t="s">
        <v>403</v>
      </c>
      <c r="D27" s="62"/>
      <c r="E27" s="210" t="s">
        <v>1791</v>
      </c>
      <c r="F27" s="148" t="s">
        <v>315</v>
      </c>
      <c r="G27" s="113"/>
      <c r="H27" s="120"/>
      <c r="I27" s="114"/>
      <c r="J27" s="115"/>
      <c r="K27" s="115"/>
      <c r="L27" s="115"/>
      <c r="M27" s="115"/>
      <c r="N27" s="115"/>
      <c r="O27" s="115"/>
      <c r="P27" s="115"/>
      <c r="Q27" s="115"/>
      <c r="R27" s="121"/>
      <c r="S27" s="117"/>
      <c r="T27" s="117"/>
      <c r="U27" s="117"/>
      <c r="V27" s="117"/>
      <c r="X27" s="117"/>
      <c r="Y27" s="118"/>
    </row>
    <row r="28" spans="1:36" ht="30" customHeight="1">
      <c r="A28" s="111">
        <v>1</v>
      </c>
      <c r="B28" s="111" t="s">
        <v>174</v>
      </c>
      <c r="C28" s="111" t="str">
        <f>F27</f>
        <v xml:space="preserve"> 품질관리비</v>
      </c>
      <c r="D28" s="62"/>
      <c r="E28" s="211" t="s">
        <v>182</v>
      </c>
      <c r="F28" s="150" t="s">
        <v>183</v>
      </c>
      <c r="G28" s="113"/>
      <c r="H28" s="120" t="s">
        <v>146</v>
      </c>
      <c r="I28" s="114">
        <v>1</v>
      </c>
      <c r="J28" s="115"/>
      <c r="K28" s="115"/>
      <c r="L28" s="115"/>
      <c r="M28" s="115"/>
      <c r="N28" s="115"/>
      <c r="O28" s="115"/>
      <c r="P28" s="115"/>
      <c r="Q28" s="115"/>
      <c r="R28" s="125"/>
      <c r="S28" s="117"/>
      <c r="T28" s="117"/>
      <c r="U28" s="117"/>
      <c r="V28" s="117"/>
      <c r="X28" s="117"/>
      <c r="Y28" s="118"/>
    </row>
    <row r="29" spans="1:36" ht="30" hidden="1" customHeight="1">
      <c r="A29" s="111">
        <v>1</v>
      </c>
      <c r="B29" s="111" t="s">
        <v>175</v>
      </c>
      <c r="C29" s="111" t="str">
        <f>C28</f>
        <v xml:space="preserve"> 품질관리비</v>
      </c>
      <c r="D29" s="62"/>
      <c r="E29" s="211" t="s">
        <v>187</v>
      </c>
      <c r="F29" s="150" t="s">
        <v>184</v>
      </c>
      <c r="G29" s="113"/>
      <c r="H29" s="120" t="s">
        <v>146</v>
      </c>
      <c r="I29" s="114">
        <v>1</v>
      </c>
      <c r="J29" s="115"/>
      <c r="K29" s="115"/>
      <c r="L29" s="115"/>
      <c r="M29" s="115"/>
      <c r="N29" s="115"/>
      <c r="O29" s="115"/>
      <c r="P29" s="115"/>
      <c r="Q29" s="115"/>
      <c r="R29" s="125"/>
      <c r="S29" s="117"/>
      <c r="T29" s="117"/>
      <c r="U29" s="117"/>
      <c r="V29" s="117"/>
      <c r="X29" s="117"/>
      <c r="Y29" s="118"/>
    </row>
    <row r="30" spans="1:36" ht="30" customHeight="1">
      <c r="A30" s="111">
        <v>1</v>
      </c>
      <c r="D30" s="62"/>
      <c r="E30" s="555" t="s">
        <v>320</v>
      </c>
      <c r="F30" s="556"/>
      <c r="G30" s="126" t="str">
        <f>E27</f>
        <v>(다)</v>
      </c>
      <c r="H30" s="127"/>
      <c r="I30" s="128"/>
      <c r="J30" s="129"/>
      <c r="K30" s="129"/>
      <c r="L30" s="129"/>
      <c r="M30" s="129"/>
      <c r="N30" s="129"/>
      <c r="O30" s="129"/>
      <c r="P30" s="129"/>
      <c r="Q30" s="129"/>
      <c r="R30" s="130"/>
      <c r="S30" s="117"/>
      <c r="T30" s="117"/>
      <c r="U30" s="117"/>
      <c r="V30" s="117"/>
      <c r="X30" s="117"/>
      <c r="Y30" s="118"/>
    </row>
    <row r="31" spans="1:36" ht="30" customHeight="1">
      <c r="A31" s="111">
        <v>1</v>
      </c>
      <c r="D31" s="62"/>
      <c r="E31" s="211"/>
      <c r="F31" s="150"/>
      <c r="G31" s="113"/>
      <c r="H31" s="113"/>
      <c r="I31" s="114"/>
      <c r="J31" s="115"/>
      <c r="K31" s="115"/>
      <c r="L31" s="115"/>
      <c r="M31" s="115"/>
      <c r="N31" s="115"/>
      <c r="O31" s="115"/>
      <c r="P31" s="115"/>
      <c r="Q31" s="115"/>
      <c r="R31" s="121"/>
      <c r="S31" s="117"/>
      <c r="T31" s="117"/>
      <c r="U31" s="117"/>
      <c r="V31" s="117"/>
      <c r="X31" s="117"/>
      <c r="Y31" s="118"/>
    </row>
    <row r="32" spans="1:36" ht="30" customHeight="1">
      <c r="A32" s="111">
        <v>1</v>
      </c>
      <c r="B32" s="111" t="s">
        <v>403</v>
      </c>
      <c r="D32" s="62"/>
      <c r="E32" s="210" t="s">
        <v>1792</v>
      </c>
      <c r="F32" s="148" t="s">
        <v>537</v>
      </c>
      <c r="G32" s="113"/>
      <c r="H32" s="113"/>
      <c r="I32" s="114"/>
      <c r="J32" s="115"/>
      <c r="K32" s="115"/>
      <c r="L32" s="115"/>
      <c r="M32" s="115"/>
      <c r="N32" s="115"/>
      <c r="O32" s="115"/>
      <c r="P32" s="115"/>
      <c r="Q32" s="115"/>
      <c r="R32" s="125" t="s">
        <v>144</v>
      </c>
      <c r="S32" s="117"/>
      <c r="T32" s="117"/>
      <c r="U32" s="117"/>
      <c r="V32" s="117"/>
      <c r="X32" s="117"/>
      <c r="Y32" s="118"/>
      <c r="AA32" s="111" t="s">
        <v>145</v>
      </c>
    </row>
    <row r="33" spans="1:36" ht="30" customHeight="1">
      <c r="A33" s="111">
        <v>1</v>
      </c>
      <c r="B33" s="111" t="s">
        <v>174</v>
      </c>
      <c r="C33" s="111" t="s">
        <v>166</v>
      </c>
      <c r="D33" s="62"/>
      <c r="E33" s="211" t="s">
        <v>182</v>
      </c>
      <c r="F33" s="150" t="s">
        <v>183</v>
      </c>
      <c r="G33" s="113"/>
      <c r="H33" s="120" t="s">
        <v>139</v>
      </c>
      <c r="I33" s="114">
        <v>1</v>
      </c>
      <c r="J33" s="115"/>
      <c r="K33" s="115"/>
      <c r="L33" s="115"/>
      <c r="M33" s="115"/>
      <c r="N33" s="115"/>
      <c r="O33" s="115"/>
      <c r="P33" s="115"/>
      <c r="Q33" s="115"/>
      <c r="R33" s="121"/>
      <c r="S33" s="117"/>
      <c r="T33" s="117"/>
      <c r="U33" s="117"/>
      <c r="V33" s="117"/>
      <c r="X33" s="117"/>
      <c r="Y33" s="118"/>
      <c r="Z33" s="118">
        <f>Q6+Q33/1.1+Q51/1.1</f>
        <v>0</v>
      </c>
      <c r="AA33" s="123" t="e">
        <f>Q33/Z33</f>
        <v>#DIV/0!</v>
      </c>
    </row>
    <row r="34" spans="1:36" ht="30" hidden="1" customHeight="1">
      <c r="A34" s="111">
        <v>1</v>
      </c>
      <c r="B34" s="111" t="s">
        <v>175</v>
      </c>
      <c r="C34" s="111" t="s">
        <v>166</v>
      </c>
      <c r="D34" s="62"/>
      <c r="E34" s="211" t="s">
        <v>187</v>
      </c>
      <c r="F34" s="150" t="s">
        <v>184</v>
      </c>
      <c r="G34" s="113"/>
      <c r="H34" s="120" t="s">
        <v>139</v>
      </c>
      <c r="I34" s="114">
        <v>1</v>
      </c>
      <c r="J34" s="115"/>
      <c r="K34" s="115"/>
      <c r="L34" s="115"/>
      <c r="M34" s="115"/>
      <c r="N34" s="115"/>
      <c r="O34" s="115"/>
      <c r="P34" s="115"/>
      <c r="Q34" s="115"/>
      <c r="R34" s="121"/>
      <c r="S34" s="117"/>
      <c r="T34" s="117"/>
      <c r="U34" s="117"/>
      <c r="V34" s="117"/>
      <c r="X34" s="117"/>
      <c r="Y34" s="118"/>
    </row>
    <row r="35" spans="1:36" ht="30" hidden="1" customHeight="1">
      <c r="A35" s="111">
        <v>1</v>
      </c>
      <c r="B35" s="111" t="s">
        <v>176</v>
      </c>
      <c r="C35" s="111" t="s">
        <v>166</v>
      </c>
      <c r="D35" s="62"/>
      <c r="E35" s="211" t="s">
        <v>188</v>
      </c>
      <c r="F35" s="150" t="s">
        <v>185</v>
      </c>
      <c r="G35" s="113"/>
      <c r="H35" s="120" t="s">
        <v>139</v>
      </c>
      <c r="I35" s="114">
        <v>1</v>
      </c>
      <c r="J35" s="115"/>
      <c r="K35" s="115"/>
      <c r="L35" s="115"/>
      <c r="M35" s="115"/>
      <c r="N35" s="115"/>
      <c r="O35" s="115"/>
      <c r="P35" s="115"/>
      <c r="Q35" s="115"/>
      <c r="R35" s="121"/>
      <c r="S35" s="117"/>
      <c r="T35" s="117"/>
      <c r="U35" s="117"/>
      <c r="V35" s="117"/>
      <c r="X35" s="117"/>
      <c r="Y35" s="118"/>
    </row>
    <row r="36" spans="1:36" ht="30" hidden="1" customHeight="1">
      <c r="A36" s="111">
        <v>1</v>
      </c>
      <c r="B36" s="111" t="str">
        <f>B35</f>
        <v>3.기계</v>
      </c>
      <c r="C36" s="153" t="str">
        <f>C35</f>
        <v>도급관급</v>
      </c>
      <c r="D36" s="153"/>
      <c r="E36" s="212" t="s">
        <v>203</v>
      </c>
      <c r="F36" s="154" t="s">
        <v>204</v>
      </c>
      <c r="G36" s="155"/>
      <c r="H36" s="156" t="s">
        <v>205</v>
      </c>
      <c r="I36" s="157">
        <v>1</v>
      </c>
      <c r="J36" s="158"/>
      <c r="K36" s="158"/>
      <c r="L36" s="158"/>
      <c r="M36" s="158"/>
      <c r="N36" s="158"/>
      <c r="O36" s="158"/>
      <c r="P36" s="158"/>
      <c r="Q36" s="115"/>
      <c r="R36" s="156"/>
      <c r="S36" s="117"/>
      <c r="T36" s="117"/>
      <c r="U36" s="117"/>
      <c r="V36" s="117"/>
      <c r="X36" s="117"/>
      <c r="Y36" s="118"/>
      <c r="AC36" s="123"/>
      <c r="AD36" s="123"/>
      <c r="AE36" s="123"/>
      <c r="AF36" s="124"/>
      <c r="AG36" s="124"/>
      <c r="AH36" s="124"/>
      <c r="AI36" s="124"/>
      <c r="AJ36" s="124"/>
    </row>
    <row r="37" spans="1:36" ht="30" hidden="1" customHeight="1">
      <c r="A37" s="111">
        <v>1</v>
      </c>
      <c r="B37" s="111" t="str">
        <f>B36</f>
        <v>3.기계</v>
      </c>
      <c r="C37" s="153" t="str">
        <f>C36</f>
        <v>도급관급</v>
      </c>
      <c r="D37" s="153"/>
      <c r="E37" s="212" t="s">
        <v>202</v>
      </c>
      <c r="F37" s="154" t="s">
        <v>505</v>
      </c>
      <c r="G37" s="155"/>
      <c r="H37" s="156" t="s">
        <v>205</v>
      </c>
      <c r="I37" s="157">
        <v>1</v>
      </c>
      <c r="J37" s="158"/>
      <c r="K37" s="158"/>
      <c r="L37" s="158"/>
      <c r="M37" s="158"/>
      <c r="N37" s="158"/>
      <c r="O37" s="158"/>
      <c r="P37" s="158"/>
      <c r="Q37" s="115"/>
      <c r="R37" s="156"/>
      <c r="S37" s="117"/>
      <c r="T37" s="117"/>
      <c r="U37" s="117"/>
      <c r="V37" s="117"/>
      <c r="X37" s="117"/>
      <c r="Y37" s="118"/>
      <c r="AC37" s="123"/>
      <c r="AD37" s="123"/>
      <c r="AE37" s="123"/>
      <c r="AF37" s="124"/>
      <c r="AG37" s="124"/>
      <c r="AH37" s="124"/>
      <c r="AI37" s="124"/>
      <c r="AJ37" s="124"/>
    </row>
    <row r="38" spans="1:36" ht="30" hidden="1" customHeight="1">
      <c r="A38" s="111">
        <v>1</v>
      </c>
      <c r="B38" s="111" t="s">
        <v>177</v>
      </c>
      <c r="C38" s="111" t="s">
        <v>166</v>
      </c>
      <c r="D38" s="62"/>
      <c r="E38" s="211" t="s">
        <v>1498</v>
      </c>
      <c r="F38" s="150" t="s">
        <v>186</v>
      </c>
      <c r="G38" s="113"/>
      <c r="H38" s="120" t="s">
        <v>139</v>
      </c>
      <c r="I38" s="114">
        <v>1</v>
      </c>
      <c r="J38" s="115"/>
      <c r="K38" s="115"/>
      <c r="L38" s="115"/>
      <c r="M38" s="115"/>
      <c r="N38" s="115"/>
      <c r="O38" s="115"/>
      <c r="P38" s="115"/>
      <c r="Q38" s="115"/>
      <c r="R38" s="121"/>
      <c r="S38" s="117"/>
      <c r="T38" s="117"/>
      <c r="U38" s="117"/>
      <c r="V38" s="117"/>
      <c r="X38" s="117"/>
      <c r="Y38" s="118"/>
    </row>
    <row r="39" spans="1:36" ht="30" customHeight="1">
      <c r="A39" s="111">
        <v>1</v>
      </c>
      <c r="D39" s="62"/>
      <c r="E39" s="555" t="s">
        <v>300</v>
      </c>
      <c r="F39" s="556"/>
      <c r="G39" s="126" t="str">
        <f>E32</f>
        <v>(라)</v>
      </c>
      <c r="H39" s="127"/>
      <c r="I39" s="128"/>
      <c r="J39" s="129"/>
      <c r="K39" s="129"/>
      <c r="L39" s="129"/>
      <c r="M39" s="129"/>
      <c r="N39" s="129"/>
      <c r="O39" s="129"/>
      <c r="P39" s="129"/>
      <c r="Q39" s="129"/>
      <c r="R39" s="130"/>
      <c r="S39" s="117"/>
      <c r="T39" s="117"/>
      <c r="U39" s="117"/>
      <c r="V39" s="117"/>
      <c r="X39" s="117"/>
      <c r="Y39" s="118"/>
      <c r="AC39" s="123"/>
      <c r="AD39" s="123"/>
      <c r="AE39" s="123"/>
      <c r="AF39" s="123"/>
      <c r="AG39" s="123"/>
      <c r="AH39" s="123"/>
      <c r="AI39" s="123"/>
      <c r="AJ39" s="123"/>
    </row>
    <row r="40" spans="1:36" ht="30" customHeight="1">
      <c r="A40" s="111">
        <v>1</v>
      </c>
      <c r="D40" s="62"/>
      <c r="E40" s="211"/>
      <c r="F40" s="150"/>
      <c r="G40" s="113"/>
      <c r="H40" s="113"/>
      <c r="I40" s="114"/>
      <c r="J40" s="115"/>
      <c r="K40" s="115"/>
      <c r="L40" s="115"/>
      <c r="M40" s="115"/>
      <c r="N40" s="115"/>
      <c r="O40" s="115"/>
      <c r="P40" s="115"/>
      <c r="Q40" s="115"/>
      <c r="R40" s="121"/>
      <c r="S40" s="117"/>
      <c r="T40" s="117"/>
      <c r="U40" s="117"/>
      <c r="V40" s="117"/>
      <c r="X40" s="117"/>
      <c r="Y40" s="118"/>
    </row>
    <row r="41" spans="1:36" ht="30" hidden="1" customHeight="1">
      <c r="A41" s="111">
        <v>1</v>
      </c>
      <c r="B41" s="111" t="s">
        <v>403</v>
      </c>
      <c r="D41" s="62" t="s">
        <v>289</v>
      </c>
      <c r="E41" s="210" t="s">
        <v>397</v>
      </c>
      <c r="F41" s="224" t="s">
        <v>540</v>
      </c>
      <c r="G41" s="113"/>
      <c r="H41" s="113"/>
      <c r="I41" s="114"/>
      <c r="J41" s="115"/>
      <c r="K41" s="115"/>
      <c r="L41" s="115"/>
      <c r="M41" s="115"/>
      <c r="N41" s="115"/>
      <c r="O41" s="115"/>
      <c r="P41" s="115"/>
      <c r="Q41" s="115"/>
      <c r="R41" s="125" t="s">
        <v>144</v>
      </c>
      <c r="S41" s="117"/>
      <c r="T41" s="117"/>
      <c r="U41" s="117"/>
      <c r="V41" s="117"/>
      <c r="X41" s="117"/>
      <c r="Y41" s="118"/>
    </row>
    <row r="42" spans="1:36" ht="30" hidden="1" customHeight="1">
      <c r="A42" s="111">
        <v>1</v>
      </c>
      <c r="B42" s="111" t="s">
        <v>178</v>
      </c>
      <c r="C42" s="111" t="s">
        <v>166</v>
      </c>
      <c r="D42" s="62" t="s">
        <v>289</v>
      </c>
      <c r="E42" s="211" t="s">
        <v>182</v>
      </c>
      <c r="F42" s="222" t="s">
        <v>190</v>
      </c>
      <c r="G42" s="113"/>
      <c r="H42" s="120" t="s">
        <v>139</v>
      </c>
      <c r="I42" s="114">
        <v>1</v>
      </c>
      <c r="J42" s="115"/>
      <c r="K42" s="115"/>
      <c r="L42" s="115"/>
      <c r="M42" s="115"/>
      <c r="N42" s="115"/>
      <c r="O42" s="115"/>
      <c r="P42" s="115"/>
      <c r="Q42" s="115"/>
      <c r="R42" s="121"/>
      <c r="S42" s="117"/>
      <c r="T42" s="117"/>
      <c r="U42" s="117"/>
      <c r="V42" s="117"/>
      <c r="X42" s="117"/>
      <c r="Y42" s="118"/>
      <c r="AC42" s="123"/>
      <c r="AD42" s="123"/>
      <c r="AE42" s="123"/>
    </row>
    <row r="43" spans="1:36" ht="30" hidden="1" customHeight="1">
      <c r="A43" s="111">
        <v>1</v>
      </c>
      <c r="B43" s="111" t="s">
        <v>179</v>
      </c>
      <c r="C43" s="111" t="s">
        <v>166</v>
      </c>
      <c r="D43" s="62" t="s">
        <v>289</v>
      </c>
      <c r="E43" s="211" t="s">
        <v>187</v>
      </c>
      <c r="F43" s="222" t="s">
        <v>191</v>
      </c>
      <c r="G43" s="113"/>
      <c r="H43" s="120" t="s">
        <v>139</v>
      </c>
      <c r="I43" s="114">
        <v>1</v>
      </c>
      <c r="J43" s="115"/>
      <c r="K43" s="115"/>
      <c r="L43" s="115"/>
      <c r="M43" s="115"/>
      <c r="N43" s="115"/>
      <c r="O43" s="115"/>
      <c r="P43" s="115"/>
      <c r="Q43" s="115"/>
      <c r="R43" s="121"/>
      <c r="S43" s="117"/>
      <c r="T43" s="117"/>
      <c r="U43" s="117"/>
      <c r="V43" s="117"/>
      <c r="X43" s="117"/>
      <c r="Y43" s="118"/>
      <c r="AC43" s="123"/>
      <c r="AD43" s="123"/>
      <c r="AE43" s="123"/>
    </row>
    <row r="44" spans="1:36" ht="30" hidden="1" customHeight="1">
      <c r="A44" s="111">
        <v>1</v>
      </c>
      <c r="B44" s="111" t="s">
        <v>180</v>
      </c>
      <c r="C44" s="111" t="s">
        <v>166</v>
      </c>
      <c r="D44" s="62" t="s">
        <v>289</v>
      </c>
      <c r="E44" s="211" t="s">
        <v>188</v>
      </c>
      <c r="F44" s="222" t="s">
        <v>192</v>
      </c>
      <c r="G44" s="113"/>
      <c r="H44" s="120" t="s">
        <v>139</v>
      </c>
      <c r="I44" s="114">
        <v>1</v>
      </c>
      <c r="J44" s="115"/>
      <c r="K44" s="115"/>
      <c r="L44" s="115"/>
      <c r="M44" s="115"/>
      <c r="N44" s="115"/>
      <c r="O44" s="115"/>
      <c r="P44" s="115"/>
      <c r="Q44" s="115"/>
      <c r="R44" s="125"/>
      <c r="S44" s="117"/>
      <c r="T44" s="117"/>
      <c r="U44" s="117"/>
      <c r="V44" s="117"/>
      <c r="X44" s="117"/>
      <c r="Y44" s="118"/>
      <c r="AC44" s="123"/>
      <c r="AD44" s="123"/>
      <c r="AE44" s="123"/>
    </row>
    <row r="45" spans="1:36" ht="30" hidden="1" customHeight="1">
      <c r="A45" s="111">
        <v>1</v>
      </c>
      <c r="B45" s="111" t="str">
        <f>B44</f>
        <v>7.소방</v>
      </c>
      <c r="C45" s="153" t="str">
        <f>C44</f>
        <v>도급관급</v>
      </c>
      <c r="D45" s="62" t="s">
        <v>289</v>
      </c>
      <c r="E45" s="212" t="s">
        <v>203</v>
      </c>
      <c r="F45" s="223" t="s">
        <v>206</v>
      </c>
      <c r="G45" s="155"/>
      <c r="H45" s="156" t="s">
        <v>205</v>
      </c>
      <c r="I45" s="157">
        <v>1</v>
      </c>
      <c r="J45" s="158"/>
      <c r="K45" s="158"/>
      <c r="L45" s="158"/>
      <c r="M45" s="158"/>
      <c r="N45" s="158"/>
      <c r="O45" s="158"/>
      <c r="P45" s="158"/>
      <c r="Q45" s="115"/>
      <c r="R45" s="156"/>
      <c r="S45" s="117"/>
      <c r="T45" s="117"/>
      <c r="U45" s="117"/>
      <c r="V45" s="117"/>
      <c r="X45" s="117"/>
      <c r="Y45" s="118"/>
      <c r="AC45" s="123"/>
      <c r="AD45" s="123"/>
      <c r="AE45" s="123"/>
      <c r="AF45" s="124"/>
      <c r="AG45" s="124"/>
      <c r="AH45" s="124"/>
      <c r="AI45" s="124"/>
      <c r="AJ45" s="124"/>
    </row>
    <row r="46" spans="1:36" ht="30" hidden="1" customHeight="1">
      <c r="A46" s="111">
        <v>1</v>
      </c>
      <c r="B46" s="111" t="str">
        <f>B45</f>
        <v>7.소방</v>
      </c>
      <c r="C46" s="153" t="str">
        <f>C45</f>
        <v>도급관급</v>
      </c>
      <c r="D46" s="62" t="s">
        <v>289</v>
      </c>
      <c r="E46" s="212" t="s">
        <v>202</v>
      </c>
      <c r="F46" s="223" t="s">
        <v>505</v>
      </c>
      <c r="G46" s="155"/>
      <c r="H46" s="156" t="s">
        <v>205</v>
      </c>
      <c r="I46" s="157">
        <v>1</v>
      </c>
      <c r="J46" s="158"/>
      <c r="K46" s="158"/>
      <c r="L46" s="158"/>
      <c r="M46" s="158"/>
      <c r="N46" s="158"/>
      <c r="O46" s="158"/>
      <c r="P46" s="158"/>
      <c r="Q46" s="115"/>
      <c r="R46" s="156"/>
      <c r="S46" s="117"/>
      <c r="T46" s="117"/>
      <c r="U46" s="117"/>
      <c r="V46" s="117"/>
      <c r="X46" s="117"/>
      <c r="Y46" s="118"/>
      <c r="AC46" s="123"/>
      <c r="AD46" s="123"/>
      <c r="AE46" s="123"/>
      <c r="AF46" s="124"/>
      <c r="AG46" s="124"/>
      <c r="AH46" s="124"/>
      <c r="AI46" s="124"/>
      <c r="AJ46" s="124"/>
    </row>
    <row r="47" spans="1:36" ht="30" hidden="1" customHeight="1">
      <c r="A47" s="111">
        <v>1</v>
      </c>
      <c r="D47" s="62" t="s">
        <v>289</v>
      </c>
      <c r="E47" s="555" t="s">
        <v>142</v>
      </c>
      <c r="F47" s="556"/>
      <c r="G47" s="126" t="str">
        <f>E41</f>
        <v>별도공사</v>
      </c>
      <c r="H47" s="127"/>
      <c r="I47" s="128"/>
      <c r="J47" s="129"/>
      <c r="K47" s="129"/>
      <c r="L47" s="129"/>
      <c r="M47" s="129"/>
      <c r="N47" s="129"/>
      <c r="O47" s="129"/>
      <c r="P47" s="129"/>
      <c r="Q47" s="129"/>
      <c r="R47" s="130"/>
      <c r="S47" s="117"/>
      <c r="T47" s="117"/>
      <c r="U47" s="117"/>
      <c r="V47" s="117"/>
      <c r="X47" s="117"/>
      <c r="Y47" s="118"/>
    </row>
    <row r="48" spans="1:36" ht="30" hidden="1" customHeight="1">
      <c r="A48" s="111">
        <v>1</v>
      </c>
      <c r="D48" s="62" t="s">
        <v>289</v>
      </c>
      <c r="E48" s="564" t="s">
        <v>143</v>
      </c>
      <c r="F48" s="565"/>
      <c r="G48" s="131" t="str">
        <f>CONCATENATE(G39,"+",G47)</f>
        <v>(라)+별도공사</v>
      </c>
      <c r="H48" s="132"/>
      <c r="I48" s="133"/>
      <c r="J48" s="134"/>
      <c r="K48" s="134"/>
      <c r="L48" s="134"/>
      <c r="M48" s="134"/>
      <c r="N48" s="134"/>
      <c r="O48" s="134"/>
      <c r="P48" s="134"/>
      <c r="Q48" s="134"/>
      <c r="R48" s="135"/>
      <c r="S48" s="117"/>
      <c r="T48" s="117"/>
      <c r="U48" s="117"/>
      <c r="V48" s="117"/>
      <c r="X48" s="117"/>
      <c r="Y48" s="118"/>
    </row>
    <row r="49" spans="1:36" ht="30" hidden="1" customHeight="1">
      <c r="A49" s="111">
        <v>1</v>
      </c>
      <c r="D49" s="62" t="s">
        <v>289</v>
      </c>
      <c r="E49" s="149"/>
      <c r="F49" s="150"/>
      <c r="G49" s="113"/>
      <c r="H49" s="113"/>
      <c r="I49" s="114"/>
      <c r="J49" s="115"/>
      <c r="K49" s="115"/>
      <c r="L49" s="115"/>
      <c r="M49" s="115"/>
      <c r="N49" s="115"/>
      <c r="O49" s="115"/>
      <c r="P49" s="115"/>
      <c r="Q49" s="115"/>
      <c r="R49" s="121"/>
      <c r="S49" s="117"/>
      <c r="T49" s="117"/>
      <c r="U49" s="117"/>
      <c r="V49" s="117"/>
      <c r="X49" s="117"/>
      <c r="Y49" s="118"/>
    </row>
    <row r="50" spans="1:36" ht="30" hidden="1" customHeight="1">
      <c r="A50" s="111">
        <v>1</v>
      </c>
      <c r="B50" s="111" t="s">
        <v>403</v>
      </c>
      <c r="D50" s="62"/>
      <c r="E50" s="210" t="s">
        <v>316</v>
      </c>
      <c r="F50" s="148" t="s">
        <v>538</v>
      </c>
      <c r="G50" s="113"/>
      <c r="H50" s="113"/>
      <c r="I50" s="114"/>
      <c r="J50" s="115"/>
      <c r="K50" s="115"/>
      <c r="L50" s="115"/>
      <c r="M50" s="115"/>
      <c r="N50" s="115"/>
      <c r="O50" s="115"/>
      <c r="P50" s="115"/>
      <c r="Q50" s="115"/>
      <c r="R50" s="125" t="s">
        <v>144</v>
      </c>
      <c r="S50" s="117"/>
      <c r="T50" s="117"/>
      <c r="U50" s="117"/>
      <c r="V50" s="117"/>
      <c r="X50" s="117"/>
      <c r="Y50" s="118"/>
      <c r="AA50" s="111" t="s">
        <v>145</v>
      </c>
    </row>
    <row r="51" spans="1:36" ht="30" hidden="1" customHeight="1">
      <c r="A51" s="111">
        <v>1</v>
      </c>
      <c r="B51" s="111" t="s">
        <v>174</v>
      </c>
      <c r="C51" s="111" t="s">
        <v>167</v>
      </c>
      <c r="D51" s="62"/>
      <c r="E51" s="211" t="s">
        <v>182</v>
      </c>
      <c r="F51" s="150" t="s">
        <v>183</v>
      </c>
      <c r="G51" s="113"/>
      <c r="H51" s="120" t="s">
        <v>139</v>
      </c>
      <c r="I51" s="114">
        <v>1</v>
      </c>
      <c r="J51" s="115"/>
      <c r="K51" s="115"/>
      <c r="L51" s="115"/>
      <c r="M51" s="115"/>
      <c r="N51" s="115"/>
      <c r="O51" s="115"/>
      <c r="P51" s="115"/>
      <c r="Q51" s="115"/>
      <c r="R51" s="121"/>
      <c r="S51" s="117"/>
      <c r="T51" s="117"/>
      <c r="U51" s="117"/>
      <c r="V51" s="117"/>
      <c r="X51" s="117"/>
      <c r="Y51" s="118"/>
      <c r="Z51" s="118">
        <f>Z33</f>
        <v>0</v>
      </c>
      <c r="AA51" s="123" t="e">
        <f>Q51/Z51</f>
        <v>#DIV/0!</v>
      </c>
    </row>
    <row r="52" spans="1:36" ht="30" hidden="1" customHeight="1">
      <c r="A52" s="111">
        <v>1</v>
      </c>
      <c r="B52" s="111" t="s">
        <v>175</v>
      </c>
      <c r="C52" s="111" t="s">
        <v>167</v>
      </c>
      <c r="D52" s="62"/>
      <c r="E52" s="211" t="s">
        <v>187</v>
      </c>
      <c r="F52" s="150" t="s">
        <v>184</v>
      </c>
      <c r="G52" s="113"/>
      <c r="H52" s="120" t="s">
        <v>139</v>
      </c>
      <c r="I52" s="114">
        <v>1</v>
      </c>
      <c r="J52" s="115"/>
      <c r="K52" s="115"/>
      <c r="L52" s="115"/>
      <c r="M52" s="115"/>
      <c r="N52" s="115"/>
      <c r="O52" s="115"/>
      <c r="P52" s="115"/>
      <c r="Q52" s="115"/>
      <c r="R52" s="121"/>
      <c r="S52" s="117"/>
      <c r="T52" s="117"/>
      <c r="U52" s="117"/>
      <c r="V52" s="117"/>
      <c r="X52" s="117"/>
      <c r="Y52" s="118"/>
      <c r="Z52" s="118"/>
      <c r="AA52" s="123"/>
    </row>
    <row r="53" spans="1:36" ht="30" hidden="1" customHeight="1">
      <c r="A53" s="111">
        <v>1</v>
      </c>
      <c r="B53" s="111" t="s">
        <v>176</v>
      </c>
      <c r="C53" s="111" t="s">
        <v>167</v>
      </c>
      <c r="D53" s="62"/>
      <c r="E53" s="211" t="s">
        <v>188</v>
      </c>
      <c r="F53" s="150" t="s">
        <v>185</v>
      </c>
      <c r="G53" s="113"/>
      <c r="H53" s="120" t="s">
        <v>139</v>
      </c>
      <c r="I53" s="114">
        <v>1</v>
      </c>
      <c r="J53" s="115"/>
      <c r="K53" s="115"/>
      <c r="L53" s="115"/>
      <c r="M53" s="115"/>
      <c r="N53" s="115"/>
      <c r="O53" s="115"/>
      <c r="P53" s="115"/>
      <c r="Q53" s="115"/>
      <c r="R53" s="121"/>
      <c r="S53" s="117"/>
      <c r="T53" s="117"/>
      <c r="U53" s="117"/>
      <c r="V53" s="117"/>
      <c r="X53" s="117"/>
      <c r="Y53" s="118"/>
    </row>
    <row r="54" spans="1:36" ht="30" hidden="1" customHeight="1">
      <c r="A54" s="111">
        <v>1</v>
      </c>
      <c r="B54" s="111" t="str">
        <f>B53</f>
        <v>3.기계</v>
      </c>
      <c r="C54" s="153" t="str">
        <f>C53</f>
        <v>발주관급</v>
      </c>
      <c r="D54" s="153"/>
      <c r="E54" s="212" t="s">
        <v>203</v>
      </c>
      <c r="F54" s="154" t="s">
        <v>204</v>
      </c>
      <c r="G54" s="155"/>
      <c r="H54" s="156" t="s">
        <v>205</v>
      </c>
      <c r="I54" s="157">
        <v>1</v>
      </c>
      <c r="J54" s="158"/>
      <c r="K54" s="158"/>
      <c r="L54" s="158"/>
      <c r="M54" s="158"/>
      <c r="N54" s="158"/>
      <c r="O54" s="158"/>
      <c r="P54" s="158"/>
      <c r="Q54" s="115"/>
      <c r="R54" s="156"/>
      <c r="S54" s="117"/>
      <c r="T54" s="117"/>
      <c r="U54" s="117"/>
      <c r="V54" s="117"/>
      <c r="X54" s="117"/>
      <c r="Y54" s="118"/>
      <c r="AC54" s="123"/>
      <c r="AD54" s="123"/>
      <c r="AE54" s="123"/>
      <c r="AF54" s="124"/>
      <c r="AG54" s="124"/>
      <c r="AH54" s="124"/>
      <c r="AI54" s="124"/>
      <c r="AJ54" s="124"/>
    </row>
    <row r="55" spans="1:36" ht="30" hidden="1" customHeight="1">
      <c r="A55" s="111">
        <v>1</v>
      </c>
      <c r="B55" s="111" t="str">
        <f>B54</f>
        <v>3.기계</v>
      </c>
      <c r="C55" s="153" t="str">
        <f>C54</f>
        <v>발주관급</v>
      </c>
      <c r="D55" s="153"/>
      <c r="E55" s="212" t="s">
        <v>202</v>
      </c>
      <c r="F55" s="154" t="s">
        <v>505</v>
      </c>
      <c r="G55" s="155"/>
      <c r="H55" s="156" t="s">
        <v>205</v>
      </c>
      <c r="I55" s="157">
        <v>1</v>
      </c>
      <c r="J55" s="158"/>
      <c r="K55" s="158"/>
      <c r="L55" s="158"/>
      <c r="M55" s="158"/>
      <c r="N55" s="158"/>
      <c r="O55" s="158"/>
      <c r="P55" s="158"/>
      <c r="Q55" s="115"/>
      <c r="R55" s="156"/>
      <c r="S55" s="117"/>
      <c r="T55" s="117"/>
      <c r="U55" s="117"/>
      <c r="V55" s="117"/>
      <c r="X55" s="117"/>
      <c r="Y55" s="118"/>
      <c r="AC55" s="123"/>
      <c r="AD55" s="123"/>
      <c r="AE55" s="123"/>
      <c r="AF55" s="124"/>
      <c r="AG55" s="124"/>
      <c r="AH55" s="124"/>
      <c r="AI55" s="124"/>
      <c r="AJ55" s="124"/>
    </row>
    <row r="56" spans="1:36" ht="30" hidden="1" customHeight="1">
      <c r="A56" s="111">
        <v>1</v>
      </c>
      <c r="B56" s="111" t="s">
        <v>177</v>
      </c>
      <c r="C56" s="111" t="s">
        <v>167</v>
      </c>
      <c r="D56" s="62"/>
      <c r="E56" s="211" t="s">
        <v>189</v>
      </c>
      <c r="F56" s="150" t="s">
        <v>186</v>
      </c>
      <c r="G56" s="113"/>
      <c r="H56" s="120" t="s">
        <v>139</v>
      </c>
      <c r="I56" s="114">
        <v>1</v>
      </c>
      <c r="J56" s="115"/>
      <c r="K56" s="115"/>
      <c r="L56" s="115"/>
      <c r="M56" s="115"/>
      <c r="N56" s="115"/>
      <c r="O56" s="115"/>
      <c r="P56" s="115"/>
      <c r="Q56" s="115"/>
      <c r="R56" s="121"/>
      <c r="S56" s="117"/>
      <c r="T56" s="117"/>
      <c r="U56" s="117"/>
      <c r="V56" s="117"/>
      <c r="X56" s="117"/>
      <c r="Y56" s="118"/>
    </row>
    <row r="57" spans="1:36" ht="30" hidden="1" customHeight="1">
      <c r="A57" s="111">
        <v>1</v>
      </c>
      <c r="D57" s="62"/>
      <c r="E57" s="555" t="s">
        <v>302</v>
      </c>
      <c r="F57" s="556"/>
      <c r="G57" s="126" t="str">
        <f>E50</f>
        <v>(마)</v>
      </c>
      <c r="H57" s="127"/>
      <c r="I57" s="128"/>
      <c r="J57" s="129"/>
      <c r="K57" s="129"/>
      <c r="L57" s="129"/>
      <c r="M57" s="129"/>
      <c r="N57" s="129"/>
      <c r="O57" s="129"/>
      <c r="P57" s="129"/>
      <c r="Q57" s="129"/>
      <c r="R57" s="130"/>
      <c r="S57" s="117"/>
      <c r="T57" s="117"/>
      <c r="U57" s="117"/>
      <c r="V57" s="117"/>
      <c r="X57" s="117"/>
      <c r="Y57" s="118"/>
      <c r="AC57" s="123"/>
      <c r="AD57" s="123"/>
      <c r="AE57" s="123"/>
      <c r="AF57" s="123"/>
      <c r="AG57" s="123"/>
      <c r="AH57" s="123"/>
      <c r="AI57" s="123"/>
      <c r="AJ57" s="123"/>
    </row>
    <row r="58" spans="1:36" ht="30" hidden="1" customHeight="1">
      <c r="A58" s="111">
        <v>1</v>
      </c>
      <c r="D58" s="62"/>
      <c r="E58" s="149"/>
      <c r="F58" s="150"/>
      <c r="G58" s="113"/>
      <c r="H58" s="113"/>
      <c r="I58" s="114"/>
      <c r="J58" s="115"/>
      <c r="K58" s="115"/>
      <c r="L58" s="115"/>
      <c r="M58" s="115"/>
      <c r="N58" s="115"/>
      <c r="O58" s="115"/>
      <c r="P58" s="115"/>
      <c r="Q58" s="115"/>
      <c r="R58" s="121"/>
      <c r="S58" s="117"/>
      <c r="T58" s="117"/>
      <c r="U58" s="117"/>
      <c r="V58" s="117"/>
      <c r="X58" s="117"/>
      <c r="Y58" s="118"/>
    </row>
    <row r="59" spans="1:36" ht="30" hidden="1" customHeight="1">
      <c r="A59" s="111">
        <v>1</v>
      </c>
      <c r="B59" s="111" t="s">
        <v>403</v>
      </c>
      <c r="D59" s="62" t="s">
        <v>289</v>
      </c>
      <c r="E59" s="210" t="s">
        <v>310</v>
      </c>
      <c r="F59" s="224" t="s">
        <v>541</v>
      </c>
      <c r="G59" s="113"/>
      <c r="H59" s="113"/>
      <c r="I59" s="114"/>
      <c r="J59" s="115"/>
      <c r="K59" s="115"/>
      <c r="L59" s="115"/>
      <c r="M59" s="115"/>
      <c r="N59" s="115"/>
      <c r="O59" s="115"/>
      <c r="P59" s="115"/>
      <c r="Q59" s="115"/>
      <c r="R59" s="125" t="s">
        <v>144</v>
      </c>
      <c r="S59" s="117"/>
      <c r="T59" s="117"/>
      <c r="U59" s="117"/>
      <c r="V59" s="117"/>
      <c r="X59" s="117"/>
      <c r="Y59" s="118"/>
    </row>
    <row r="60" spans="1:36" ht="30" hidden="1" customHeight="1">
      <c r="A60" s="111">
        <v>1</v>
      </c>
      <c r="B60" s="111" t="s">
        <v>178</v>
      </c>
      <c r="C60" s="111" t="s">
        <v>167</v>
      </c>
      <c r="D60" s="62" t="s">
        <v>289</v>
      </c>
      <c r="E60" s="211" t="s">
        <v>182</v>
      </c>
      <c r="F60" s="222" t="s">
        <v>190</v>
      </c>
      <c r="G60" s="113"/>
      <c r="H60" s="120" t="s">
        <v>139</v>
      </c>
      <c r="I60" s="114">
        <v>1</v>
      </c>
      <c r="J60" s="115"/>
      <c r="K60" s="115"/>
      <c r="L60" s="115"/>
      <c r="M60" s="115"/>
      <c r="N60" s="115"/>
      <c r="O60" s="115"/>
      <c r="P60" s="115"/>
      <c r="Q60" s="115"/>
      <c r="R60" s="121"/>
      <c r="S60" s="117"/>
      <c r="T60" s="117"/>
      <c r="U60" s="117"/>
      <c r="V60" s="117"/>
      <c r="X60" s="117"/>
      <c r="Y60" s="118"/>
      <c r="AC60" s="123"/>
      <c r="AD60" s="123"/>
      <c r="AE60" s="123"/>
    </row>
    <row r="61" spans="1:36" ht="30" hidden="1" customHeight="1">
      <c r="A61" s="111">
        <v>1</v>
      </c>
      <c r="B61" s="111" t="s">
        <v>179</v>
      </c>
      <c r="C61" s="111" t="s">
        <v>167</v>
      </c>
      <c r="D61" s="62" t="s">
        <v>289</v>
      </c>
      <c r="E61" s="211" t="s">
        <v>187</v>
      </c>
      <c r="F61" s="222" t="s">
        <v>191</v>
      </c>
      <c r="G61" s="113"/>
      <c r="H61" s="120" t="s">
        <v>139</v>
      </c>
      <c r="I61" s="114">
        <v>1</v>
      </c>
      <c r="J61" s="115"/>
      <c r="K61" s="115"/>
      <c r="L61" s="115"/>
      <c r="M61" s="115"/>
      <c r="N61" s="115"/>
      <c r="O61" s="115"/>
      <c r="P61" s="115"/>
      <c r="Q61" s="115"/>
      <c r="R61" s="121"/>
      <c r="S61" s="117"/>
      <c r="T61" s="117"/>
      <c r="U61" s="117"/>
      <c r="V61" s="117"/>
      <c r="X61" s="117"/>
      <c r="Y61" s="118"/>
      <c r="AC61" s="123"/>
      <c r="AD61" s="123"/>
      <c r="AE61" s="123"/>
    </row>
    <row r="62" spans="1:36" ht="30" hidden="1" customHeight="1">
      <c r="A62" s="111">
        <v>1</v>
      </c>
      <c r="B62" s="111" t="s">
        <v>180</v>
      </c>
      <c r="C62" s="111" t="s">
        <v>167</v>
      </c>
      <c r="D62" s="62" t="s">
        <v>289</v>
      </c>
      <c r="E62" s="211" t="s">
        <v>188</v>
      </c>
      <c r="F62" s="222" t="s">
        <v>192</v>
      </c>
      <c r="G62" s="113"/>
      <c r="H62" s="120" t="s">
        <v>139</v>
      </c>
      <c r="I62" s="114">
        <v>1</v>
      </c>
      <c r="J62" s="115"/>
      <c r="K62" s="115"/>
      <c r="L62" s="115"/>
      <c r="M62" s="115"/>
      <c r="N62" s="115"/>
      <c r="O62" s="115"/>
      <c r="P62" s="115"/>
      <c r="Q62" s="115"/>
      <c r="R62" s="125"/>
      <c r="S62" s="117"/>
      <c r="T62" s="117"/>
      <c r="U62" s="117"/>
      <c r="V62" s="117"/>
      <c r="X62" s="117"/>
      <c r="Y62" s="118"/>
      <c r="AC62" s="123"/>
      <c r="AD62" s="123"/>
      <c r="AE62" s="123"/>
    </row>
    <row r="63" spans="1:36" ht="30" hidden="1" customHeight="1">
      <c r="A63" s="111">
        <v>1</v>
      </c>
      <c r="B63" s="111" t="str">
        <f>B62</f>
        <v>7.소방</v>
      </c>
      <c r="C63" s="153" t="str">
        <f>C62</f>
        <v>발주관급</v>
      </c>
      <c r="D63" s="62" t="s">
        <v>289</v>
      </c>
      <c r="E63" s="212" t="s">
        <v>203</v>
      </c>
      <c r="F63" s="223" t="s">
        <v>206</v>
      </c>
      <c r="G63" s="155"/>
      <c r="H63" s="156" t="s">
        <v>205</v>
      </c>
      <c r="I63" s="157">
        <v>1</v>
      </c>
      <c r="J63" s="158"/>
      <c r="K63" s="158"/>
      <c r="L63" s="158"/>
      <c r="M63" s="158"/>
      <c r="N63" s="158"/>
      <c r="O63" s="158"/>
      <c r="P63" s="158"/>
      <c r="Q63" s="115"/>
      <c r="R63" s="156"/>
      <c r="S63" s="117"/>
      <c r="T63" s="117"/>
      <c r="U63" s="117"/>
      <c r="V63" s="117"/>
      <c r="X63" s="117"/>
      <c r="Y63" s="118"/>
      <c r="AC63" s="123"/>
      <c r="AD63" s="123"/>
      <c r="AE63" s="123"/>
      <c r="AF63" s="124"/>
      <c r="AG63" s="124"/>
      <c r="AH63" s="124"/>
      <c r="AI63" s="124"/>
      <c r="AJ63" s="124"/>
    </row>
    <row r="64" spans="1:36" ht="30" hidden="1" customHeight="1">
      <c r="A64" s="111">
        <v>1</v>
      </c>
      <c r="B64" s="111" t="str">
        <f>B63</f>
        <v>7.소방</v>
      </c>
      <c r="C64" s="153" t="str">
        <f>C63</f>
        <v>발주관급</v>
      </c>
      <c r="D64" s="62" t="s">
        <v>289</v>
      </c>
      <c r="E64" s="212" t="s">
        <v>202</v>
      </c>
      <c r="F64" s="223" t="s">
        <v>505</v>
      </c>
      <c r="G64" s="155"/>
      <c r="H64" s="156" t="s">
        <v>205</v>
      </c>
      <c r="I64" s="157">
        <v>1</v>
      </c>
      <c r="J64" s="158"/>
      <c r="K64" s="158"/>
      <c r="L64" s="158"/>
      <c r="M64" s="158"/>
      <c r="N64" s="158"/>
      <c r="O64" s="158"/>
      <c r="P64" s="158"/>
      <c r="Q64" s="115"/>
      <c r="R64" s="156"/>
      <c r="S64" s="117"/>
      <c r="T64" s="117"/>
      <c r="U64" s="117"/>
      <c r="V64" s="117"/>
      <c r="X64" s="117"/>
      <c r="Y64" s="118"/>
      <c r="AC64" s="123"/>
      <c r="AD64" s="123"/>
      <c r="AE64" s="123"/>
      <c r="AF64" s="124"/>
      <c r="AG64" s="124"/>
      <c r="AH64" s="124"/>
      <c r="AI64" s="124"/>
      <c r="AJ64" s="124"/>
    </row>
    <row r="65" spans="1:25" ht="30" hidden="1" customHeight="1">
      <c r="A65" s="111">
        <v>1</v>
      </c>
      <c r="D65" s="62" t="s">
        <v>289</v>
      </c>
      <c r="E65" s="555" t="s">
        <v>142</v>
      </c>
      <c r="F65" s="556"/>
      <c r="G65" s="126" t="str">
        <f>E59</f>
        <v>(마-1)</v>
      </c>
      <c r="H65" s="127"/>
      <c r="I65" s="128"/>
      <c r="J65" s="129"/>
      <c r="K65" s="129"/>
      <c r="L65" s="129"/>
      <c r="M65" s="129"/>
      <c r="N65" s="129"/>
      <c r="O65" s="129"/>
      <c r="P65" s="129"/>
      <c r="Q65" s="129"/>
      <c r="R65" s="130"/>
      <c r="S65" s="117"/>
      <c r="T65" s="117"/>
      <c r="U65" s="117"/>
      <c r="V65" s="117"/>
      <c r="X65" s="117"/>
      <c r="Y65" s="118"/>
    </row>
    <row r="66" spans="1:25" ht="30" hidden="1" customHeight="1">
      <c r="A66" s="111">
        <v>1</v>
      </c>
      <c r="D66" s="62" t="s">
        <v>289</v>
      </c>
      <c r="E66" s="564" t="s">
        <v>143</v>
      </c>
      <c r="F66" s="565"/>
      <c r="G66" s="131" t="str">
        <f>CONCATENATE(G57,"+",G65)</f>
        <v>(마)+(마-1)</v>
      </c>
      <c r="H66" s="132"/>
      <c r="I66" s="133"/>
      <c r="J66" s="134"/>
      <c r="K66" s="134"/>
      <c r="L66" s="134"/>
      <c r="M66" s="134"/>
      <c r="N66" s="134"/>
      <c r="O66" s="134"/>
      <c r="P66" s="134"/>
      <c r="Q66" s="134"/>
      <c r="R66" s="135"/>
      <c r="S66" s="117"/>
      <c r="T66" s="117"/>
      <c r="U66" s="117"/>
      <c r="V66" s="117"/>
      <c r="X66" s="117"/>
      <c r="Y66" s="118"/>
    </row>
    <row r="67" spans="1:25" ht="30" hidden="1" customHeight="1">
      <c r="A67" s="111">
        <v>1</v>
      </c>
      <c r="D67" s="62" t="s">
        <v>289</v>
      </c>
      <c r="E67" s="149"/>
      <c r="F67" s="150"/>
      <c r="G67" s="113"/>
      <c r="H67" s="113"/>
      <c r="I67" s="114"/>
      <c r="J67" s="115"/>
      <c r="K67" s="115"/>
      <c r="L67" s="115"/>
      <c r="M67" s="115"/>
      <c r="N67" s="115"/>
      <c r="O67" s="115"/>
      <c r="P67" s="115"/>
      <c r="Q67" s="115"/>
      <c r="R67" s="121"/>
      <c r="S67" s="117"/>
      <c r="T67" s="117"/>
      <c r="U67" s="117"/>
      <c r="V67" s="117"/>
      <c r="X67" s="117"/>
      <c r="Y67" s="118"/>
    </row>
    <row r="68" spans="1:25" ht="30" hidden="1" customHeight="1">
      <c r="A68" s="111">
        <v>1</v>
      </c>
      <c r="B68" s="111" t="s">
        <v>403</v>
      </c>
      <c r="D68" s="62" t="s">
        <v>290</v>
      </c>
      <c r="E68" s="210" t="s">
        <v>295</v>
      </c>
      <c r="F68" s="148" t="s">
        <v>542</v>
      </c>
      <c r="G68" s="113"/>
      <c r="H68" s="113"/>
      <c r="I68" s="114"/>
      <c r="J68" s="115"/>
      <c r="K68" s="115"/>
      <c r="L68" s="115"/>
      <c r="M68" s="115"/>
      <c r="N68" s="115"/>
      <c r="O68" s="115"/>
      <c r="P68" s="115"/>
      <c r="Q68" s="115"/>
      <c r="R68" s="125"/>
      <c r="S68" s="117"/>
      <c r="T68" s="117"/>
      <c r="U68" s="117"/>
      <c r="V68" s="117"/>
      <c r="X68" s="117"/>
      <c r="Y68" s="118"/>
    </row>
    <row r="69" spans="1:25" ht="30" hidden="1" customHeight="1">
      <c r="A69" s="111">
        <v>1</v>
      </c>
      <c r="B69" s="111" t="s">
        <v>174</v>
      </c>
      <c r="C69" s="111" t="s">
        <v>520</v>
      </c>
      <c r="D69" s="62" t="s">
        <v>290</v>
      </c>
      <c r="E69" s="231" t="s">
        <v>510</v>
      </c>
      <c r="F69" s="150" t="s">
        <v>515</v>
      </c>
      <c r="G69" s="113"/>
      <c r="H69" s="120" t="s">
        <v>139</v>
      </c>
      <c r="I69" s="114">
        <v>1</v>
      </c>
      <c r="J69" s="115"/>
      <c r="K69" s="115"/>
      <c r="L69" s="115"/>
      <c r="M69" s="115"/>
      <c r="N69" s="115"/>
      <c r="O69" s="115"/>
      <c r="P69" s="115"/>
      <c r="Q69" s="115"/>
      <c r="R69" s="121"/>
      <c r="S69" s="117"/>
      <c r="T69" s="117"/>
      <c r="U69" s="117"/>
      <c r="V69" s="117"/>
      <c r="X69" s="117"/>
      <c r="Y69" s="118"/>
    </row>
    <row r="70" spans="1:25" ht="30" hidden="1" customHeight="1">
      <c r="A70" s="111">
        <v>1</v>
      </c>
      <c r="B70" s="111" t="s">
        <v>174</v>
      </c>
      <c r="C70" s="111" t="str">
        <f>C69</f>
        <v>폐기물/건설</v>
      </c>
      <c r="D70" s="62" t="s">
        <v>289</v>
      </c>
      <c r="E70" s="235" t="s">
        <v>511</v>
      </c>
      <c r="F70" s="154" t="s">
        <v>183</v>
      </c>
      <c r="G70" s="155"/>
      <c r="H70" s="156" t="s">
        <v>139</v>
      </c>
      <c r="I70" s="157">
        <v>1</v>
      </c>
      <c r="J70" s="158"/>
      <c r="K70" s="158"/>
      <c r="L70" s="158"/>
      <c r="M70" s="158"/>
      <c r="N70" s="158"/>
      <c r="O70" s="158"/>
      <c r="P70" s="158"/>
      <c r="Q70" s="115"/>
      <c r="R70" s="236"/>
      <c r="S70" s="117"/>
      <c r="T70" s="117"/>
      <c r="U70" s="117"/>
      <c r="V70" s="117"/>
      <c r="X70" s="117"/>
      <c r="Y70" s="118"/>
    </row>
    <row r="71" spans="1:25" ht="30" hidden="1" customHeight="1">
      <c r="A71" s="111">
        <v>1</v>
      </c>
      <c r="B71" s="111" t="s">
        <v>175</v>
      </c>
      <c r="C71" s="111" t="str">
        <f>C70</f>
        <v>폐기물/건설</v>
      </c>
      <c r="D71" s="62" t="s">
        <v>289</v>
      </c>
      <c r="E71" s="235" t="s">
        <v>512</v>
      </c>
      <c r="F71" s="154" t="s">
        <v>184</v>
      </c>
      <c r="G71" s="155"/>
      <c r="H71" s="156" t="s">
        <v>139</v>
      </c>
      <c r="I71" s="157">
        <v>1</v>
      </c>
      <c r="J71" s="158"/>
      <c r="K71" s="158"/>
      <c r="L71" s="158"/>
      <c r="M71" s="158"/>
      <c r="N71" s="158"/>
      <c r="O71" s="158"/>
      <c r="P71" s="158"/>
      <c r="Q71" s="115"/>
      <c r="R71" s="236"/>
      <c r="S71" s="117"/>
      <c r="T71" s="117"/>
      <c r="U71" s="117"/>
      <c r="V71" s="117"/>
      <c r="X71" s="117"/>
      <c r="Y71" s="118"/>
    </row>
    <row r="72" spans="1:25" ht="30" hidden="1" customHeight="1">
      <c r="A72" s="111">
        <v>1</v>
      </c>
      <c r="B72" s="111" t="s">
        <v>177</v>
      </c>
      <c r="C72" s="111" t="str">
        <f>C71</f>
        <v>폐기물/건설</v>
      </c>
      <c r="D72" s="62" t="s">
        <v>289</v>
      </c>
      <c r="E72" s="235" t="s">
        <v>513</v>
      </c>
      <c r="F72" s="154" t="s">
        <v>186</v>
      </c>
      <c r="G72" s="155"/>
      <c r="H72" s="156" t="s">
        <v>139</v>
      </c>
      <c r="I72" s="157">
        <v>1</v>
      </c>
      <c r="J72" s="158"/>
      <c r="K72" s="158"/>
      <c r="L72" s="158"/>
      <c r="M72" s="158"/>
      <c r="N72" s="158"/>
      <c r="O72" s="158"/>
      <c r="P72" s="158"/>
      <c r="Q72" s="115"/>
      <c r="R72" s="236"/>
      <c r="S72" s="117"/>
      <c r="T72" s="117"/>
      <c r="U72" s="117"/>
      <c r="V72" s="117"/>
      <c r="X72" s="117"/>
      <c r="Y72" s="118"/>
    </row>
    <row r="73" spans="1:25" ht="30" hidden="1" customHeight="1">
      <c r="A73" s="111">
        <v>1</v>
      </c>
      <c r="B73" s="111" t="s">
        <v>174</v>
      </c>
      <c r="C73" s="111" t="s">
        <v>521</v>
      </c>
      <c r="D73" s="62" t="s">
        <v>289</v>
      </c>
      <c r="E73" s="231" t="s">
        <v>514</v>
      </c>
      <c r="F73" s="150" t="s">
        <v>516</v>
      </c>
      <c r="G73" s="113"/>
      <c r="H73" s="120" t="s">
        <v>139</v>
      </c>
      <c r="I73" s="114">
        <v>1</v>
      </c>
      <c r="J73" s="115"/>
      <c r="K73" s="115"/>
      <c r="L73" s="115"/>
      <c r="M73" s="115"/>
      <c r="N73" s="115"/>
      <c r="O73" s="115"/>
      <c r="P73" s="115"/>
      <c r="Q73" s="115"/>
      <c r="R73" s="121"/>
      <c r="S73" s="117"/>
      <c r="T73" s="117"/>
      <c r="U73" s="117"/>
      <c r="V73" s="117"/>
      <c r="X73" s="117"/>
      <c r="Y73" s="118"/>
    </row>
    <row r="74" spans="1:25" ht="30" hidden="1" customHeight="1">
      <c r="A74" s="111">
        <v>1</v>
      </c>
      <c r="B74" s="111" t="s">
        <v>174</v>
      </c>
      <c r="C74" s="111" t="str">
        <f>C73</f>
        <v>폐기물/가연성</v>
      </c>
      <c r="D74" s="62" t="s">
        <v>289</v>
      </c>
      <c r="E74" s="235" t="s">
        <v>517</v>
      </c>
      <c r="F74" s="154" t="s">
        <v>183</v>
      </c>
      <c r="G74" s="155"/>
      <c r="H74" s="156" t="s">
        <v>139</v>
      </c>
      <c r="I74" s="157">
        <v>1</v>
      </c>
      <c r="J74" s="158"/>
      <c r="K74" s="158"/>
      <c r="L74" s="158"/>
      <c r="M74" s="158"/>
      <c r="N74" s="158"/>
      <c r="O74" s="158"/>
      <c r="P74" s="158"/>
      <c r="Q74" s="115"/>
      <c r="R74" s="236"/>
      <c r="S74" s="117"/>
      <c r="T74" s="117"/>
      <c r="U74" s="117"/>
      <c r="V74" s="117"/>
      <c r="X74" s="117"/>
      <c r="Y74" s="118"/>
    </row>
    <row r="75" spans="1:25" ht="30" hidden="1" customHeight="1">
      <c r="A75" s="111">
        <v>1</v>
      </c>
      <c r="B75" s="111" t="s">
        <v>175</v>
      </c>
      <c r="C75" s="111" t="str">
        <f>C74</f>
        <v>폐기물/가연성</v>
      </c>
      <c r="D75" s="62" t="s">
        <v>289</v>
      </c>
      <c r="E75" s="235" t="s">
        <v>518</v>
      </c>
      <c r="F75" s="154" t="s">
        <v>184</v>
      </c>
      <c r="G75" s="155"/>
      <c r="H75" s="156" t="s">
        <v>139</v>
      </c>
      <c r="I75" s="157">
        <v>1</v>
      </c>
      <c r="J75" s="158"/>
      <c r="K75" s="158"/>
      <c r="L75" s="158"/>
      <c r="M75" s="158"/>
      <c r="N75" s="158"/>
      <c r="O75" s="158"/>
      <c r="P75" s="158"/>
      <c r="Q75" s="115"/>
      <c r="R75" s="236"/>
      <c r="S75" s="117"/>
      <c r="T75" s="117"/>
      <c r="U75" s="117"/>
      <c r="V75" s="117"/>
      <c r="X75" s="117"/>
      <c r="Y75" s="118"/>
    </row>
    <row r="76" spans="1:25" ht="30" hidden="1" customHeight="1">
      <c r="A76" s="111">
        <v>1</v>
      </c>
      <c r="B76" s="111" t="s">
        <v>177</v>
      </c>
      <c r="C76" s="111" t="str">
        <f>C75</f>
        <v>폐기물/가연성</v>
      </c>
      <c r="D76" s="62" t="s">
        <v>289</v>
      </c>
      <c r="E76" s="235" t="s">
        <v>519</v>
      </c>
      <c r="F76" s="154" t="s">
        <v>186</v>
      </c>
      <c r="G76" s="155"/>
      <c r="H76" s="156" t="s">
        <v>139</v>
      </c>
      <c r="I76" s="157">
        <v>1</v>
      </c>
      <c r="J76" s="158"/>
      <c r="K76" s="158"/>
      <c r="L76" s="158"/>
      <c r="M76" s="158"/>
      <c r="N76" s="158"/>
      <c r="O76" s="158"/>
      <c r="P76" s="158"/>
      <c r="Q76" s="115"/>
      <c r="R76" s="236"/>
      <c r="S76" s="117"/>
      <c r="T76" s="117"/>
      <c r="U76" s="117"/>
      <c r="V76" s="117"/>
      <c r="X76" s="117"/>
      <c r="Y76" s="118"/>
    </row>
    <row r="77" spans="1:25" ht="30" hidden="1" customHeight="1">
      <c r="A77" s="111">
        <v>1</v>
      </c>
      <c r="D77" s="62" t="s">
        <v>289</v>
      </c>
      <c r="E77" s="555" t="s">
        <v>142</v>
      </c>
      <c r="F77" s="556"/>
      <c r="G77" s="126" t="str">
        <f>E68</f>
        <v>(바)</v>
      </c>
      <c r="H77" s="127"/>
      <c r="I77" s="128"/>
      <c r="J77" s="129"/>
      <c r="K77" s="129"/>
      <c r="L77" s="129"/>
      <c r="M77" s="129"/>
      <c r="N77" s="129"/>
      <c r="O77" s="129"/>
      <c r="P77" s="129"/>
      <c r="Q77" s="129"/>
      <c r="R77" s="130"/>
      <c r="S77" s="117"/>
      <c r="T77" s="117"/>
      <c r="U77" s="117"/>
      <c r="V77" s="117"/>
      <c r="X77" s="117"/>
      <c r="Y77" s="118"/>
    </row>
    <row r="78" spans="1:25" ht="30" hidden="1" customHeight="1">
      <c r="A78" s="111">
        <v>1</v>
      </c>
      <c r="D78" s="62" t="s">
        <v>289</v>
      </c>
      <c r="E78" s="149"/>
      <c r="F78" s="150"/>
      <c r="G78" s="113"/>
      <c r="H78" s="113"/>
      <c r="I78" s="114"/>
      <c r="J78" s="115"/>
      <c r="K78" s="115"/>
      <c r="L78" s="115"/>
      <c r="M78" s="115"/>
      <c r="N78" s="115"/>
      <c r="O78" s="115"/>
      <c r="P78" s="115"/>
      <c r="Q78" s="115"/>
      <c r="R78" s="121"/>
      <c r="S78" s="117"/>
      <c r="T78" s="117"/>
      <c r="U78" s="117"/>
      <c r="V78" s="117"/>
      <c r="X78" s="117"/>
      <c r="Y78" s="118"/>
    </row>
    <row r="79" spans="1:25" ht="30" hidden="1" customHeight="1">
      <c r="A79" s="111">
        <v>1</v>
      </c>
      <c r="B79" s="111" t="s">
        <v>403</v>
      </c>
      <c r="D79" s="62"/>
      <c r="E79" s="210" t="s">
        <v>331</v>
      </c>
      <c r="F79" s="148" t="s">
        <v>193</v>
      </c>
      <c r="G79" s="113"/>
      <c r="H79" s="120"/>
      <c r="I79" s="114"/>
      <c r="J79" s="115"/>
      <c r="K79" s="115"/>
      <c r="L79" s="115"/>
      <c r="M79" s="115"/>
      <c r="N79" s="115"/>
      <c r="O79" s="115"/>
      <c r="P79" s="115"/>
      <c r="Q79" s="115"/>
      <c r="R79" s="121"/>
      <c r="S79" s="117"/>
      <c r="T79" s="117"/>
      <c r="U79" s="117"/>
      <c r="V79" s="117"/>
      <c r="X79" s="117"/>
      <c r="Y79" s="118"/>
    </row>
    <row r="80" spans="1:25" ht="30" hidden="1" customHeight="1">
      <c r="A80" s="111">
        <v>1</v>
      </c>
      <c r="B80" s="111" t="s">
        <v>174</v>
      </c>
      <c r="C80" s="111" t="s">
        <v>169</v>
      </c>
      <c r="D80" s="62"/>
      <c r="E80" s="211" t="s">
        <v>182</v>
      </c>
      <c r="F80" s="150" t="s">
        <v>183</v>
      </c>
      <c r="G80" s="113"/>
      <c r="H80" s="120" t="s">
        <v>146</v>
      </c>
      <c r="I80" s="114">
        <v>1</v>
      </c>
      <c r="J80" s="115"/>
      <c r="K80" s="115"/>
      <c r="L80" s="115"/>
      <c r="M80" s="115"/>
      <c r="N80" s="115"/>
      <c r="O80" s="115"/>
      <c r="P80" s="115"/>
      <c r="Q80" s="115"/>
      <c r="R80" s="125"/>
      <c r="S80" s="117"/>
      <c r="T80" s="117"/>
      <c r="U80" s="117"/>
      <c r="V80" s="117"/>
      <c r="X80" s="117"/>
      <c r="Y80" s="118"/>
    </row>
    <row r="81" spans="1:27" ht="30" hidden="1" customHeight="1">
      <c r="A81" s="111">
        <v>1</v>
      </c>
      <c r="B81" s="111" t="s">
        <v>175</v>
      </c>
      <c r="C81" s="111" t="s">
        <v>169</v>
      </c>
      <c r="D81" s="62"/>
      <c r="E81" s="211" t="s">
        <v>187</v>
      </c>
      <c r="F81" s="150" t="s">
        <v>184</v>
      </c>
      <c r="G81" s="113"/>
      <c r="H81" s="120" t="s">
        <v>146</v>
      </c>
      <c r="I81" s="114">
        <v>1</v>
      </c>
      <c r="J81" s="115"/>
      <c r="K81" s="115"/>
      <c r="L81" s="115"/>
      <c r="M81" s="115"/>
      <c r="N81" s="115"/>
      <c r="O81" s="115"/>
      <c r="P81" s="115"/>
      <c r="Q81" s="115"/>
      <c r="R81" s="125"/>
      <c r="S81" s="117"/>
      <c r="T81" s="117"/>
      <c r="U81" s="117"/>
      <c r="V81" s="117"/>
      <c r="X81" s="117"/>
      <c r="Y81" s="118"/>
    </row>
    <row r="82" spans="1:27" ht="30" hidden="1" customHeight="1">
      <c r="A82" s="111">
        <v>1</v>
      </c>
      <c r="B82" s="111" t="s">
        <v>176</v>
      </c>
      <c r="C82" s="111" t="s">
        <v>169</v>
      </c>
      <c r="D82" s="62"/>
      <c r="E82" s="211" t="s">
        <v>188</v>
      </c>
      <c r="F82" s="150" t="s">
        <v>185</v>
      </c>
      <c r="G82" s="113"/>
      <c r="H82" s="120" t="s">
        <v>146</v>
      </c>
      <c r="I82" s="114">
        <v>1</v>
      </c>
      <c r="J82" s="115"/>
      <c r="K82" s="115"/>
      <c r="L82" s="115"/>
      <c r="M82" s="115"/>
      <c r="N82" s="115"/>
      <c r="O82" s="115"/>
      <c r="P82" s="115"/>
      <c r="Q82" s="115"/>
      <c r="R82" s="125"/>
      <c r="S82" s="117"/>
      <c r="T82" s="117"/>
      <c r="U82" s="117"/>
      <c r="V82" s="117"/>
      <c r="X82" s="117"/>
      <c r="Y82" s="118"/>
      <c r="Z82" s="136"/>
      <c r="AA82" s="136"/>
    </row>
    <row r="83" spans="1:27" ht="30" hidden="1" customHeight="1">
      <c r="A83" s="111">
        <v>1</v>
      </c>
      <c r="B83" s="111" t="s">
        <v>177</v>
      </c>
      <c r="C83" s="111" t="s">
        <v>169</v>
      </c>
      <c r="D83" s="62"/>
      <c r="E83" s="211" t="s">
        <v>189</v>
      </c>
      <c r="F83" s="150" t="s">
        <v>186</v>
      </c>
      <c r="G83" s="113"/>
      <c r="H83" s="120" t="s">
        <v>146</v>
      </c>
      <c r="I83" s="114">
        <v>1</v>
      </c>
      <c r="J83" s="115"/>
      <c r="K83" s="115"/>
      <c r="L83" s="115"/>
      <c r="M83" s="115"/>
      <c r="N83" s="115"/>
      <c r="O83" s="115"/>
      <c r="P83" s="115"/>
      <c r="Q83" s="115"/>
      <c r="R83" s="125"/>
      <c r="S83" s="117"/>
      <c r="T83" s="117"/>
      <c r="U83" s="117"/>
      <c r="V83" s="117"/>
      <c r="X83" s="117"/>
      <c r="Y83" s="118"/>
      <c r="Z83" s="136"/>
      <c r="AA83" s="136"/>
    </row>
    <row r="84" spans="1:27" ht="30" hidden="1" customHeight="1">
      <c r="A84" s="111">
        <v>1</v>
      </c>
      <c r="D84" s="62"/>
      <c r="E84" s="555" t="s">
        <v>142</v>
      </c>
      <c r="F84" s="556"/>
      <c r="G84" s="126" t="str">
        <f>E79</f>
        <v>(바)</v>
      </c>
      <c r="H84" s="127"/>
      <c r="I84" s="128"/>
      <c r="J84" s="129"/>
      <c r="K84" s="129"/>
      <c r="L84" s="129"/>
      <c r="M84" s="129"/>
      <c r="N84" s="129"/>
      <c r="O84" s="129"/>
      <c r="P84" s="129"/>
      <c r="Q84" s="129"/>
      <c r="R84" s="130"/>
      <c r="S84" s="117"/>
      <c r="T84" s="117"/>
      <c r="U84" s="117"/>
      <c r="V84" s="117"/>
      <c r="X84" s="117"/>
      <c r="Y84" s="118"/>
    </row>
    <row r="85" spans="1:27" ht="30" hidden="1" customHeight="1">
      <c r="A85" s="111">
        <v>1</v>
      </c>
      <c r="D85" s="62"/>
      <c r="E85" s="149"/>
      <c r="F85" s="150"/>
      <c r="G85" s="113"/>
      <c r="H85" s="113"/>
      <c r="I85" s="114"/>
      <c r="J85" s="115"/>
      <c r="K85" s="115"/>
      <c r="L85" s="115"/>
      <c r="M85" s="115"/>
      <c r="N85" s="115"/>
      <c r="O85" s="115"/>
      <c r="P85" s="115"/>
      <c r="Q85" s="115"/>
      <c r="R85" s="121"/>
      <c r="S85" s="117"/>
      <c r="T85" s="117"/>
      <c r="U85" s="117"/>
      <c r="V85" s="117"/>
      <c r="X85" s="117"/>
      <c r="Y85" s="118"/>
    </row>
    <row r="86" spans="1:27" ht="30" customHeight="1">
      <c r="A86" s="111">
        <v>1</v>
      </c>
      <c r="B86" s="111" t="s">
        <v>403</v>
      </c>
      <c r="D86" s="62"/>
      <c r="E86" s="210" t="s">
        <v>1793</v>
      </c>
      <c r="F86" s="148" t="s">
        <v>1520</v>
      </c>
      <c r="G86" s="113"/>
      <c r="H86" s="120"/>
      <c r="I86" s="114"/>
      <c r="J86" s="115"/>
      <c r="K86" s="115"/>
      <c r="L86" s="115"/>
      <c r="M86" s="115"/>
      <c r="N86" s="115"/>
      <c r="O86" s="115"/>
      <c r="P86" s="115"/>
      <c r="Q86" s="115"/>
      <c r="R86" s="121"/>
      <c r="S86" s="117"/>
      <c r="T86" s="117"/>
      <c r="U86" s="117"/>
      <c r="V86" s="117"/>
      <c r="X86" s="117"/>
      <c r="Y86" s="118"/>
    </row>
    <row r="87" spans="1:27" ht="30" hidden="1" customHeight="1">
      <c r="A87" s="111">
        <v>1</v>
      </c>
      <c r="B87" s="111" t="s">
        <v>307</v>
      </c>
      <c r="C87" s="111" t="s">
        <v>170</v>
      </c>
      <c r="D87" s="62" t="str">
        <f t="shared" ref="D87" si="6">IF(I87=0,"ㅇ","")</f>
        <v/>
      </c>
      <c r="E87" s="227">
        <v>1</v>
      </c>
      <c r="F87" s="150" t="s">
        <v>399</v>
      </c>
      <c r="G87" s="114" t="s">
        <v>325</v>
      </c>
      <c r="H87" s="120" t="s">
        <v>146</v>
      </c>
      <c r="I87" s="114">
        <v>1</v>
      </c>
      <c r="J87" s="115"/>
      <c r="K87" s="115"/>
      <c r="L87" s="115"/>
      <c r="M87" s="115"/>
      <c r="N87" s="115"/>
      <c r="O87" s="115"/>
      <c r="P87" s="115"/>
      <c r="Q87" s="115"/>
      <c r="R87" s="125" t="s">
        <v>308</v>
      </c>
      <c r="S87" s="117"/>
      <c r="T87" s="117"/>
      <c r="U87" s="117"/>
      <c r="V87" s="117"/>
      <c r="X87" s="117"/>
      <c r="Y87" s="118"/>
      <c r="Z87" s="237" t="e">
        <f>TRUNC((('원가계산서 (총괄-참고용)'!J38+('공종별집계표(분야별)'!K39/1.1)))*0.27%,-4)</f>
        <v>#REF!</v>
      </c>
      <c r="AA87" s="111" t="s">
        <v>485</v>
      </c>
    </row>
    <row r="88" spans="1:27" ht="30" customHeight="1">
      <c r="A88" s="111">
        <v>1</v>
      </c>
      <c r="B88" s="111" t="s">
        <v>307</v>
      </c>
      <c r="C88" s="111" t="s">
        <v>170</v>
      </c>
      <c r="D88" s="62" t="str">
        <f>IF(I88=0,"ㅇ","")</f>
        <v/>
      </c>
      <c r="E88" s="227">
        <v>1</v>
      </c>
      <c r="F88" s="150" t="s">
        <v>386</v>
      </c>
      <c r="G88" s="114" t="s">
        <v>325</v>
      </c>
      <c r="H88" s="120" t="s">
        <v>146</v>
      </c>
      <c r="I88" s="114">
        <v>1</v>
      </c>
      <c r="J88" s="115"/>
      <c r="K88" s="115"/>
      <c r="L88" s="115"/>
      <c r="M88" s="115"/>
      <c r="N88" s="115"/>
      <c r="O88" s="115"/>
      <c r="P88" s="115"/>
      <c r="Q88" s="115"/>
      <c r="R88" s="125" t="s">
        <v>308</v>
      </c>
      <c r="S88" s="117"/>
      <c r="T88" s="117"/>
      <c r="U88" s="117"/>
      <c r="V88" s="117"/>
      <c r="X88" s="117"/>
      <c r="Y88" s="118"/>
    </row>
    <row r="89" spans="1:27" ht="30" hidden="1" customHeight="1">
      <c r="A89" s="111">
        <v>1</v>
      </c>
      <c r="B89" s="111" t="s">
        <v>307</v>
      </c>
      <c r="C89" s="111" t="s">
        <v>170</v>
      </c>
      <c r="D89" s="62" t="str">
        <f t="shared" ref="D89:D95" si="7">IF(I89=0,"ㅇ","")</f>
        <v>ㅇ</v>
      </c>
      <c r="E89" s="227">
        <v>3</v>
      </c>
      <c r="F89" s="150" t="s">
        <v>415</v>
      </c>
      <c r="G89" s="114" t="s">
        <v>325</v>
      </c>
      <c r="H89" s="120" t="s">
        <v>146</v>
      </c>
      <c r="I89" s="114">
        <f>'입력(숨기기하세요)'!B16</f>
        <v>0</v>
      </c>
      <c r="J89" s="115"/>
      <c r="K89" s="115"/>
      <c r="L89" s="115"/>
      <c r="M89" s="115"/>
      <c r="N89" s="115"/>
      <c r="O89" s="115"/>
      <c r="P89" s="115"/>
      <c r="Q89" s="115"/>
      <c r="R89" s="125" t="s">
        <v>308</v>
      </c>
      <c r="S89" s="117"/>
      <c r="T89" s="117"/>
      <c r="U89" s="117"/>
      <c r="V89" s="117"/>
      <c r="X89" s="117"/>
      <c r="Y89" s="118"/>
    </row>
    <row r="90" spans="1:27" ht="30" hidden="1" customHeight="1">
      <c r="A90" s="111">
        <v>1</v>
      </c>
      <c r="B90" s="111" t="s">
        <v>174</v>
      </c>
      <c r="C90" s="111" t="s">
        <v>170</v>
      </c>
      <c r="D90" s="62" t="str">
        <f t="shared" si="7"/>
        <v>ㅇ</v>
      </c>
      <c r="E90" s="227">
        <v>4</v>
      </c>
      <c r="F90" s="150" t="s">
        <v>352</v>
      </c>
      <c r="G90" s="114" t="s">
        <v>388</v>
      </c>
      <c r="H90" s="120" t="s">
        <v>146</v>
      </c>
      <c r="I90" s="114">
        <f>'입력(숨기기하세요)'!B14</f>
        <v>0</v>
      </c>
      <c r="J90" s="115"/>
      <c r="K90" s="115"/>
      <c r="L90" s="115"/>
      <c r="M90" s="115"/>
      <c r="N90" s="115"/>
      <c r="O90" s="115"/>
      <c r="P90" s="115"/>
      <c r="Q90" s="115"/>
      <c r="R90" s="125" t="s">
        <v>40</v>
      </c>
      <c r="S90" s="117"/>
      <c r="T90" s="117"/>
      <c r="U90" s="117"/>
      <c r="V90" s="117"/>
      <c r="X90" s="117"/>
      <c r="Y90" s="118"/>
      <c r="Z90" s="136"/>
      <c r="AA90" s="136"/>
    </row>
    <row r="91" spans="1:27" ht="30" hidden="1" customHeight="1">
      <c r="A91" s="111">
        <v>1</v>
      </c>
      <c r="B91" s="111" t="s">
        <v>174</v>
      </c>
      <c r="C91" s="111" t="s">
        <v>170</v>
      </c>
      <c r="D91" s="62" t="str">
        <f t="shared" si="7"/>
        <v/>
      </c>
      <c r="E91" s="227">
        <v>5</v>
      </c>
      <c r="F91" s="150" t="s">
        <v>197</v>
      </c>
      <c r="G91" s="114" t="s">
        <v>388</v>
      </c>
      <c r="H91" s="120" t="s">
        <v>146</v>
      </c>
      <c r="I91" s="114">
        <v>1</v>
      </c>
      <c r="J91" s="115"/>
      <c r="K91" s="115"/>
      <c r="L91" s="115"/>
      <c r="M91" s="115"/>
      <c r="N91" s="115"/>
      <c r="O91" s="115"/>
      <c r="P91" s="115"/>
      <c r="Q91" s="115"/>
      <c r="R91" s="125" t="s">
        <v>40</v>
      </c>
      <c r="S91" s="117"/>
      <c r="T91" s="117"/>
      <c r="U91" s="117"/>
      <c r="V91" s="117"/>
      <c r="X91" s="117"/>
      <c r="Y91" s="118"/>
      <c r="Z91" s="122"/>
      <c r="AA91" s="122"/>
    </row>
    <row r="92" spans="1:27" ht="30" hidden="1" customHeight="1">
      <c r="A92" s="111">
        <v>1</v>
      </c>
      <c r="B92" s="111" t="s">
        <v>175</v>
      </c>
      <c r="C92" s="111" t="s">
        <v>170</v>
      </c>
      <c r="D92" s="62" t="str">
        <f t="shared" si="7"/>
        <v/>
      </c>
      <c r="E92" s="227">
        <v>6</v>
      </c>
      <c r="F92" s="150" t="s">
        <v>344</v>
      </c>
      <c r="G92" s="114" t="s">
        <v>345</v>
      </c>
      <c r="H92" s="120" t="s">
        <v>146</v>
      </c>
      <c r="I92" s="114">
        <v>1</v>
      </c>
      <c r="J92" s="115"/>
      <c r="K92" s="115"/>
      <c r="L92" s="115"/>
      <c r="M92" s="115"/>
      <c r="N92" s="115"/>
      <c r="O92" s="115"/>
      <c r="P92" s="115"/>
      <c r="Q92" s="115"/>
      <c r="R92" s="125" t="s">
        <v>343</v>
      </c>
      <c r="S92" s="117"/>
      <c r="T92" s="117"/>
      <c r="U92" s="117"/>
      <c r="V92" s="117"/>
      <c r="X92" s="117"/>
      <c r="Y92" s="118"/>
    </row>
    <row r="93" spans="1:27" ht="30" hidden="1" customHeight="1">
      <c r="D93" s="62"/>
      <c r="E93" s="227">
        <v>1</v>
      </c>
      <c r="F93" s="150" t="s">
        <v>1521</v>
      </c>
      <c r="G93" s="114" t="s">
        <v>325</v>
      </c>
      <c r="H93" s="120" t="s">
        <v>146</v>
      </c>
      <c r="I93" s="114">
        <v>1</v>
      </c>
      <c r="J93" s="115"/>
      <c r="K93" s="115"/>
      <c r="L93" s="115"/>
      <c r="M93" s="115"/>
      <c r="N93" s="115"/>
      <c r="O93" s="115"/>
      <c r="P93" s="115"/>
      <c r="Q93" s="115"/>
      <c r="R93" s="125" t="s">
        <v>308</v>
      </c>
      <c r="S93" s="288"/>
      <c r="T93" s="288"/>
      <c r="U93" s="288"/>
      <c r="V93" s="288"/>
      <c r="X93" s="288"/>
      <c r="Y93" s="118"/>
    </row>
    <row r="94" spans="1:27" ht="30" hidden="1" customHeight="1">
      <c r="A94" s="111">
        <v>1</v>
      </c>
      <c r="B94" s="111" t="s">
        <v>176</v>
      </c>
      <c r="C94" s="111" t="s">
        <v>170</v>
      </c>
      <c r="D94" s="62" t="str">
        <f t="shared" si="7"/>
        <v>ㅇ</v>
      </c>
      <c r="E94" s="227">
        <v>2</v>
      </c>
      <c r="F94" s="150" t="s">
        <v>194</v>
      </c>
      <c r="G94" s="114" t="s">
        <v>385</v>
      </c>
      <c r="H94" s="120" t="s">
        <v>146</v>
      </c>
      <c r="I94" s="114"/>
      <c r="J94" s="115"/>
      <c r="K94" s="115"/>
      <c r="L94" s="115"/>
      <c r="M94" s="115"/>
      <c r="N94" s="115"/>
      <c r="O94" s="115"/>
      <c r="P94" s="115"/>
      <c r="Q94" s="115"/>
      <c r="R94" s="125" t="s">
        <v>42</v>
      </c>
      <c r="S94" s="117"/>
      <c r="T94" s="117"/>
      <c r="U94" s="117"/>
      <c r="V94" s="117"/>
      <c r="X94" s="117"/>
      <c r="Y94" s="118"/>
    </row>
    <row r="95" spans="1:27" ht="30" hidden="1" customHeight="1">
      <c r="A95" s="111">
        <v>1</v>
      </c>
      <c r="B95" s="111" t="s">
        <v>176</v>
      </c>
      <c r="C95" s="111" t="s">
        <v>170</v>
      </c>
      <c r="D95" s="62" t="str">
        <f t="shared" si="7"/>
        <v>ㅇ</v>
      </c>
      <c r="E95" s="227">
        <v>3</v>
      </c>
      <c r="F95" s="150" t="s">
        <v>195</v>
      </c>
      <c r="G95" s="114" t="s">
        <v>385</v>
      </c>
      <c r="H95" s="120" t="s">
        <v>146</v>
      </c>
      <c r="I95" s="114"/>
      <c r="J95" s="115"/>
      <c r="K95" s="115"/>
      <c r="L95" s="115"/>
      <c r="M95" s="115"/>
      <c r="N95" s="115"/>
      <c r="O95" s="115"/>
      <c r="P95" s="115"/>
      <c r="Q95" s="115"/>
      <c r="R95" s="125" t="s">
        <v>42</v>
      </c>
      <c r="S95" s="117"/>
      <c r="T95" s="117"/>
      <c r="U95" s="117"/>
      <c r="V95" s="117"/>
      <c r="X95" s="117"/>
      <c r="Y95" s="118"/>
    </row>
    <row r="96" spans="1:27" ht="30" hidden="1" customHeight="1">
      <c r="A96" s="111">
        <v>1</v>
      </c>
      <c r="B96" s="111" t="s">
        <v>178</v>
      </c>
      <c r="C96" s="111" t="s">
        <v>170</v>
      </c>
      <c r="D96" s="62" t="s">
        <v>289</v>
      </c>
      <c r="E96" s="227">
        <v>9</v>
      </c>
      <c r="F96" s="150" t="s">
        <v>196</v>
      </c>
      <c r="G96" s="114" t="s">
        <v>387</v>
      </c>
      <c r="H96" s="120" t="s">
        <v>146</v>
      </c>
      <c r="I96" s="114">
        <v>1</v>
      </c>
      <c r="J96" s="115"/>
      <c r="K96" s="115"/>
      <c r="L96" s="115"/>
      <c r="M96" s="115"/>
      <c r="N96" s="115"/>
      <c r="O96" s="115"/>
      <c r="P96" s="115"/>
      <c r="Q96" s="115"/>
      <c r="R96" s="125" t="s">
        <v>44</v>
      </c>
      <c r="S96" s="117"/>
      <c r="T96" s="117"/>
      <c r="U96" s="117"/>
      <c r="V96" s="117"/>
      <c r="X96" s="117"/>
      <c r="Y96" s="118"/>
      <c r="Z96" s="136"/>
      <c r="AA96" s="136"/>
    </row>
    <row r="97" spans="1:27" ht="30" hidden="1" customHeight="1">
      <c r="A97" s="111">
        <v>1</v>
      </c>
      <c r="B97" s="111" t="s">
        <v>178</v>
      </c>
      <c r="C97" s="111" t="s">
        <v>170</v>
      </c>
      <c r="D97" s="62" t="s">
        <v>289</v>
      </c>
      <c r="E97" s="227">
        <v>10</v>
      </c>
      <c r="F97" s="150" t="s">
        <v>386</v>
      </c>
      <c r="G97" s="114" t="s">
        <v>44</v>
      </c>
      <c r="H97" s="120" t="s">
        <v>146</v>
      </c>
      <c r="I97" s="114">
        <v>1</v>
      </c>
      <c r="J97" s="115"/>
      <c r="K97" s="115"/>
      <c r="L97" s="115"/>
      <c r="M97" s="115"/>
      <c r="N97" s="115"/>
      <c r="O97" s="115"/>
      <c r="P97" s="115"/>
      <c r="Q97" s="115"/>
      <c r="R97" s="125" t="s">
        <v>44</v>
      </c>
      <c r="S97" s="117"/>
      <c r="T97" s="117"/>
      <c r="U97" s="117"/>
      <c r="V97" s="117"/>
      <c r="X97" s="117"/>
      <c r="Y97" s="118"/>
      <c r="Z97" s="136"/>
      <c r="AA97" s="136"/>
    </row>
    <row r="98" spans="1:27" ht="30" hidden="1" customHeight="1">
      <c r="A98" s="111">
        <v>1</v>
      </c>
      <c r="B98" s="111" t="s">
        <v>324</v>
      </c>
      <c r="C98" s="111" t="s">
        <v>170</v>
      </c>
      <c r="D98" s="62" t="s">
        <v>289</v>
      </c>
      <c r="E98" s="227">
        <v>11</v>
      </c>
      <c r="F98" s="150" t="s">
        <v>400</v>
      </c>
      <c r="G98" s="114" t="s">
        <v>326</v>
      </c>
      <c r="H98" s="120" t="s">
        <v>146</v>
      </c>
      <c r="I98" s="114">
        <v>1</v>
      </c>
      <c r="J98" s="115"/>
      <c r="K98" s="115"/>
      <c r="L98" s="115"/>
      <c r="M98" s="115"/>
      <c r="N98" s="115"/>
      <c r="O98" s="115"/>
      <c r="P98" s="115"/>
      <c r="Q98" s="115"/>
      <c r="R98" s="125" t="s">
        <v>328</v>
      </c>
      <c r="S98" s="117"/>
      <c r="T98" s="117"/>
      <c r="U98" s="117"/>
      <c r="V98" s="117"/>
      <c r="X98" s="117"/>
      <c r="Y98" s="118"/>
    </row>
    <row r="99" spans="1:27" ht="30" hidden="1" customHeight="1">
      <c r="A99" s="111">
        <v>1</v>
      </c>
      <c r="B99" s="111" t="s">
        <v>179</v>
      </c>
      <c r="C99" s="111" t="s">
        <v>170</v>
      </c>
      <c r="D99" s="62" t="s">
        <v>289</v>
      </c>
      <c r="E99" s="227">
        <v>12</v>
      </c>
      <c r="F99" s="150" t="s">
        <v>386</v>
      </c>
      <c r="G99" s="114" t="s">
        <v>45</v>
      </c>
      <c r="H99" s="120" t="s">
        <v>146</v>
      </c>
      <c r="I99" s="114">
        <v>1</v>
      </c>
      <c r="J99" s="115"/>
      <c r="K99" s="115"/>
      <c r="L99" s="115"/>
      <c r="M99" s="115"/>
      <c r="N99" s="115"/>
      <c r="O99" s="115"/>
      <c r="P99" s="115"/>
      <c r="Q99" s="115"/>
      <c r="R99" s="125" t="s">
        <v>45</v>
      </c>
      <c r="S99" s="117"/>
      <c r="T99" s="117"/>
      <c r="U99" s="117"/>
      <c r="V99" s="117"/>
      <c r="X99" s="117"/>
      <c r="Y99" s="118"/>
    </row>
    <row r="100" spans="1:27" ht="30" hidden="1" customHeight="1">
      <c r="A100" s="111">
        <v>1</v>
      </c>
      <c r="B100" s="111" t="s">
        <v>180</v>
      </c>
      <c r="C100" s="111" t="s">
        <v>170</v>
      </c>
      <c r="D100" s="62" t="s">
        <v>289</v>
      </c>
      <c r="E100" s="227">
        <v>13</v>
      </c>
      <c r="F100" s="150" t="s">
        <v>400</v>
      </c>
      <c r="G100" s="114" t="s">
        <v>327</v>
      </c>
      <c r="H100" s="120" t="s">
        <v>146</v>
      </c>
      <c r="I100" s="114">
        <v>1</v>
      </c>
      <c r="J100" s="115"/>
      <c r="K100" s="115"/>
      <c r="L100" s="115"/>
      <c r="M100" s="115"/>
      <c r="N100" s="115"/>
      <c r="O100" s="115"/>
      <c r="P100" s="115"/>
      <c r="Q100" s="115"/>
      <c r="R100" s="125" t="s">
        <v>321</v>
      </c>
      <c r="S100" s="117"/>
      <c r="T100" s="117"/>
      <c r="U100" s="117"/>
      <c r="V100" s="117"/>
      <c r="X100" s="117"/>
      <c r="Y100" s="118"/>
    </row>
    <row r="101" spans="1:27" ht="30" hidden="1" customHeight="1">
      <c r="A101" s="111">
        <v>1</v>
      </c>
      <c r="B101" s="111" t="s">
        <v>180</v>
      </c>
      <c r="C101" s="111" t="s">
        <v>170</v>
      </c>
      <c r="D101" s="62" t="s">
        <v>289</v>
      </c>
      <c r="E101" s="227">
        <v>14</v>
      </c>
      <c r="F101" s="150" t="s">
        <v>386</v>
      </c>
      <c r="G101" s="114" t="s">
        <v>46</v>
      </c>
      <c r="H101" s="120" t="s">
        <v>146</v>
      </c>
      <c r="I101" s="114">
        <v>1</v>
      </c>
      <c r="J101" s="115"/>
      <c r="K101" s="115"/>
      <c r="L101" s="115"/>
      <c r="M101" s="115"/>
      <c r="N101" s="115"/>
      <c r="O101" s="115"/>
      <c r="P101" s="115"/>
      <c r="Q101" s="115"/>
      <c r="R101" s="125" t="s">
        <v>46</v>
      </c>
      <c r="S101" s="117"/>
      <c r="T101" s="117"/>
      <c r="U101" s="117"/>
      <c r="V101" s="117"/>
      <c r="X101" s="117"/>
      <c r="Y101" s="118"/>
    </row>
    <row r="102" spans="1:27" ht="30" customHeight="1">
      <c r="A102" s="111">
        <v>1</v>
      </c>
      <c r="D102" s="62"/>
      <c r="E102" s="555" t="s">
        <v>303</v>
      </c>
      <c r="F102" s="556"/>
      <c r="G102" s="126" t="str">
        <f>E86</f>
        <v>(마)</v>
      </c>
      <c r="H102" s="127"/>
      <c r="I102" s="128"/>
      <c r="J102" s="129"/>
      <c r="K102" s="129"/>
      <c r="L102" s="129"/>
      <c r="M102" s="129"/>
      <c r="N102" s="129"/>
      <c r="O102" s="129"/>
      <c r="P102" s="129"/>
      <c r="Q102" s="129"/>
      <c r="R102" s="130"/>
      <c r="S102" s="117"/>
      <c r="T102" s="117"/>
      <c r="U102" s="117"/>
      <c r="V102" s="117"/>
      <c r="X102" s="117"/>
      <c r="Y102" s="118"/>
    </row>
    <row r="103" spans="1:27" ht="30" hidden="1" customHeight="1">
      <c r="A103" s="111">
        <v>1</v>
      </c>
      <c r="D103" s="62"/>
      <c r="E103" s="149"/>
      <c r="F103" s="150"/>
      <c r="G103" s="113"/>
      <c r="H103" s="113"/>
      <c r="I103" s="114"/>
      <c r="J103" s="115"/>
      <c r="K103" s="115"/>
      <c r="L103" s="115"/>
      <c r="M103" s="115"/>
      <c r="N103" s="115"/>
      <c r="O103" s="115"/>
      <c r="P103" s="115"/>
      <c r="Q103" s="115"/>
      <c r="R103" s="121"/>
      <c r="S103" s="117"/>
      <c r="T103" s="117"/>
      <c r="U103" s="117"/>
      <c r="V103" s="117"/>
      <c r="X103" s="117"/>
      <c r="Y103" s="118"/>
    </row>
  </sheetData>
  <autoFilter ref="A4:D103" xr:uid="{00000000-0009-0000-0000-000009000000}"/>
  <mergeCells count="33">
    <mergeCell ref="E77:F77"/>
    <mergeCell ref="E84:F84"/>
    <mergeCell ref="E102:F102"/>
    <mergeCell ref="E48:F48"/>
    <mergeCell ref="E57:F57"/>
    <mergeCell ref="E65:F65"/>
    <mergeCell ref="E66:F66"/>
    <mergeCell ref="E20:F20"/>
    <mergeCell ref="Y3:Y4"/>
    <mergeCell ref="AC4:AE4"/>
    <mergeCell ref="AF4:AJ4"/>
    <mergeCell ref="S3:S4"/>
    <mergeCell ref="T3:T4"/>
    <mergeCell ref="U3:U4"/>
    <mergeCell ref="V3:V4"/>
    <mergeCell ref="W3:W4"/>
    <mergeCell ref="X3:X4"/>
    <mergeCell ref="E30:F30"/>
    <mergeCell ref="E39:F39"/>
    <mergeCell ref="E47:F47"/>
    <mergeCell ref="E1:R1"/>
    <mergeCell ref="G3:G4"/>
    <mergeCell ref="H3:H4"/>
    <mergeCell ref="I3:I4"/>
    <mergeCell ref="J3:K3"/>
    <mergeCell ref="L3:M3"/>
    <mergeCell ref="N3:O3"/>
    <mergeCell ref="P3:Q3"/>
    <mergeCell ref="R3:R4"/>
    <mergeCell ref="E3:F4"/>
    <mergeCell ref="E25:F25"/>
    <mergeCell ref="E12:F12"/>
    <mergeCell ref="E19:F19"/>
  </mergeCells>
  <phoneticPr fontId="3" type="noConversion"/>
  <printOptions horizontalCentered="1"/>
  <pageMargins left="0.78740157480314965" right="0.31496062992125984" top="0.39370078740157483" bottom="0.3937007874015748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 지정된 범위</vt:lpstr>
      </vt:variant>
      <vt:variant>
        <vt:i4>26</vt:i4>
      </vt:variant>
    </vt:vector>
  </HeadingPairs>
  <TitlesOfParts>
    <vt:vector size="45" baseType="lpstr">
      <vt:lpstr>입력(숨기기하세요)</vt:lpstr>
      <vt:lpstr>총괄표(토건분야-숨기기하세요)</vt:lpstr>
      <vt:lpstr>요율(숨기기하세요)</vt:lpstr>
      <vt:lpstr>표지(내역서)</vt:lpstr>
      <vt:lpstr>원가계산서 (총괄-참고용)</vt:lpstr>
      <vt:lpstr>원가계산서(금회발주분)</vt:lpstr>
      <vt:lpstr>원가계산서 (건축-참고용)</vt:lpstr>
      <vt:lpstr>원가계산서 (토목-참고용)</vt:lpstr>
      <vt:lpstr>공종별집계표(분야별)</vt:lpstr>
      <vt:lpstr>공종별집계표</vt:lpstr>
      <vt:lpstr>공종별내역서</vt:lpstr>
      <vt:lpstr>일위대가목록</vt:lpstr>
      <vt:lpstr>일위대가</vt:lpstr>
      <vt:lpstr>단가산출목록</vt:lpstr>
      <vt:lpstr>단가산출서</vt:lpstr>
      <vt:lpstr>단가대비표</vt:lpstr>
      <vt:lpstr>총괄표(재해예방기술지도)</vt:lpstr>
      <vt:lpstr>산출내역서(재해예방기술지도)</vt:lpstr>
      <vt:lpstr>손해배상보험</vt:lpstr>
      <vt:lpstr>공종별내역서!Print_Area</vt:lpstr>
      <vt:lpstr>공종별집계표!Print_Area</vt:lpstr>
      <vt:lpstr>'공종별집계표(분야별)'!Print_Area</vt:lpstr>
      <vt:lpstr>단가대비표!Print_Area</vt:lpstr>
      <vt:lpstr>단가산출목록!Print_Area</vt:lpstr>
      <vt:lpstr>단가산출서!Print_Area</vt:lpstr>
      <vt:lpstr>'산출내역서(재해예방기술지도)'!Print_Area</vt:lpstr>
      <vt:lpstr>'원가계산서 (건축-참고용)'!Print_Area</vt:lpstr>
      <vt:lpstr>'원가계산서 (총괄-참고용)'!Print_Area</vt:lpstr>
      <vt:lpstr>'원가계산서 (토목-참고용)'!Print_Area</vt:lpstr>
      <vt:lpstr>'원가계산서(금회발주분)'!Print_Area</vt:lpstr>
      <vt:lpstr>일위대가!Print_Area</vt:lpstr>
      <vt:lpstr>일위대가목록!Print_Area</vt:lpstr>
      <vt:lpstr>'표지(내역서)'!Print_Area</vt:lpstr>
      <vt:lpstr>공종별내역서!Print_Titles</vt:lpstr>
      <vt:lpstr>공종별집계표!Print_Titles</vt:lpstr>
      <vt:lpstr>'공종별집계표(분야별)'!Print_Titles</vt:lpstr>
      <vt:lpstr>단가대비표!Print_Titles</vt:lpstr>
      <vt:lpstr>단가산출목록!Print_Titles</vt:lpstr>
      <vt:lpstr>단가산출서!Print_Titles</vt:lpstr>
      <vt:lpstr>'원가계산서 (건축-참고용)'!Print_Titles</vt:lpstr>
      <vt:lpstr>'원가계산서 (총괄-참고용)'!Print_Titles</vt:lpstr>
      <vt:lpstr>'원가계산서 (토목-참고용)'!Print_Titles</vt:lpstr>
      <vt:lpstr>'원가계산서(금회발주분)'!Print_Titles</vt:lpstr>
      <vt:lpstr>일위대가!Print_Titles</vt:lpstr>
      <vt:lpstr>일위대가목록!Print_Titles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cp:lastPrinted>2026-08-28T07:07:58Z</cp:lastPrinted>
  <dcterms:created xsi:type="dcterms:W3CDTF">2018-06-01T07:02:48Z</dcterms:created>
  <dcterms:modified xsi:type="dcterms:W3CDTF">2026-08-31T09:51:28Z</dcterms:modified>
</cp:coreProperties>
</file>